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110C3ED-2D30-41C6-9FFF-3098A7D99B1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9" i="14" l="1"/>
  <c r="K26" i="14"/>
  <c r="K27" i="14"/>
  <c r="K40" i="14"/>
  <c r="Q40" i="14"/>
  <c r="Q27" i="14"/>
  <c r="Q6" i="14"/>
  <c r="N40" i="14" l="1"/>
  <c r="M40" i="14"/>
  <c r="L40" i="14"/>
  <c r="N27" i="14"/>
  <c r="M27" i="14"/>
  <c r="L27" i="14"/>
  <c r="N6" i="14" l="1"/>
  <c r="M6" i="14"/>
  <c r="L6" i="14"/>
  <c r="K6" i="14"/>
  <c r="D40" i="14"/>
  <c r="D39" i="14"/>
  <c r="D27" i="14"/>
  <c r="D26" i="14" l="1"/>
  <c r="F14" i="13" l="1"/>
  <c r="C37" i="12" l="1"/>
  <c r="B37" i="12"/>
  <c r="C20" i="12"/>
  <c r="C19" i="12"/>
  <c r="B20" i="12"/>
  <c r="B19" i="12"/>
  <c r="C11" i="12"/>
  <c r="C10" i="12"/>
  <c r="B11" i="12"/>
  <c r="B10" i="12"/>
  <c r="B36" i="16" l="1"/>
  <c r="H209" i="1" l="1"/>
  <c r="H245" i="1"/>
  <c r="H227" i="1"/>
  <c r="F470" i="1"/>
  <c r="G14" i="1"/>
  <c r="J605" i="1"/>
  <c r="I605" i="1"/>
  <c r="H605" i="1"/>
  <c r="H596" i="1"/>
  <c r="J593" i="1"/>
  <c r="I593" i="1"/>
  <c r="H544" i="1" l="1"/>
  <c r="H543" i="1"/>
  <c r="G529" i="1"/>
  <c r="G528" i="1"/>
  <c r="G527" i="1"/>
  <c r="F529" i="1"/>
  <c r="F528" i="1"/>
  <c r="F527" i="1"/>
  <c r="H529" i="1"/>
  <c r="I528" i="1"/>
  <c r="H528" i="1"/>
  <c r="I527" i="1"/>
  <c r="H527" i="1"/>
  <c r="G524" i="1"/>
  <c r="H524" i="1"/>
  <c r="I524" i="1"/>
  <c r="J524" i="1"/>
  <c r="K524" i="1"/>
  <c r="F522" i="1"/>
  <c r="F524" i="1"/>
  <c r="G523" i="1"/>
  <c r="H523" i="1"/>
  <c r="I523" i="1"/>
  <c r="J523" i="1"/>
  <c r="K523" i="1"/>
  <c r="F523" i="1"/>
  <c r="G522" i="1"/>
  <c r="H522" i="1"/>
  <c r="I522" i="1"/>
  <c r="J522" i="1"/>
  <c r="K522" i="1"/>
  <c r="H288" i="1" l="1"/>
  <c r="K322" i="1"/>
  <c r="K303" i="1"/>
  <c r="K284" i="1"/>
  <c r="H321" i="1"/>
  <c r="H302" i="1"/>
  <c r="G302" i="1"/>
  <c r="F302" i="1"/>
  <c r="I283" i="1"/>
  <c r="H283" i="1"/>
  <c r="G283" i="1"/>
  <c r="F283" i="1"/>
  <c r="I318" i="1"/>
  <c r="I280" i="1"/>
  <c r="G280" i="1"/>
  <c r="F280" i="1"/>
  <c r="H316" i="1"/>
  <c r="H297" i="1"/>
  <c r="I278" i="1"/>
  <c r="H278" i="1"/>
  <c r="G278" i="1"/>
  <c r="F278" i="1"/>
  <c r="I315" i="1"/>
  <c r="G315" i="1"/>
  <c r="F315" i="1"/>
  <c r="I296" i="1"/>
  <c r="I277" i="1"/>
  <c r="G277" i="1"/>
  <c r="F277" i="1"/>
  <c r="I244" i="1"/>
  <c r="H244" i="1"/>
  <c r="H226" i="1"/>
  <c r="H208" i="1"/>
  <c r="H241" i="1"/>
  <c r="H223" i="1"/>
  <c r="H205" i="1"/>
  <c r="I240" i="1"/>
  <c r="H240" i="1"/>
  <c r="G240" i="1"/>
  <c r="F240" i="1"/>
  <c r="I222" i="1"/>
  <c r="H222" i="1"/>
  <c r="G222" i="1"/>
  <c r="F222" i="1"/>
  <c r="I204" i="1"/>
  <c r="H204" i="1"/>
  <c r="G204" i="1"/>
  <c r="F204" i="1"/>
  <c r="I239" i="1"/>
  <c r="H239" i="1"/>
  <c r="G239" i="1"/>
  <c r="F239" i="1"/>
  <c r="I221" i="1"/>
  <c r="H221" i="1"/>
  <c r="G221" i="1"/>
  <c r="F221" i="1"/>
  <c r="I203" i="1"/>
  <c r="H203" i="1"/>
  <c r="G203" i="1"/>
  <c r="F203" i="1"/>
  <c r="H235" i="1"/>
  <c r="H199" i="1"/>
  <c r="H217" i="1"/>
  <c r="F198" i="1"/>
  <c r="K234" i="1"/>
  <c r="H234" i="1"/>
  <c r="G234" i="1"/>
  <c r="F234" i="1"/>
  <c r="K216" i="1"/>
  <c r="H216" i="1"/>
  <c r="G216" i="1"/>
  <c r="F216" i="1"/>
  <c r="K198" i="1"/>
  <c r="G198" i="1"/>
  <c r="G158" i="1" l="1"/>
  <c r="G97" i="1"/>
  <c r="F110" i="1"/>
  <c r="F68" i="1"/>
  <c r="F57" i="1"/>
  <c r="F48" i="1"/>
  <c r="F50" i="1" s="1"/>
  <c r="F49" i="1"/>
  <c r="F24" i="1"/>
  <c r="F14" i="1" l="1"/>
  <c r="F9"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22" i="2"/>
  <c r="H125" i="2"/>
  <c r="H113" i="2"/>
  <c r="H114" i="2"/>
  <c r="H97" i="2"/>
  <c r="H98" i="2"/>
  <c r="H99" i="2"/>
  <c r="H100" i="2"/>
  <c r="H101" i="2"/>
  <c r="H102" i="2"/>
  <c r="H94" i="2"/>
  <c r="H93" i="2"/>
  <c r="H89" i="2"/>
  <c r="H90" i="2"/>
  <c r="H87" i="2"/>
  <c r="H85" i="2"/>
  <c r="H73" i="2"/>
  <c r="H74" i="2"/>
  <c r="H79" i="2"/>
  <c r="H80" i="2"/>
  <c r="H72" i="2"/>
  <c r="H58" i="2"/>
  <c r="H44" i="2"/>
  <c r="H45" i="2"/>
  <c r="H42" i="2"/>
  <c r="H40" i="2"/>
  <c r="H38" i="2"/>
  <c r="H36" i="2"/>
  <c r="H34" i="2"/>
  <c r="H22" i="2"/>
  <c r="H24" i="2"/>
  <c r="H25" i="2"/>
  <c r="H26" i="2"/>
  <c r="H27" i="2"/>
  <c r="H28" i="2"/>
  <c r="H30" i="2"/>
  <c r="H9" i="2"/>
  <c r="H10" i="2"/>
  <c r="H14" i="2"/>
  <c r="H16"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H12" i="2" s="1"/>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H17" i="2" s="1"/>
  <c r="F17" i="2"/>
  <c r="I446" i="1"/>
  <c r="J18" i="1" s="1"/>
  <c r="G17" i="2" s="1"/>
  <c r="C21" i="2"/>
  <c r="D21" i="2"/>
  <c r="H21" i="2" s="1"/>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H13" i="2" l="1"/>
  <c r="H23" i="2"/>
  <c r="J652" i="1"/>
  <c r="G662" i="1"/>
  <c r="D29" i="13"/>
  <c r="C29" i="13" s="1"/>
  <c r="E124" i="2"/>
  <c r="E112" i="2"/>
  <c r="C32" i="10"/>
  <c r="G663" i="1"/>
  <c r="D15" i="13"/>
  <c r="C15" i="13" s="1"/>
  <c r="C120" i="2"/>
  <c r="H120" i="2" s="1"/>
  <c r="C119" i="2"/>
  <c r="C13" i="10"/>
  <c r="C112" i="2"/>
  <c r="H112" i="2" s="1"/>
  <c r="C12" i="10"/>
  <c r="K36" i="14"/>
  <c r="K37" i="14" s="1"/>
  <c r="K2" i="14"/>
  <c r="K3" i="14" s="1"/>
  <c r="H61" i="2"/>
  <c r="H77" i="2"/>
  <c r="H8" i="2"/>
  <c r="G409" i="1"/>
  <c r="H646" i="1" s="1"/>
  <c r="G646" i="1"/>
  <c r="G62" i="2"/>
  <c r="H47" i="2"/>
  <c r="H477" i="1"/>
  <c r="H625" i="1" s="1"/>
  <c r="J625" i="1" s="1"/>
  <c r="G477" i="1"/>
  <c r="B33" i="16"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H624" i="1"/>
  <c r="J624" i="1" s="1"/>
  <c r="I662" i="1"/>
  <c r="D128" i="2"/>
  <c r="D145" i="2" s="1"/>
  <c r="H127" i="2"/>
  <c r="I663" i="1"/>
  <c r="H123" i="2"/>
  <c r="H91" i="2"/>
  <c r="H103" i="2"/>
  <c r="C81" i="2"/>
  <c r="H81" i="2" s="1"/>
  <c r="F194" i="1"/>
  <c r="G628" i="1" s="1"/>
  <c r="J628" i="1" s="1"/>
  <c r="H62" i="2"/>
  <c r="H50" i="2"/>
  <c r="H18"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<sst xmlns="http://schemas.openxmlformats.org/spreadsheetml/2006/main" count="6644" uniqueCount="1845">
  <si>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</si>
  <si>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</si>
  <si>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</si>
  <si>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</si>
  <si>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</si>
  <si>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</si>
  <si>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</si>
  <si>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</si>
  <si>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</si>
  <si>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</si>
  <si>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</si>
  <si>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</si>
  <si>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</si>
  <si>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</si>
  <si>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</si>
  <si>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</si>
  <si>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</si>
  <si>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</si>
  <si>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</si>
  <si>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</si>
  <si>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</si>
  <si>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</si>
  <si>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</si>
  <si>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</si>
  <si>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</si>
  <si>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</si>
  <si>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</si>
  <si>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</si>
  <si>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</si>
  <si>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</si>
  <si>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</si>
  <si>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</si>
  <si>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</si>
  <si>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</si>
  <si>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</si>
  <si>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</si>
  <si>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</si>
  <si>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</si>
  <si>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</si>
  <si>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</si>
  <si>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</si>
  <si>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</si>
  <si>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</si>
  <si>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</si>
  <si>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</si>
  <si>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</si>
  <si>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</si>
  <si>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</si>
  <si>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</si>
  <si>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</si>
  <si>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</si>
  <si>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</si>
  <si>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</si>
  <si>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</si>
  <si>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</si>
  <si>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</si>
  <si>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</si>
  <si>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</si>
  <si>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</si>
  <si>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</si>
  <si>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</si>
  <si>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</si>
  <si>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</si>
  <si>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</si>
  <si>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</si>
  <si>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</si>
  <si>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</si>
  <si>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</si>
  <si>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</si>
  <si>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</si>
  <si>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</si>
  <si>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</si>
  <si>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</si>
  <si>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</si>
  <si>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</si>
  <si>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</si>
  <si>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</si>
  <si>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</si>
  <si>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</si>
  <si>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</si>
  <si>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</si>
  <si>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</si>
  <si>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</si>
  <si>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</si>
  <si>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</si>
  <si>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</si>
  <si>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</si>
  <si>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</si>
  <si>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</si>
  <si>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</si>
  <si>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</si>
  <si>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</si>
  <si>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</si>
  <si>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</si>
  <si>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</si>
  <si>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</si>
  <si>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</si>
  <si>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</si>
  <si>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</si>
  <si>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</si>
  <si>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</si>
  <si>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</si>
  <si>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</si>
  <si>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</si>
  <si>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</si>
  <si>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</si>
  <si>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</si>
  <si>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</si>
  <si>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</si>
  <si>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</si>
  <si>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</si>
  <si>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</si>
  <si>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</si>
  <si>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</si>
  <si>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</si>
  <si>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</si>
  <si>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</si>
  <si>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</si>
  <si>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</si>
  <si>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</si>
  <si>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</si>
  <si>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</si>
  <si>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</si>
  <si>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</si>
  <si>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</si>
  <si>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</si>
  <si>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</si>
  <si>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</si>
  <si>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</si>
  <si>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</si>
  <si>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</si>
  <si>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</si>
  <si>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</si>
  <si>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</si>
  <si>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</si>
  <si>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</si>
  <si>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</si>
  <si>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</si>
  <si>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</si>
  <si>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</si>
  <si>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</si>
  <si>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</si>
  <si>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</si>
  <si>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</si>
  <si>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</si>
  <si>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</si>
  <si>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</si>
  <si>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</si>
  <si>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</si>
  <si>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</si>
  <si>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</si>
  <si>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</si>
  <si>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</si>
  <si>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</si>
  <si>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</si>
  <si>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</si>
  <si>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</si>
  <si>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</si>
  <si>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</si>
  <si>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</si>
  <si>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</si>
  <si>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</si>
  <si>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</si>
  <si>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</si>
  <si>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</si>
  <si>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</si>
  <si>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</si>
  <si>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</si>
  <si>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</si>
  <si>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</si>
  <si>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</si>
  <si>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</si>
  <si>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</si>
  <si>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</si>
  <si>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</si>
  <si>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</si>
  <si>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</si>
  <si>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</si>
  <si>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</si>
  <si>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</si>
  <si>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</si>
  <si>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</si>
  <si>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</si>
  <si>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</si>
  <si>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</si>
  <si>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</si>
  <si>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</si>
  <si>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</si>
  <si>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</si>
  <si>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</si>
  <si>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</si>
  <si>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</si>
  <si>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</si>
  <si>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</si>
  <si>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</si>
  <si>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</si>
  <si>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</si>
  <si>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</si>
  <si>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</si>
  <si>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</si>
  <si>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</si>
  <si>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</si>
  <si>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</si>
  <si>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</si>
  <si>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</si>
  <si>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</si>
  <si>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</si>
  <si>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</si>
  <si>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</si>
  <si>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</si>
  <si>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</si>
  <si>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</si>
  <si>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</si>
  <si>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</si>
  <si>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</si>
  <si>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</si>
  <si>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</si>
  <si>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</si>
  <si>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</si>
  <si>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</si>
  <si>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</si>
  <si>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</si>
  <si>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</si>
  <si>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</si>
  <si>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</si>
  <si>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</si>
  <si>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</si>
  <si>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</si>
  <si>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</si>
  <si>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</si>
  <si>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</si>
  <si>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</si>
  <si>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</si>
  <si>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</si>
  <si>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</si>
  <si>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</si>
  <si>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</si>
  <si>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</si>
  <si>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</si>
  <si>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</si>
  <si>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</si>
  <si>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</si>
  <si>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</si>
  <si>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</si>
  <si>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</si>
  <si>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</si>
  <si>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</si>
  <si>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</si>
  <si>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</si>
  <si>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</si>
  <si>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</si>
  <si>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</si>
  <si>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</si>
  <si>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</si>
  <si>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</si>
  <si>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</si>
  <si>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</si>
  <si>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</si>
  <si>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</si>
  <si>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</si>
  <si>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</si>
  <si>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</si>
  <si>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</si>
  <si>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</si>
  <si>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</si>
  <si>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</si>
  <si>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</si>
  <si>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</si>
  <si>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</si>
  <si>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</si>
  <si>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</si>
  <si>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</si>
  <si>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</si>
  <si>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</si>
  <si>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</si>
  <si>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</si>
  <si>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</si>
  <si>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</si>
  <si>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</si>
  <si>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</si>
  <si>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</si>
  <si>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</si>
  <si>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</si>
  <si>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</si>
  <si>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</si>
  <si>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</si>
  <si>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</si>
  <si>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</si>
  <si>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</si>
  <si>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</si>
  <si>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</si>
  <si>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</si>
  <si>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</si>
  <si>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</si>
  <si>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</si>
  <si>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</si>
  <si>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</si>
  <si>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</si>
  <si>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</si>
  <si>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</si>
  <si>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</si>
  <si>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</si>
  <si>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</si>
  <si>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</si>
  <si>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</si>
  <si>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</si>
  <si>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</si>
  <si>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</si>
  <si>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</si>
  <si>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</si>
  <si>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</si>
  <si>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</si>
  <si>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</si>
  <si>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</si>
  <si>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</si>
  <si>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</si>
  <si>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</si>
  <si>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</si>
  <si>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</si>
  <si>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</si>
  <si>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</si>
  <si>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</si>
  <si>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</si>
  <si>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</si>
  <si>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</si>
  <si>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</si>
  <si>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</si>
  <si>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</si>
  <si>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</si>
  <si>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</si>
  <si>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</si>
  <si>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</si>
  <si>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</si>
  <si>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</si>
  <si>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</si>
  <si>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</si>
  <si>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</si>
  <si>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</si>
  <si>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</si>
  <si>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</si>
  <si>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</si>
  <si>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</si>
  <si>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</si>
  <si>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</si>
  <si>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</si>
  <si>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</si>
  <si>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</si>
  <si>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</si>
  <si>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</si>
  <si>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</si>
  <si>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</si>
  <si>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</si>
  <si>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</si>
  <si>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</si>
  <si>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</si>
  <si>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</si>
  <si>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</si>
  <si>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</si>
  <si>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</si>
  <si>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</si>
  <si>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</si>
  <si>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</si>
  <si>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</si>
  <si>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</si>
  <si>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</si>
  <si>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</si>
  <si>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</si>
  <si>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</si>
  <si>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</si>
  <si>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</si>
  <si>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</si>
  <si>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</si>
  <si>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</si>
  <si>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</si>
  <si>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</si>
  <si>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</si>
  <si>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</si>
  <si>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</si>
  <si>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</si>
  <si>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</si>
  <si>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</si>
  <si>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</si>
  <si>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</si>
  <si>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</si>
  <si>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</si>
  <si>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</si>
  <si>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</si>
  <si>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</si>
  <si>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</si>
  <si>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</si>
  <si>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</si>
  <si>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</si>
  <si>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</si>
  <si>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</si>
  <si>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</si>
  <si>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</si>
  <si>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</si>
  <si>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</si>
  <si>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</si>
  <si>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</si>
  <si>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</si>
  <si>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</si>
  <si>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</si>
  <si>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</si>
  <si>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</si>
  <si>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</si>
  <si>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</si>
  <si>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</si>
  <si>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</si>
  <si>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</si>
  <si>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</si>
  <si>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</si>
  <si>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</si>
  <si>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</si>
  <si>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</si>
  <si>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</si>
  <si>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</si>
  <si>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</si>
  <si>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</si>
  <si>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</si>
  <si>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</si>
  <si>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</si>
  <si>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</si>
  <si>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</si>
  <si>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</si>
  <si>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</si>
  <si>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</si>
  <si>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</si>
  <si>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</si>
  <si>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</si>
  <si>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</si>
  <si>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</si>
  <si>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</si>
  <si>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</si>
  <si>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</si>
  <si>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</si>
  <si>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</si>
  <si>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</si>
  <si>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</si>
  <si>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</si>
  <si>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</si>
  <si>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</si>
  <si>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</si>
  <si>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</si>
  <si>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</si>
  <si>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</si>
  <si>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</si>
  <si>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</si>
  <si>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</si>
  <si>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</si>
  <si>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</si>
  <si>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</si>
  <si>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</si>
  <si>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</si>
  <si>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</si>
  <si>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</si>
  <si>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</si>
  <si>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</si>
  <si>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</si>
  <si>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</si>
  <si>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</si>
  <si>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</si>
  <si>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</si>
  <si>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</si>
  <si>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</si>
  <si>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</si>
  <si>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</si>
  <si>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</si>
  <si>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</si>
  <si>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</si>
  <si>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</si>
  <si>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</si>
  <si>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</si>
  <si>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</si>
  <si>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</si>
  <si>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</si>
  <si>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</si>
  <si>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</si>
  <si>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</si>
  <si>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</si>
  <si>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</si>
  <si>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</si>
  <si>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</si>
  <si>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</si>
  <si>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</si>
  <si>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</si>
  <si>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</si>
  <si>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</si>
  <si>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</si>
  <si>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</si>
  <si>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</si>
  <si>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</si>
  <si>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</si>
  <si>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</si>
  <si>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</si>
  <si>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</si>
  <si>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</si>
  <si>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</si>
  <si>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</si>
  <si>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</si>
  <si>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</si>
  <si>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</si>
  <si>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</si>
  <si>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</si>
  <si>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</si>
  <si>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</si>
  <si>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</si>
  <si>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</si>
  <si>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</si>
  <si>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</si>
  <si>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</si>
  <si>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</si>
  <si>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</si>
  <si>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</si>
  <si>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</si>
  <si>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</si>
  <si>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</si>
  <si>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</si>
  <si>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</si>
  <si>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</si>
  <si>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</si>
  <si>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</si>
  <si>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</si>
  <si>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</si>
  <si>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</si>
  <si>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</si>
  <si>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</si>
  <si>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</si>
  <si>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</si>
  <si>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</si>
  <si>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</si>
  <si>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</si>
  <si>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</si>
  <si>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</si>
  <si>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</si>
  <si>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</si>
  <si>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</si>
  <si>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</si>
  <si>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</si>
  <si>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</si>
  <si>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</si>
  <si>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</si>
  <si>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</si>
  <si>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</si>
  <si>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</si>
  <si>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</si>
  <si>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</si>
  <si>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</si>
  <si>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</si>
  <si>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</si>
  <si>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</si>
  <si>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</si>
  <si>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</si>
  <si>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</si>
  <si>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</si>
  <si>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</si>
  <si>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</si>
  <si>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</si>
  <si>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</si>
  <si>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</si>
  <si>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</si>
  <si>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</si>
  <si>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</si>
  <si>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</si>
  <si>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</si>
  <si>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</si>
  <si>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</si>
  <si>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</si>
  <si>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</si>
  <si>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</si>
  <si>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</si>
  <si>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</si>
  <si>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</si>
  <si>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</si>
  <si>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</si>
  <si>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</si>
  <si>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</si>
  <si>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</si>
  <si>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</si>
  <si>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</si>
  <si>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</si>
  <si>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</si>
  <si>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</si>
  <si>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</si>
  <si>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</si>
  <si>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</si>
  <si>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</si>
  <si>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</si>
  <si>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</si>
  <si>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</si>
  <si>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</si>
  <si>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</si>
  <si>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</si>
  <si>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</si>
  <si>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</si>
  <si>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</si>
  <si>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</si>
  <si>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</si>
  <si>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</si>
  <si>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</si>
  <si>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</si>
  <si>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</si>
  <si>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</si>
  <si>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</si>
  <si>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</si>
  <si>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</si>
  <si>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</si>
  <si>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</si>
  <si>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</si>
  <si>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</si>
  <si>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</si>
  <si>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</si>
  <si>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</si>
  <si>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</si>
  <si>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</si>
  <si>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</si>
  <si>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</si>
  <si>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</si>
  <si>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</si>
  <si>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</si>
  <si>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</si>
  <si>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</si>
  <si>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</si>
  <si>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</si>
  <si>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</si>
  <si>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</si>
  <si>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</si>
  <si>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</si>
  <si>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</si>
  <si>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</si>
  <si>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</si>
  <si>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</si>
  <si>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</si>
  <si>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</si>
  <si>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</si>
  <si>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</si>
  <si>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</si>
  <si>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</si>
  <si>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</si>
  <si>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</si>
  <si>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</si>
  <si>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</si>
  <si>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</si>
  <si>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</si>
  <si>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</si>
  <si>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</si>
  <si>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</si>
  <si>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</si>
  <si>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</si>
  <si>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</si>
  <si>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</si>
  <si>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</si>
  <si>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</si>
  <si>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</si>
  <si>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</si>
  <si>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</si>
  <si>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</si>
  <si>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</si>
  <si>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</si>
  <si>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</si>
  <si>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</si>
  <si>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</si>
  <si>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</si>
  <si>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</si>
  <si>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</si>
  <si>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</si>
  <si>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</si>
  <si>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</si>
  <si>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</si>
  <si>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</si>
  <si>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</si>
  <si>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</si>
  <si>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</si>
  <si>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</si>
  <si>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</si>
  <si>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</si>
  <si>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</si>
  <si>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</si>
  <si>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</si>
  <si>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</si>
  <si>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</si>
  <si>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</si>
  <si>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</si>
  <si>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</si>
  <si>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</si>
  <si>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</si>
  <si>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</si>
  <si>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</si>
  <si>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</si>
  <si>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</si>
  <si>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</si>
  <si>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</si>
  <si>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</si>
  <si>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</si>
  <si>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</si>
  <si>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</si>
  <si>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</si>
  <si>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</si>
  <si>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</si>
  <si>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</si>
  <si>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</si>
  <si>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</si>
  <si>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</si>
  <si>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</si>
  <si>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</si>
  <si>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</si>
  <si>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</si>
  <si>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</si>
  <si>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</si>
  <si>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</si>
  <si>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</si>
  <si>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</si>
  <si>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</si>
  <si>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</si>
  <si>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</si>
  <si>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</si>
  <si>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</si>
  <si>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</si>
  <si>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</si>
  <si>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</si>
  <si>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</si>
  <si>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</si>
  <si>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</si>
  <si>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</si>
  <si>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</si>
  <si>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</si>
  <si>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</si>
  <si>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</si>
  <si>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</si>
  <si>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</si>
  <si>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</si>
  <si>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</si>
  <si>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</si>
  <si>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</si>
  <si>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</si>
  <si>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</si>
  <si>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</si>
  <si>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</si>
  <si>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</si>
  <si>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</si>
  <si>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</si>
  <si>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</si>
  <si>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</si>
  <si>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</si>
  <si>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</si>
  <si>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</si>
  <si>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</si>
  <si>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</si>
  <si>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</si>
  <si>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</si>
  <si>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</si>
  <si>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</si>
  <si>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</si>
  <si>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</si>
  <si>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</si>
  <si>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</si>
  <si>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</si>
  <si>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</si>
  <si>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</si>
  <si>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</si>
  <si>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</si>
  <si>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</si>
  <si>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</si>
  <si>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</si>
  <si>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</si>
  <si>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</si>
  <si>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</si>
  <si>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</si>
  <si>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</si>
  <si>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</si>
  <si>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</si>
  <si>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</si>
  <si>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</si>
  <si>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</si>
  <si>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</si>
  <si>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</si>
  <si>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</si>
  <si>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</si>
  <si>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</si>
  <si>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</si>
  <si>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</si>
  <si>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</si>
  <si>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</si>
  <si>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</si>
  <si>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</si>
  <si>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</si>
  <si>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</si>
  <si>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</si>
  <si>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</si>
  <si>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</si>
  <si>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</si>
  <si>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</si>
  <si>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</si>
  <si>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</si>
  <si>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</si>
  <si>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</si>
  <si>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</si>
  <si>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</si>
  <si>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</si>
  <si>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</si>
  <si>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</si>
  <si>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</si>
  <si>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</si>
  <si>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</si>
  <si>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</si>
  <si>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</si>
  <si>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</si>
  <si>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</si>
  <si>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</si>
  <si>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</si>
  <si>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</si>
  <si>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</si>
  <si>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</si>
  <si>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</si>
  <si>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</si>
  <si>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</si>
  <si>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</si>
  <si>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</si>
  <si>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</si>
  <si>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</si>
  <si>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</si>
  <si>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</si>
  <si>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</si>
  <si>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</si>
  <si>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</si>
  <si>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</si>
  <si>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</si>
  <si>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</si>
  <si>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</si>
  <si>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</si>
  <si>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</si>
  <si>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</si>
  <si>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</si>
  <si>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</si>
  <si>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</si>
  <si>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</si>
  <si>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</si>
  <si>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</si>
  <si>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</si>
  <si>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</si>
  <si>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</si>
  <si>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</si>
  <si>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</si>
  <si>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</si>
  <si>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</si>
  <si>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</si>
  <si>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</si>
  <si>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</si>
  <si>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</si>
  <si>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</si>
  <si>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</si>
  <si>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</si>
  <si>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</si>
  <si>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</si>
  <si>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</si>
  <si>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</si>
  <si>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</si>
  <si>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</si>
  <si>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</si>
  <si>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</si>
  <si>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</si>
  <si>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</si>
  <si>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</si>
  <si>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</si>
  <si>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</si>
  <si>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</si>
  <si>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</si>
  <si>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</si>
  <si>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</si>
  <si>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</si>
  <si>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</si>
  <si>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</si>
  <si>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</si>
  <si>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</si>
  <si>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</si>
  <si>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</si>
  <si>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</si>
  <si>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</si>
  <si>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</si>
  <si>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</si>
  <si>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</si>
  <si>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</si>
  <si>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</si>
  <si>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</si>
  <si>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</si>
  <si>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</si>
  <si>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</si>
  <si>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</si>
  <si>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</si>
  <si>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</si>
  <si>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</si>
  <si>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</si>
  <si>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</si>
  <si>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</si>
  <si>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</si>
  <si>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</si>
  <si>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</si>
  <si>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</si>
  <si>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</si>
  <si>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</si>
  <si>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</si>
  <si>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</si>
  <si>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</si>
  <si>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</si>
  <si>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</si>
  <si>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</si>
  <si>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</si>
  <si>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</si>
  <si>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</si>
  <si>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</si>
  <si>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</si>
  <si>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</si>
  <si>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</si>
  <si>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</si>
  <si>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</si>
  <si>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</si>
  <si>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</si>
  <si>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</si>
  <si>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</si>
  <si>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</si>
  <si>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</si>
  <si>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</si>
  <si>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</si>
  <si>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</si>
  <si>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</si>
  <si>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</si>
  <si>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</si>
  <si>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</si>
  <si>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</si>
  <si>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</si>
  <si>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</si>
  <si>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</si>
  <si>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</si>
  <si>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</si>
  <si>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</si>
  <si>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</si>
  <si>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</si>
  <si>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</si>
  <si>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</si>
  <si>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</si>
  <si>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</si>
  <si>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</si>
  <si>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</si>
  <si>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</si>
  <si>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</si>
  <si>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</si>
  <si>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</si>
  <si>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</si>
  <si>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</si>
  <si>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</si>
  <si>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</si>
  <si>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</si>
  <si>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</si>
  <si>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</si>
  <si>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</si>
  <si>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</si>
  <si>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</si>
  <si>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</si>
  <si>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</si>
  <si>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</si>
  <si>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</si>
  <si>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</si>
  <si>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</si>
  <si>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</si>
  <si>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</si>
  <si>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</si>
  <si>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</si>
  <si>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</si>
  <si>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</si>
  <si>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</si>
  <si>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</si>
  <si>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</si>
  <si>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</si>
  <si>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</si>
  <si>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</si>
  <si>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</si>
  <si>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</si>
  <si>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</si>
  <si>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</si>
  <si>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</si>
  <si>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</si>
  <si>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</si>
  <si>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</si>
  <si>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</si>
  <si>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</si>
  <si>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</si>
  <si>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</si>
  <si>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</si>
  <si>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</si>
  <si>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</si>
  <si>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</si>
  <si>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</si>
  <si>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</si>
  <si>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</si>
  <si>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</si>
  <si>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</si>
  <si>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</si>
  <si>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</si>
  <si>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</si>
  <si>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</si>
  <si>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</si>
  <si>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</si>
  <si>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</si>
  <si>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</si>
  <si>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</si>
  <si>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</si>
  <si>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</si>
  <si>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</si>
  <si>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</si>
  <si>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</si>
  <si>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</si>
  <si>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</si>
  <si>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</si>
  <si>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</si>
  <si>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</si>
  <si>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</si>
  <si>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</si>
  <si>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</si>
  <si>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</si>
  <si>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</si>
  <si>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</si>
  <si>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</si>
  <si>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</si>
  <si>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</si>
  <si>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</si>
  <si>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</si>
  <si>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</si>
  <si>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</si>
  <si>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</si>
  <si>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</si>
  <si>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</si>
  <si>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</si>
  <si>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</si>
  <si>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</si>
  <si>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</si>
  <si>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</si>
  <si>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</si>
  <si>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</si>
  <si>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</si>
  <si>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</si>
  <si>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</si>
  <si>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</si>
  <si>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</si>
  <si>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</si>
  <si>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</si>
  <si>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</si>
  <si>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</si>
  <si>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</si>
  <si>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</si>
  <si>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</si>
  <si>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</si>
  <si>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</si>
  <si>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</si>
  <si>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</si>
  <si>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</si>
  <si>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</si>
  <si>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</si>
  <si>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</si>
  <si>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</si>
  <si>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</si>
  <si>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</si>
  <si>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</si>
  <si>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</si>
  <si>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</si>
  <si>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</si>
  <si>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</si>
  <si>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</si>
  <si>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</si>
  <si>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</si>
  <si>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</si>
  <si>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</si>
  <si>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</si>
  <si>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</si>
  <si>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</si>
  <si>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</si>
  <si>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</si>
  <si>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</si>
  <si>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</si>
  <si>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</si>
  <si>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</si>
  <si>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</si>
  <si>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</si>
  <si>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</si>
  <si>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</si>
  <si>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</si>
  <si>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</si>
  <si>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</si>
  <si>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</si>
  <si>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</si>
  <si>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</si>
  <si>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</si>
  <si>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</si>
  <si>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</si>
  <si>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</si>
  <si>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</si>
  <si>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</si>
  <si>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</si>
  <si>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</si>
  <si>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</si>
  <si>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</si>
  <si>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</si>
  <si>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</si>
  <si>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</si>
  <si>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</si>
  <si>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</si>
  <si>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</si>
  <si>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</si>
  <si>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</si>
  <si>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</si>
  <si>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</si>
  <si>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</si>
  <si>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</si>
  <si>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</si>
  <si>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</si>
  <si>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</si>
  <si>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</si>
  <si>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</si>
  <si>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</si>
  <si>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</si>
  <si>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</si>
  <si>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</si>
  <si>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</si>
  <si>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</si>
  <si>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</si>
  <si>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</si>
  <si>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</si>
  <si>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</si>
  <si>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</si>
  <si>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</si>
  <si>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</si>
  <si>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</si>
  <si>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</si>
  <si>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</si>
  <si>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</si>
  <si>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</si>
  <si>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</si>
  <si>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</si>
  <si>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</si>
  <si>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</si>
  <si>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</si>
  <si>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</si>
  <si>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</si>
  <si>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</si>
  <si>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</si>
  <si>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</si>
  <si>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</si>
  <si>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</si>
  <si>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</si>
  <si>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</si>
  <si>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</si>
  <si>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</si>
  <si>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</si>
  <si>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</si>
  <si>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</si>
  <si>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</si>
  <si>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</si>
  <si>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</si>
  <si>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</si>
  <si>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</si>
  <si>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</si>
  <si>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</si>
  <si>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</si>
  <si>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</si>
  <si>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</si>
  <si>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</si>
  <si>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</si>
  <si>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</si>
  <si>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</si>
  <si>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</si>
  <si>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</si>
  <si>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</si>
  <si>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</si>
  <si>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</si>
  <si>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</si>
  <si>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</si>
  <si>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</si>
  <si>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</si>
  <si>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</si>
  <si>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</si>
  <si>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</si>
  <si>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</si>
  <si>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</si>
  <si>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</si>
  <si>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</si>
  <si>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</si>
  <si>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</si>
  <si>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</si>
  <si>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</si>
  <si>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</si>
  <si>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</si>
  <si>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</si>
  <si>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</si>
  <si>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</si>
  <si>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</si>
  <si>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</si>
  <si>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</si>
  <si>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</si>
  <si>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</si>
  <si>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</si>
  <si>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</si>
  <si>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</si>
  <si>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</si>
  <si>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</si>
  <si>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</si>
  <si>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</si>
  <si>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</si>
  <si>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</si>
  <si>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</si>
  <si>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</si>
  <si>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</si>
  <si>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</si>
  <si>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</si>
  <si>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</si>
  <si>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</si>
  <si>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</si>
  <si>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</si>
  <si>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</si>
  <si>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</si>
  <si>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</si>
  <si>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</si>
  <si>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</si>
  <si>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</si>
  <si>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</si>
  <si>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</si>
  <si>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</si>
  <si>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</si>
  <si>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</si>
  <si>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</si>
  <si>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</si>
  <si>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</si>
  <si>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</si>
  <si>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</si>
  <si>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</si>
  <si>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</si>
  <si>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</si>
  <si>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</si>
  <si>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</si>
  <si>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</si>
  <si>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</si>
  <si>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</si>
  <si>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</si>
  <si>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</si>
  <si>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</si>
  <si>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</si>
  <si>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</si>
  <si>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</si>
  <si>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</si>
  <si>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</si>
  <si>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</si>
  <si>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</si>
  <si>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</si>
  <si>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</si>
  <si>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</si>
  <si>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</si>
  <si>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</si>
  <si>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</si>
  <si>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</si>
  <si>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</si>
  <si>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</si>
  <si>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</si>
  <si>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</si>
  <si>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</si>
  <si>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</si>
  <si>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</si>
  <si>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</si>
  <si>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</si>
  <si>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</si>
  <si>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</si>
  <si>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</si>
  <si>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</si>
  <si>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</si>
  <si>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</si>
  <si>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</si>
  <si>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</si>
  <si>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</si>
  <si>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</si>
  <si>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</si>
  <si>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</si>
  <si>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</si>
  <si>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</si>
  <si>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</si>
  <si>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</si>
  <si>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</si>
  <si>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</si>
  <si>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</si>
  <si>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</si>
  <si>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</si>
  <si>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</si>
  <si>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</si>
  <si>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</si>
  <si>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</si>
  <si>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</si>
  <si>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</si>
  <si>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</si>
  <si>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</si>
  <si>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</si>
  <si>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</si>
  <si>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</si>
  <si>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</si>
  <si>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</si>
  <si>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</si>
  <si>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</si>
  <si>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</si>
  <si>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</si>
  <si>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</si>
  <si>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</si>
  <si>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</si>
  <si>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</si>
  <si>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</si>
  <si>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</si>
  <si>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</si>
  <si>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</si>
  <si>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</si>
  <si>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</si>
  <si>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</si>
  <si>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</si>
  <si>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</si>
  <si>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</si>
  <si>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</si>
  <si>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</si>
  <si>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</si>
  <si>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</si>
  <si>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</si>
  <si>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</si>
  <si>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</si>
  <si>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</si>
  <si>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</si>
  <si>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</si>
  <si>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</si>
  <si>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</si>
  <si>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</si>
  <si>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</si>
  <si>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</si>
  <si>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</si>
  <si>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</si>
  <si>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</si>
  <si>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</si>
  <si>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</si>
  <si>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</si>
  <si>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</si>
  <si>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</si>
  <si>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</si>
  <si>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</si>
  <si>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</si>
  <si>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</si>
  <si>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</si>
  <si>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</si>
  <si>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</si>
  <si>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</si>
  <si>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</si>
  <si>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</si>
  <si>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</si>
  <si>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</si>
  <si>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</si>
  <si>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</si>
  <si>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</si>
  <si>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</si>
  <si>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</si>
  <si>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</si>
  <si>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</si>
  <si>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</si>
  <si>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</si>
  <si>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</si>
  <si>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</si>
  <si>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</si>
  <si>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</si>
  <si>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</si>
  <si>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</si>
  <si>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</si>
  <si>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</si>
  <si>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</si>
  <si>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</si>
  <si>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</si>
  <si>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</si>
  <si>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</si>
  <si>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</si>
  <si>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</si>
  <si>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</si>
  <si>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</si>
  <si>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</si>
  <si>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</si>
  <si>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</si>
  <si>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</si>
  <si>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</si>
  <si>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</si>
  <si>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</si>
  <si>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</si>
  <si>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</si>
  <si>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</si>
  <si>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</si>
  <si>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</si>
  <si>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</si>
  <si>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</si>
  <si>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</si>
  <si>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</si>
  <si>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</si>
  <si>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</si>
  <si>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</si>
  <si>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</si>
  <si>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</si>
  <si>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</si>
  <si>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</si>
  <si>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</si>
  <si>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</si>
  <si>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</si>
  <si>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</si>
  <si>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</si>
  <si>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</si>
  <si>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</si>
  <si>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</si>
  <si>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</si>
  <si>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</si>
  <si>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</si>
  <si>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</si>
  <si>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</si>
  <si>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</si>
  <si>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</si>
  <si>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</si>
  <si>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</si>
  <si>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</si>
  <si>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</si>
  <si>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</si>
  <si>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</si>
  <si>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</si>
  <si>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</si>
  <si>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</si>
  <si>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</si>
  <si>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</si>
  <si>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</si>
  <si>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</si>
  <si>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</si>
  <si>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</si>
  <si>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</si>
  <si>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</si>
  <si>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</si>
  <si>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</si>
  <si>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</si>
  <si>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</si>
  <si>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</si>
  <si>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</si>
  <si>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</si>
  <si>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</si>
  <si>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</si>
  <si>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</si>
  <si>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</si>
  <si>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</si>
  <si>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</si>
  <si>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</si>
  <si>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</si>
  <si>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</si>
  <si>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</si>
  <si>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</si>
  <si>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</si>
  <si>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</si>
  <si>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</si>
  <si>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</si>
  <si>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</si>
  <si>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</si>
  <si>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</si>
  <si>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</si>
  <si>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</si>
  <si>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</si>
  <si>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</si>
  <si>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</si>
  <si>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</si>
  <si>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</si>
  <si>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</si>
  <si>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</si>
  <si>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</si>
  <si>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</si>
  <si>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</si>
  <si>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</si>
  <si>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</si>
  <si>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</si>
  <si>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</si>
  <si>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</si>
  <si>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</si>
  <si>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</si>
  <si>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</si>
  <si>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</si>
  <si>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</si>
  <si>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</si>
  <si>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</si>
  <si>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</si>
  <si>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</si>
  <si>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</si>
  <si>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</si>
  <si>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</si>
  <si>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</si>
  <si>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</si>
  <si>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</si>
  <si>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</si>
  <si>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</si>
  <si>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</si>
  <si>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</si>
  <si>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</si>
  <si>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</si>
  <si>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</si>
  <si>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</si>
  <si>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</si>
  <si>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</si>
  <si>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</si>
  <si>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</si>
  <si>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</si>
  <si>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</si>
  <si>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</si>
  <si>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</si>
  <si>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</si>
  <si>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</si>
  <si>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</si>
  <si>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</si>
  <si>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</si>
  <si>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</si>
  <si>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</si>
  <si>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</si>
  <si>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</si>
  <si>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</si>
  <si>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</si>
  <si>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</si>
  <si>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</si>
  <si>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</si>
  <si>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</si>
  <si>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</si>
  <si>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</si>
  <si>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</si>
  <si>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</si>
  <si>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</si>
  <si>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</si>
  <si>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</si>
  <si>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</si>
  <si>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</si>
  <si>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</si>
  <si>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</si>
  <si>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</si>
  <si>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</si>
  <si>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</si>
  <si>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</si>
  <si>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</si>
  <si>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</si>
  <si>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</si>
  <si>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</si>
  <si>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</si>
  <si>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</si>
  <si>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</si>
  <si>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</si>
  <si>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</si>
  <si>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</si>
  <si>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</si>
  <si>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</si>
  <si>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</si>
  <si>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</si>
  <si>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</si>
  <si>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</si>
  <si>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</si>
  <si>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</si>
  <si>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</si>
  <si>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</si>
  <si>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</si>
  <si>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</si>
  <si>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</si>
  <si>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</si>
  <si>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</si>
  <si>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</si>
  <si>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</si>
  <si>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</si>
  <si>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</si>
  <si>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</si>
  <si>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</si>
  <si>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</si>
  <si>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</si>
  <si>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</si>
  <si>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</si>
  <si>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</si>
  <si>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</si>
  <si>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</si>
  <si>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</si>
  <si>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</si>
  <si>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</si>
  <si>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</si>
  <si>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</si>
  <si>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</si>
  <si>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</si>
  <si>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</si>
  <si>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</si>
  <si>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</si>
  <si>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</si>
  <si>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</si>
  <si>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</si>
  <si>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</si>
  <si>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</si>
  <si>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</si>
  <si>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</si>
  <si>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</si>
  <si>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</si>
  <si>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</si>
  <si>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</si>
  <si>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</si>
  <si>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</si>
  <si>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</si>
  <si>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</si>
  <si>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</si>
  <si>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</si>
  <si>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</si>
  <si>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</si>
  <si>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</si>
  <si>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</si>
  <si>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</si>
  <si>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</si>
  <si>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</si>
  <si>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</si>
  <si>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</si>
  <si>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</si>
  <si>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</si>
  <si>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</si>
  <si>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</si>
  <si>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</si>
  <si>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</si>
  <si>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</si>
  <si>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</si>
  <si>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</si>
  <si>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</si>
  <si>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</si>
  <si>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</si>
  <si>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</si>
  <si>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</si>
  <si>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</si>
  <si>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</si>
  <si>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</si>
  <si>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</si>
  <si>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</si>
  <si>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</si>
  <si>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</si>
  <si>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</si>
  <si>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</si>
  <si>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</si>
  <si>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</si>
  <si>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</si>
  <si>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</si>
  <si>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</si>
  <si>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</si>
  <si>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</si>
  <si>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</si>
  <si>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</si>
  <si>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</si>
  <si>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</si>
  <si>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</si>
  <si>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</si>
  <si>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</si>
  <si>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</si>
  <si>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</si>
  <si>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</si>
  <si>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</si>
  <si>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</si>
  <si>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</si>
  <si>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</si>
  <si>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</si>
  <si>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</si>
  <si>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</si>
  <si>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</si>
  <si>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</si>
  <si>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</si>
  <si>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</si>
  <si>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</si>
  <si>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</si>
  <si>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</si>
  <si>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</si>
  <si>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</si>
  <si>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</si>
  <si>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</si>
  <si>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</si>
  <si>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</si>
  <si>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</si>
  <si>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</si>
  <si>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</si>
  <si>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</si>
  <si>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</si>
  <si>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</si>
  <si>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</si>
  <si>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</si>
  <si>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</si>
  <si>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</si>
  <si>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</si>
  <si>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</si>
  <si>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</si>
  <si>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</si>
  <si>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</si>
  <si>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</si>
  <si>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</si>
  <si>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</si>
  <si>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</si>
  <si>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</si>
  <si>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</si>
  <si>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</si>
  <si>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</si>
  <si>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</si>
  <si>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</si>
  <si>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</si>
  <si>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</si>
  <si>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</si>
  <si>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</si>
  <si>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</si>
  <si>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</si>
  <si>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</si>
  <si>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</si>
  <si>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</si>
  <si>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</si>
  <si>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</si>
  <si>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</si>
  <si>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</si>
  <si>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</si>
  <si>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</si>
  <si>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</si>
  <si>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</si>
  <si>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</si>
  <si>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</si>
  <si>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</si>
  <si>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</si>
  <si>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</si>
  <si>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</si>
  <si>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</si>
  <si>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</si>
  <si>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</si>
  <si>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</si>
  <si>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</si>
  <si>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</si>
  <si>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</si>
  <si>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</si>
  <si>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</si>
  <si>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</si>
  <si>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</si>
  <si>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</si>
  <si>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</si>
  <si>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</si>
  <si>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</si>
  <si>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</si>
  <si>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</si>
  <si>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</si>
  <si>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</si>
  <si>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</si>
  <si>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</si>
  <si>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</si>
  <si>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</si>
  <si>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</si>
  <si>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</si>
  <si>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</si>
  <si>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</si>
  <si>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</si>
  <si>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</si>
  <si>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</si>
  <si>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</si>
  <si>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</si>
  <si>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</si>
  <si>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</si>
  <si>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</si>
  <si>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</si>
  <si>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</si>
  <si>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</si>
  <si>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</si>
  <si>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</si>
  <si>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</si>
  <si>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</si>
  <si>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</si>
  <si>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</si>
  <si>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</si>
  <si>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</si>
  <si>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</si>
  <si>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</si>
  <si>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</si>
  <si>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</si>
  <si>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</si>
  <si>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</si>
  <si>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</si>
  <si>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</si>
  <si>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</si>
  <si>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</si>
  <si>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</si>
  <si>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</si>
  <si>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</si>
  <si>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</si>
  <si>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</si>
  <si>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</si>
  <si>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</si>
  <si>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</si>
  <si>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</si>
  <si>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</si>
  <si>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</si>
  <si>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</si>
  <si>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</si>
  <si>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</si>
  <si>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</si>
  <si>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</si>
  <si>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</si>
  <si>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</si>
  <si>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</si>
  <si>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</si>
  <si>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</si>
  <si>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</si>
  <si>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</si>
  <si>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</si>
  <si>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</si>
  <si>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</si>
  <si>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</si>
  <si>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</si>
  <si>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</si>
  <si>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</si>
  <si>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</si>
  <si>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</si>
  <si>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</si>
  <si>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</si>
  <si>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</si>
  <si>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</si>
  <si>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</si>
  <si>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</si>
  <si>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</si>
  <si>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</si>
  <si>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</si>
  <si>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</si>
  <si>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</si>
  <si>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</si>
  <si>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</si>
  <si>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</si>
  <si>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</si>
  <si>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</si>
  <si>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</si>
  <si>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</si>
  <si>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</si>
  <si>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</si>
  <si>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</si>
  <si>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</si>
  <si>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</si>
  <si>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</si>
  <si>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</si>
  <si>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</si>
  <si>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</si>
  <si>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</si>
  <si>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</si>
  <si>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</si>
  <si>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</si>
  <si>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</si>
  <si>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</si>
  <si>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FUND 21: $666.05 SUBTRACTED TO RECONCILE BEGINNING FUND EQUITY</t>
  </si>
  <si>
    <t>FUND 22: $171,929.51 Added to reconcile beginning fund equity. Prior BA did not report donation fund balance last year</t>
  </si>
  <si>
    <t>9,10</t>
  </si>
  <si>
    <t>No expense in FY24 - Bond paid off in FY23</t>
  </si>
  <si>
    <t>FUND 10: $104,806.23 Added to reconcile beginning fund equity. Reflects FY23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</si>
</sst>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0" fillId="0" borderId="0" xfId="0" applyNumberFormat="1" applyAlignment="1" applyProtection="1">
      <alignment wrapText="1"/>
      <protection locked="0"/>
    </xf>
    <xf numFmtId="8" fontId="0" fillId="0" borderId="0" xfId="0" applyNumberFormat="1" applyProtection="1">
      <protection locked="0"/>
    </xf>
    <xf numFmtId="40"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1092</v>
      </c>
      <c r="B2">
        <f>INDEX('School Tables'!$AH$3:$AH$213,MATCH('DOE25'!A2,'School Tables'!$AJ$3:$AJ$213,0))</f>
        <v>251</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2963.8-917.62+294</f>
        <v>2340.1800000000003</v>
      </c>
      <c r="G9" s="18"/>
      <c r="H9" s="18"/>
      <c r="I9" s="18"/>
      <c r="J9" s="13">
        <f>SUM(I440)</f>
        <v>1498447.09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252414.96</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52640.74</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951101.31+33731.12</f>
        <v>984832.43</v>
      </c>
      <c r="G14" s="18">
        <f>149.23+101806.98</f>
        <v>101956.20999999999</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11904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v>188855.25</v>
      </c>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1239587.57</v>
      </c>
      <c r="G19" s="38">
        <f>SUM(G9:G18)</f>
        <v>166500.94999999998</v>
      </c>
      <c r="H19" s="38">
        <f>SUM(H9:H18)</f>
        <v>188855.25</v>
      </c>
      <c r="I19" s="38">
        <f>SUM(I9:I18)</f>
        <v>0</v>
      </c>
      <c r="J19" s="38">
        <f>SUM(J9:J18)</f>
        <v>1498447.09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140278.82999999999</v>
      </c>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43182.83+9613.02-281.23</f>
        <v>52514.62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26222.12</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52514.62</v>
      </c>
      <c r="G32" s="38">
        <f>SUM(G22:G31)</f>
        <v>166500.94999999998</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2964</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270000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f>113687.49-12545.76+666.05</f>
        <v>101807.78000000001</v>
      </c>
      <c r="G48" s="18"/>
      <c r="H48" s="18">
        <v>188855.25</v>
      </c>
      <c r="I48" s="18"/>
      <c r="J48" s="13">
        <f>SUM(I460)</f>
        <v>1498447.09</v>
      </c>
      <c r="K48" s="23" t="s">
        <v>288</v>
      </c>
      <c r="L48" s="23" t="s">
        <v>288</v>
      </c>
      <c r="M48" s="8"/>
      <c r="N48" s="164"/>
    </row>
    <row r="49" spans="1:14" s="3" customFormat="1" ht="12.2" customHeight="1" x14ac:dyDescent="0.15">
      <c r="A49" s="1" t="s">
        <v>855</v>
      </c>
      <c r="B49" s="2" t="s">
        <v>289</v>
      </c>
      <c r="C49" s="6">
        <v>34</v>
      </c>
      <c r="D49" s="2"/>
      <c r="E49" s="6">
        <v>753</v>
      </c>
      <c r="F49" s="18">
        <f>34578.83+8604</f>
        <v>43182.83</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F19-F32-F36-F44-F48-F49</f>
        <v>769118.34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1187072.95</v>
      </c>
      <c r="G51" s="38">
        <f>SUM(G35:G50)</f>
        <v>0</v>
      </c>
      <c r="H51" s="38">
        <f>SUM(H35:H50)</f>
        <v>188855.25</v>
      </c>
      <c r="I51" s="38">
        <f>SUM(I35:I50)</f>
        <v>0</v>
      </c>
      <c r="J51" s="38">
        <f>SUM(J35:J50)</f>
        <v>1498447.09</v>
      </c>
      <c r="K51" s="42" t="s">
        <v>288</v>
      </c>
      <c r="L51" s="42" t="s">
        <v>288</v>
      </c>
      <c r="N51" s="130"/>
    </row>
    <row r="52" spans="1:14" s="3" customFormat="1" ht="12.2" customHeight="1" thickTop="1" x14ac:dyDescent="0.15">
      <c r="A52" s="35" t="s">
        <v>455</v>
      </c>
      <c r="B52" s="36" t="s">
        <v>289</v>
      </c>
      <c r="C52" s="6">
        <v>37</v>
      </c>
      <c r="D52" s="36" t="s">
        <v>653</v>
      </c>
      <c r="E52" s="36"/>
      <c r="F52" s="38">
        <f>F51+F32</f>
        <v>1239587.57</v>
      </c>
      <c r="G52" s="38">
        <f>G51+G32</f>
        <v>166500.94999999998</v>
      </c>
      <c r="H52" s="38">
        <f>H51+H32</f>
        <v>188855.25</v>
      </c>
      <c r="I52" s="38">
        <f>I51+I32</f>
        <v>0</v>
      </c>
      <c r="J52" s="38">
        <f>J51+J32</f>
        <v>1498447.09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10602067+4095636</f>
        <v>14697703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14697703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1355030.03+339718.22+86810.24</f>
        <v>1781558.49</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1781558.49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62731.33</v>
      </c>
      <c r="G96" s="18"/>
      <c r="H96" s="18"/>
      <c r="I96" s="18"/>
      <c r="J96" s="18">
        <v>39386.89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291409.48+24969.2</f>
        <v>316378.68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40000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41980.32</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8170.8</f>
        <v>8170.8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110902.13</v>
      </c>
      <c r="G111" s="38">
        <f>SUM(G96:G110)</f>
        <v>316378.68</v>
      </c>
      <c r="H111" s="38">
        <f>SUM(H96:H110)</f>
        <v>41980.32</v>
      </c>
      <c r="I111" s="38">
        <f>SUM(I96:I110)</f>
        <v>0</v>
      </c>
      <c r="J111" s="38">
        <f>SUM(J96:J110)</f>
        <v>39386.89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16590163.620000001</v>
      </c>
      <c r="G112" s="38">
        <f>G60+G111</f>
        <v>316378.68</v>
      </c>
      <c r="H112" s="38">
        <f>H60+H79+H94+H111</f>
        <v>41980.32</v>
      </c>
      <c r="I112" s="38">
        <f>I60+I111</f>
        <v>0</v>
      </c>
      <c r="J112" s="38">
        <f>J60+J111</f>
        <v>39386.89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6522522.25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1473229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3946.9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7999698.1500000004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88085.34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14131.2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7952.75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1502.36</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103718.9</v>
      </c>
      <c r="G136" s="38">
        <f>SUM(G123:G135)</f>
        <v>7952.75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8103417.0500000007</v>
      </c>
      <c r="G140" s="38">
        <f>G121+SUM(G136:G137)</f>
        <v>7952.75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454603.37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102520.24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261381.97+41270.12+26150.87</f>
        <v>328802.96000000002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327153.88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16709.47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203056.07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195653.59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16709.47</v>
      </c>
      <c r="G163" s="38">
        <f>SUM(G150:G162)</f>
        <v>328802.96000000002</v>
      </c>
      <c r="H163" s="38">
        <f>SUM(H150:H162)</f>
        <v>1282987.1500000001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16709.47</v>
      </c>
      <c r="G170" s="38">
        <f>G147+G163+SUM(G164:G169)</f>
        <v>328802.96000000002</v>
      </c>
      <c r="H170" s="38">
        <f>H147+H163+SUM(H164:H169)</f>
        <v>1282987.1500000001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50000</v>
      </c>
      <c r="H180" s="18"/>
      <c r="I180" s="18"/>
      <c r="J180" s="18">
        <v>210000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50000</v>
      </c>
      <c r="H184" s="38">
        <f>SUM(H180:H183)</f>
        <v>0</v>
      </c>
      <c r="I184" s="38">
        <f>SUM(I180:I183)</f>
        <v>0</v>
      </c>
      <c r="J184" s="38">
        <f>SUM(J180:J183)</f>
        <v>210000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50000</v>
      </c>
      <c r="H193" s="38">
        <f>+H184+SUM(H189:H192)</f>
        <v>0</v>
      </c>
      <c r="I193" s="38">
        <f>I178+I184+SUM(I189:I192)</f>
        <v>0</v>
      </c>
      <c r="J193" s="38">
        <f>J184</f>
        <v>210000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24710290.140000001</v>
      </c>
      <c r="G194" s="38">
        <f>G112+G140+G170+G193</f>
        <v>703134.39</v>
      </c>
      <c r="H194" s="38">
        <f>H112+H140+H170+H193</f>
        <v>1324967.4700000002</v>
      </c>
      <c r="I194" s="38">
        <f>I112+I140+I170+I193</f>
        <v>0</v>
      </c>
      <c r="J194" s="38">
        <f>J112+J140+J193</f>
        <v>249386.89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2339144.37+32445.71</f>
        <v>2371590.08</v>
      </c>
      <c r="G198" s="18">
        <f>1047116.26+8964.86</f>
        <v>1056081.1200000001</v>
      </c>
      <c r="H198" s="18">
        <v>24161.43</v>
      </c>
      <c r="I198" s="18">
        <v>84782.78</v>
      </c>
      <c r="J198" s="18">
        <v>4902.6000000000004</v>
      </c>
      <c r="K198" s="18">
        <f>2316.42+1312.82</f>
        <v>3629.24</v>
      </c>
      <c r="L198" s="13">
        <f>SUM(F198:K198)</f>
        <v>3545147.2500000005</v>
      </c>
      <c r="M198" s="8"/>
      <c r="N198" s="164"/>
    </row>
    <row r="199" spans="1:14" s="3" customFormat="1" ht="12.2" customHeight="1" x14ac:dyDescent="0.15">
      <c r="A199" s="1" t="s">
        <v>439</v>
      </c>
      <c r="B199" s="2" t="s">
        <v>341</v>
      </c>
      <c r="C199" s="2" t="s">
        <v>291</v>
      </c>
      <c r="D199" s="2" t="s">
        <v>431</v>
      </c>
      <c r="E199" s="6">
        <v>1200</v>
      </c>
      <c r="F199" s="18">
        <v>1291511.07</v>
      </c>
      <c r="G199" s="18">
        <v>683721.46</v>
      </c>
      <c r="H199" s="18">
        <f>9472.17+716.78+163.21+786.48</f>
        <v>11138.64</v>
      </c>
      <c r="I199" s="18">
        <v>8223.4599999999991</v>
      </c>
      <c r="J199" s="18"/>
      <c r="K199" s="18"/>
      <c r="L199" s="13">
        <f>SUM(F199:K199)</f>
        <v>1994594.63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4050</v>
      </c>
      <c r="G201" s="18">
        <v>932.37</v>
      </c>
      <c r="H201" s="18"/>
      <c r="I201" s="18"/>
      <c r="J201" s="18"/>
      <c r="K201" s="18"/>
      <c r="L201" s="13">
        <f>SUM(F201:K201)</f>
        <v>4982.37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591624.99+31132.85</f>
        <v>622757.84</v>
      </c>
      <c r="G203" s="18">
        <f>252886.78+25096.35</f>
        <v>277983.13</v>
      </c>
      <c r="H203" s="18">
        <f>12411.43+98052.38+7795.33</f>
        <v>118259.14</v>
      </c>
      <c r="I203" s="18">
        <f>6328.67+59.42</f>
        <v>6388.09</v>
      </c>
      <c r="J203" s="18"/>
      <c r="K203" s="18">
        <v>380</v>
      </c>
      <c r="L203" s="13">
        <f t="shared" ref="L203:L209" si="0">SUM(F203:K203)</f>
        <v>1025768.2</v>
      </c>
      <c r="M203" s="8"/>
      <c r="N203" s="164"/>
    </row>
    <row r="204" spans="1:14" s="3" customFormat="1" ht="12.2" customHeight="1" x14ac:dyDescent="0.15">
      <c r="A204" s="1" t="s">
        <v>443</v>
      </c>
      <c r="B204" s="2" t="s">
        <v>341</v>
      </c>
      <c r="C204" s="2" t="s">
        <v>295</v>
      </c>
      <c r="D204" s="2" t="s">
        <v>431</v>
      </c>
      <c r="E204" s="6">
        <v>2200</v>
      </c>
      <c r="F204" s="18">
        <f>90131+81216.48</f>
        <v>171347.47999999998</v>
      </c>
      <c r="G204" s="18">
        <f>24212.88+65487.54</f>
        <v>89700.42</v>
      </c>
      <c r="H204" s="18">
        <f>22377.93+431.77+48835.83</f>
        <v>71645.53</v>
      </c>
      <c r="I204" s="18">
        <f>10011.1+225743.7</f>
        <v>235754.80000000002</v>
      </c>
      <c r="J204" s="18">
        <v>1949.37</v>
      </c>
      <c r="K204" s="18">
        <v>1940.87</v>
      </c>
      <c r="L204" s="13">
        <f t="shared" si="0"/>
        <v>572338.47</v>
      </c>
      <c r="M204" s="8"/>
      <c r="N204" s="164"/>
    </row>
    <row r="205" spans="1:14" s="3" customFormat="1" ht="12.2" customHeight="1" x14ac:dyDescent="0.15">
      <c r="A205" s="1" t="s">
        <v>444</v>
      </c>
      <c r="B205" s="2" t="s">
        <v>341</v>
      </c>
      <c r="C205" s="2" t="s">
        <v>296</v>
      </c>
      <c r="D205" s="2" t="s">
        <v>431</v>
      </c>
      <c r="E205" s="6">
        <v>2300</v>
      </c>
      <c r="F205" s="18">
        <v>4496</v>
      </c>
      <c r="G205" s="18">
        <v>31690.19</v>
      </c>
      <c r="H205" s="18">
        <f>437608.53+20913.37+3560.67</f>
        <v>462082.57</v>
      </c>
      <c r="I205" s="18"/>
      <c r="J205" s="18"/>
      <c r="K205" s="18">
        <v>6386.44</v>
      </c>
      <c r="L205" s="13">
        <f t="shared" si="0"/>
        <v>504655.2</v>
      </c>
      <c r="M205" s="8"/>
      <c r="N205" s="164"/>
    </row>
    <row r="206" spans="1:14" s="3" customFormat="1" ht="12.2" customHeight="1" x14ac:dyDescent="0.15">
      <c r="A206" s="1" t="s">
        <v>445</v>
      </c>
      <c r="B206" s="2" t="s">
        <v>341</v>
      </c>
      <c r="C206" s="2" t="s">
        <v>297</v>
      </c>
      <c r="D206" s="2" t="s">
        <v>431</v>
      </c>
      <c r="E206" s="6">
        <v>2400</v>
      </c>
      <c r="F206" s="18">
        <v>298275.90000000002</v>
      </c>
      <c r="G206" s="18">
        <v>108029.49</v>
      </c>
      <c r="H206" s="18">
        <v>1574.61</v>
      </c>
      <c r="I206" s="18">
        <v>3396.72</v>
      </c>
      <c r="J206" s="18"/>
      <c r="K206" s="18">
        <v>1320</v>
      </c>
      <c r="L206" s="13">
        <f t="shared" si="0"/>
        <v>412596.72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72732.14</v>
      </c>
      <c r="G208" s="18">
        <v>20432.57</v>
      </c>
      <c r="H208" s="18">
        <f>5093.68+623562.59+24896.02</f>
        <v>653552.29</v>
      </c>
      <c r="I208" s="18">
        <v>192300.71</v>
      </c>
      <c r="J208" s="18">
        <v>14608.62</v>
      </c>
      <c r="K208" s="18"/>
      <c r="L208" s="13">
        <f t="shared" si="0"/>
        <v>953626.33</v>
      </c>
      <c r="M208" s="8"/>
      <c r="N208" s="164"/>
    </row>
    <row r="209" spans="1:14" s="3" customFormat="1" ht="12.2" customHeight="1" x14ac:dyDescent="0.15">
      <c r="A209" s="1" t="s">
        <v>448</v>
      </c>
      <c r="B209" s="2" t="s">
        <v>341</v>
      </c>
      <c r="C209" s="2" t="s">
        <v>300</v>
      </c>
      <c r="D209" s="2" t="s">
        <v>431</v>
      </c>
      <c r="E209" s="6">
        <v>2700</v>
      </c>
      <c r="F209" s="18"/>
      <c r="G209" s="18"/>
      <c r="H209" s="18">
        <f>13251.38+364820.78</f>
        <v>378072.16000000003</v>
      </c>
      <c r="I209" s="18"/>
      <c r="J209" s="18"/>
      <c r="K209" s="18"/>
      <c r="L209" s="13">
        <f t="shared" si="0"/>
        <v>378072.16000000003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4836760.5100000007</v>
      </c>
      <c r="G212" s="38">
        <f t="shared" si="1"/>
        <v>2268570.75</v>
      </c>
      <c r="H212" s="38">
        <f t="shared" si="1"/>
        <v>1720486.37</v>
      </c>
      <c r="I212" s="38">
        <f t="shared" si="1"/>
        <v>530846.55999999994</v>
      </c>
      <c r="J212" s="38">
        <f t="shared" si="1"/>
        <v>21460.59</v>
      </c>
      <c r="K212" s="38">
        <f t="shared" si="1"/>
        <v>13656.55</v>
      </c>
      <c r="L212" s="38">
        <f t="shared" si="1"/>
        <v>9391781.3300000001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1301807.12+17204.1</f>
        <v>1319011.2200000002</v>
      </c>
      <c r="G216" s="18">
        <f>666703.49+4753.55</f>
        <v>671457.04</v>
      </c>
      <c r="H216" s="18">
        <f>11384.9+352</f>
        <v>11736.9</v>
      </c>
      <c r="I216" s="18">
        <v>47400.28</v>
      </c>
      <c r="J216" s="18">
        <v>2887.86</v>
      </c>
      <c r="K216" s="18">
        <f>4726.95+696.12</f>
        <v>5423.07</v>
      </c>
      <c r="L216" s="13">
        <f>SUM(F216:K216)</f>
        <v>2057916.3700000003</v>
      </c>
      <c r="M216" s="8"/>
      <c r="N216" s="164"/>
    </row>
    <row r="217" spans="1:14" s="3" customFormat="1" ht="12.2" customHeight="1" x14ac:dyDescent="0.15">
      <c r="A217" s="1" t="s">
        <v>439</v>
      </c>
      <c r="B217" s="2" t="s">
        <v>346</v>
      </c>
      <c r="C217" s="2" t="s">
        <v>291</v>
      </c>
      <c r="D217" s="2" t="s">
        <v>431</v>
      </c>
      <c r="E217" s="6">
        <v>1200</v>
      </c>
      <c r="F217" s="18">
        <v>653926.03</v>
      </c>
      <c r="G217" s="18">
        <v>361570.85</v>
      </c>
      <c r="H217" s="18">
        <f>28450.02+380.06+39459.65+417.02</f>
        <v>68706.750000000015</v>
      </c>
      <c r="I217" s="18">
        <v>3316.99</v>
      </c>
      <c r="J217" s="18"/>
      <c r="K217" s="18"/>
      <c r="L217" s="13">
        <f>SUM(F217:K217)</f>
        <v>1087520.6200000001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33585.71</v>
      </c>
      <c r="G219" s="18">
        <v>963.11</v>
      </c>
      <c r="H219" s="18">
        <v>5023</v>
      </c>
      <c r="I219" s="18">
        <v>5025.2299999999996</v>
      </c>
      <c r="J219" s="18"/>
      <c r="K219" s="18">
        <v>807.68</v>
      </c>
      <c r="L219" s="13">
        <f>SUM(F219:K219)</f>
        <v>45404.73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253010.43+16507.96</f>
        <v>269518.39</v>
      </c>
      <c r="G221" s="18">
        <f>139345.72+13307.16</f>
        <v>152652.88</v>
      </c>
      <c r="H221" s="18">
        <f>647+51991.56+4133.42</f>
        <v>56771.979999999996</v>
      </c>
      <c r="I221" s="18">
        <f>3232.34+31.5</f>
        <v>3263.84</v>
      </c>
      <c r="J221" s="18"/>
      <c r="K221" s="18"/>
      <c r="L221" s="13">
        <f t="shared" ref="L221:L227" si="2">SUM(F221:K221)</f>
        <v>482207.09</v>
      </c>
      <c r="M221" s="8"/>
      <c r="N221" s="164"/>
    </row>
    <row r="222" spans="1:14" s="3" customFormat="1" ht="12.2" customHeight="1" x14ac:dyDescent="0.15">
      <c r="A222" s="1" t="s">
        <v>443</v>
      </c>
      <c r="B222" s="2" t="s">
        <v>346</v>
      </c>
      <c r="C222" s="2" t="s">
        <v>295</v>
      </c>
      <c r="D222" s="2" t="s">
        <v>431</v>
      </c>
      <c r="E222" s="6">
        <v>2200</v>
      </c>
      <c r="F222" s="18">
        <f>70924+43064.45</f>
        <v>113988.45</v>
      </c>
      <c r="G222" s="18">
        <f>44149.08+34724.3</f>
        <v>78873.38</v>
      </c>
      <c r="H222" s="18">
        <f>11865.74+442.6+25894.84</f>
        <v>38203.18</v>
      </c>
      <c r="I222" s="18">
        <f>9446.82+119698.96</f>
        <v>129145.78</v>
      </c>
      <c r="J222" s="18"/>
      <c r="K222" s="18">
        <v>1029.1300000000001</v>
      </c>
      <c r="L222" s="13">
        <f t="shared" si="2"/>
        <v>361239.92000000004</v>
      </c>
      <c r="M222" s="8"/>
      <c r="N222" s="164"/>
    </row>
    <row r="223" spans="1:14" s="3" customFormat="1" ht="12.2" customHeight="1" x14ac:dyDescent="0.15">
      <c r="A223" s="1" t="s">
        <v>444</v>
      </c>
      <c r="B223" s="2" t="s">
        <v>346</v>
      </c>
      <c r="C223" s="2" t="s">
        <v>296</v>
      </c>
      <c r="D223" s="2" t="s">
        <v>431</v>
      </c>
      <c r="E223" s="6">
        <v>2300</v>
      </c>
      <c r="F223" s="18">
        <v>2383.9699999999998</v>
      </c>
      <c r="G223" s="18">
        <v>16803.5</v>
      </c>
      <c r="H223" s="18">
        <f>232038.76+11089.16+1888.02</f>
        <v>245015.94</v>
      </c>
      <c r="I223" s="18"/>
      <c r="J223" s="18"/>
      <c r="K223" s="18">
        <v>3386.37</v>
      </c>
      <c r="L223" s="13">
        <f t="shared" si="2"/>
        <v>267589.78000000003</v>
      </c>
      <c r="M223" s="8"/>
      <c r="N223" s="164"/>
    </row>
    <row r="224" spans="1:14" s="3" customFormat="1" ht="12.2" customHeight="1" x14ac:dyDescent="0.15">
      <c r="A224" s="1" t="s">
        <v>445</v>
      </c>
      <c r="B224" s="2" t="s">
        <v>346</v>
      </c>
      <c r="C224" s="2" t="s">
        <v>297</v>
      </c>
      <c r="D224" s="2" t="s">
        <v>431</v>
      </c>
      <c r="E224" s="6">
        <v>2400</v>
      </c>
      <c r="F224" s="18">
        <v>275605.90999999997</v>
      </c>
      <c r="G224" s="18">
        <v>137150.07999999999</v>
      </c>
      <c r="H224" s="18">
        <v>1666.42</v>
      </c>
      <c r="I224" s="18">
        <v>3734.89</v>
      </c>
      <c r="J224" s="18"/>
      <c r="K224" s="18">
        <v>1651.02</v>
      </c>
      <c r="L224" s="13">
        <f t="shared" si="2"/>
        <v>419808.32</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38565.69</v>
      </c>
      <c r="G226" s="18">
        <v>10834.23</v>
      </c>
      <c r="H226" s="18">
        <f>2700.89+330639.55+13200.93</f>
        <v>346541.37</v>
      </c>
      <c r="I226" s="18">
        <v>101966.06</v>
      </c>
      <c r="J226" s="18">
        <v>7746.12</v>
      </c>
      <c r="K226" s="18"/>
      <c r="L226" s="13">
        <f t="shared" si="2"/>
        <v>505653.47</v>
      </c>
      <c r="M226" s="8"/>
      <c r="N226" s="164"/>
    </row>
    <row r="227" spans="1:14" s="3" customFormat="1" ht="12.2" customHeight="1" x14ac:dyDescent="0.15">
      <c r="A227" s="1" t="s">
        <v>448</v>
      </c>
      <c r="B227" s="2" t="s">
        <v>346</v>
      </c>
      <c r="C227" s="2" t="s">
        <v>300</v>
      </c>
      <c r="D227" s="2" t="s">
        <v>431</v>
      </c>
      <c r="E227" s="6">
        <v>2700</v>
      </c>
      <c r="F227" s="18"/>
      <c r="G227" s="18"/>
      <c r="H227" s="18">
        <f>21553.64+193443.58</f>
        <v>214997.21999999997</v>
      </c>
      <c r="I227" s="18"/>
      <c r="J227" s="18"/>
      <c r="K227" s="18"/>
      <c r="L227" s="13">
        <f t="shared" si="2"/>
        <v>214997.21999999997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2706585.3700000006</v>
      </c>
      <c r="G230" s="38">
        <f>SUM(G216:G229)</f>
        <v>1430305.0699999998</v>
      </c>
      <c r="H230" s="38">
        <f>SUM(H216:H229)</f>
        <v>988662.76</v>
      </c>
      <c r="I230" s="38">
        <f>SUM(I216:I229)</f>
        <v>293853.07</v>
      </c>
      <c r="J230" s="38">
        <f>SUM(J216:J229)</f>
        <v>10633.98</v>
      </c>
      <c r="K230" s="38">
        <f t="shared" si="3"/>
        <v>12297.27</v>
      </c>
      <c r="L230" s="38">
        <f t="shared" si="3"/>
        <v>5442337.5199999996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2367039.96+28289.19</f>
        <v>2395329.15</v>
      </c>
      <c r="G234" s="18">
        <f>1151969.7+7816.4</f>
        <v>1159786.0999999999</v>
      </c>
      <c r="H234" s="18">
        <f>16057.98+749+6711.75</f>
        <v>23518.73</v>
      </c>
      <c r="I234" s="18">
        <v>71758.13</v>
      </c>
      <c r="J234" s="18">
        <v>8137.72</v>
      </c>
      <c r="K234" s="18">
        <f>15987.16+1144.65</f>
        <v>17131.810000000001</v>
      </c>
      <c r="L234" s="13">
        <f>SUM(F234:K234)</f>
        <v>3675661.64</v>
      </c>
      <c r="M234" s="8"/>
      <c r="N234" s="164"/>
    </row>
    <row r="235" spans="1:14" s="3" customFormat="1" ht="12.2" customHeight="1" x14ac:dyDescent="0.15">
      <c r="A235" s="1" t="s">
        <v>439</v>
      </c>
      <c r="B235" s="2" t="s">
        <v>350</v>
      </c>
      <c r="C235" s="2" t="s">
        <v>291</v>
      </c>
      <c r="D235" s="2" t="s">
        <v>431</v>
      </c>
      <c r="E235" s="6">
        <v>1200</v>
      </c>
      <c r="F235" s="18">
        <v>673256.37</v>
      </c>
      <c r="G235" s="18">
        <v>336866.88</v>
      </c>
      <c r="H235" s="18">
        <f>1630+624.95+198206.32+685.72</f>
        <v>201146.99000000002</v>
      </c>
      <c r="I235" s="18">
        <v>2665.22</v>
      </c>
      <c r="J235" s="18"/>
      <c r="K235" s="18">
        <v>400</v>
      </c>
      <c r="L235" s="13">
        <f>SUM(F235:K235)</f>
        <v>1214335.46</v>
      </c>
      <c r="M235" s="8"/>
      <c r="N235" s="164"/>
    </row>
    <row r="236" spans="1:14" s="3" customFormat="1" ht="12.2" customHeight="1" x14ac:dyDescent="0.15">
      <c r="A236" s="1" t="s">
        <v>440</v>
      </c>
      <c r="B236" s="2" t="s">
        <v>350</v>
      </c>
      <c r="C236" s="2" t="s">
        <v>292</v>
      </c>
      <c r="D236" s="2" t="s">
        <v>431</v>
      </c>
      <c r="E236" s="6">
        <v>1300</v>
      </c>
      <c r="F236" s="18"/>
      <c r="G236" s="18"/>
      <c r="H236" s="18">
        <v>87099.28</v>
      </c>
      <c r="I236" s="18"/>
      <c r="J236" s="18"/>
      <c r="K236" s="18"/>
      <c r="L236" s="13">
        <f>SUM(F236:K236)</f>
        <v>87099.28</v>
      </c>
      <c r="M236" s="8"/>
      <c r="N236" s="164"/>
    </row>
    <row r="237" spans="1:14" s="3" customFormat="1" ht="12.2" customHeight="1" x14ac:dyDescent="0.15">
      <c r="A237" s="1" t="s">
        <v>441</v>
      </c>
      <c r="B237" s="2" t="s">
        <v>350</v>
      </c>
      <c r="C237" s="2" t="s">
        <v>293</v>
      </c>
      <c r="D237" s="2" t="s">
        <v>431</v>
      </c>
      <c r="E237" s="6">
        <v>1400</v>
      </c>
      <c r="F237" s="18">
        <v>161371.70000000001</v>
      </c>
      <c r="G237" s="18">
        <v>49483.11</v>
      </c>
      <c r="H237" s="18">
        <v>20128</v>
      </c>
      <c r="I237" s="18">
        <v>29294.33</v>
      </c>
      <c r="J237" s="18">
        <v>3000</v>
      </c>
      <c r="K237" s="18">
        <v>19442.439999999999</v>
      </c>
      <c r="L237" s="13">
        <f>SUM(F237:K237)</f>
        <v>282719.58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512265.32+27144.51</f>
        <v>539409.82999999996</v>
      </c>
      <c r="G239" s="18">
        <f>217262.61+21881.33</f>
        <v>239143.94</v>
      </c>
      <c r="H239" s="18">
        <f>119416.09+85491.19+105.13+6796.7</f>
        <v>211809.11000000002</v>
      </c>
      <c r="I239" s="18">
        <f>3794.35+51.8</f>
        <v>3846.15</v>
      </c>
      <c r="J239" s="18"/>
      <c r="K239" s="18"/>
      <c r="L239" s="13">
        <f t="shared" ref="L239:L245" si="4">SUM(F239:K239)</f>
        <v>994209.03</v>
      </c>
      <c r="M239" s="8"/>
      <c r="N239" s="164"/>
    </row>
    <row r="240" spans="1:14" s="3" customFormat="1" ht="12.2" customHeight="1" x14ac:dyDescent="0.15">
      <c r="A240" s="1" t="s">
        <v>443</v>
      </c>
      <c r="B240" s="2" t="s">
        <v>350</v>
      </c>
      <c r="C240" s="2" t="s">
        <v>295</v>
      </c>
      <c r="D240" s="2" t="s">
        <v>431</v>
      </c>
      <c r="E240" s="6">
        <v>2200</v>
      </c>
      <c r="F240" s="18">
        <f>86797+70812.09</f>
        <v>157609.09</v>
      </c>
      <c r="G240" s="18">
        <f>24211.06+57098.14</f>
        <v>81309.2</v>
      </c>
      <c r="H240" s="18">
        <f>19511.17+26.98+42579.62</f>
        <v>62117.770000000004</v>
      </c>
      <c r="I240" s="18">
        <f>12681.67+196824.39</f>
        <v>209506.06000000003</v>
      </c>
      <c r="J240" s="18">
        <v>2199.3200000000002</v>
      </c>
      <c r="K240" s="18">
        <v>1692.23</v>
      </c>
      <c r="L240" s="13">
        <f t="shared" si="4"/>
        <v>514433.67</v>
      </c>
      <c r="M240" s="8"/>
      <c r="N240" s="164"/>
    </row>
    <row r="241" spans="1:14" s="3" customFormat="1" ht="12.2" customHeight="1" x14ac:dyDescent="0.15">
      <c r="A241" s="1" t="s">
        <v>444</v>
      </c>
      <c r="B241" s="2" t="s">
        <v>350</v>
      </c>
      <c r="C241" s="2" t="s">
        <v>296</v>
      </c>
      <c r="D241" s="2" t="s">
        <v>431</v>
      </c>
      <c r="E241" s="6">
        <v>2300</v>
      </c>
      <c r="F241" s="18">
        <v>3920.03</v>
      </c>
      <c r="G241" s="18">
        <v>27630.47</v>
      </c>
      <c r="H241" s="18">
        <f>381547.88+18234.23+3104.53</f>
        <v>402886.64</v>
      </c>
      <c r="I241" s="18"/>
      <c r="J241" s="18"/>
      <c r="K241" s="18">
        <v>5568.3</v>
      </c>
      <c r="L241" s="13">
        <f t="shared" si="4"/>
        <v>440005.44</v>
      </c>
      <c r="M241" s="8"/>
      <c r="N241" s="164"/>
    </row>
    <row r="242" spans="1:14" s="3" customFormat="1" ht="12.2" customHeight="1" x14ac:dyDescent="0.15">
      <c r="A242" s="1" t="s">
        <v>445</v>
      </c>
      <c r="B242" s="2" t="s">
        <v>350</v>
      </c>
      <c r="C242" s="2" t="s">
        <v>297</v>
      </c>
      <c r="D242" s="2" t="s">
        <v>431</v>
      </c>
      <c r="E242" s="6">
        <v>2400</v>
      </c>
      <c r="F242" s="18">
        <v>288638.62</v>
      </c>
      <c r="G242" s="18">
        <v>178113.57</v>
      </c>
      <c r="H242" s="18">
        <v>440.32</v>
      </c>
      <c r="I242" s="18">
        <v>5716.33</v>
      </c>
      <c r="J242" s="18"/>
      <c r="K242" s="18">
        <v>31302.6</v>
      </c>
      <c r="L242" s="13">
        <f t="shared" si="4"/>
        <v>504211.44</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63414.65</v>
      </c>
      <c r="G244" s="18">
        <v>17815.03</v>
      </c>
      <c r="H244" s="18">
        <f>4441.14+543679.96+49885+21706.67</f>
        <v>619712.77</v>
      </c>
      <c r="I244" s="18">
        <f>11441.79+167665.68</f>
        <v>179107.47</v>
      </c>
      <c r="J244" s="18">
        <v>12737.16</v>
      </c>
      <c r="K244" s="18"/>
      <c r="L244" s="13">
        <f t="shared" si="4"/>
        <v>892787.08</v>
      </c>
      <c r="M244" s="8"/>
      <c r="N244" s="164"/>
    </row>
    <row r="245" spans="1:14" s="3" customFormat="1" ht="12.2" customHeight="1" x14ac:dyDescent="0.15">
      <c r="A245" s="1" t="s">
        <v>448</v>
      </c>
      <c r="B245" s="2" t="s">
        <v>350</v>
      </c>
      <c r="C245" s="2" t="s">
        <v>300</v>
      </c>
      <c r="D245" s="2" t="s">
        <v>431</v>
      </c>
      <c r="E245" s="6">
        <v>2700</v>
      </c>
      <c r="F245" s="18"/>
      <c r="G245" s="18"/>
      <c r="H245" s="18">
        <f>303848.7+318084.74</f>
        <v>621933.43999999994</v>
      </c>
      <c r="I245" s="18"/>
      <c r="J245" s="18"/>
      <c r="K245" s="18"/>
      <c r="L245" s="13">
        <f t="shared" si="4"/>
        <v>621933.43999999994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4282949.4400000004</v>
      </c>
      <c r="G248" s="38">
        <f t="shared" si="5"/>
        <v>2090148.3</v>
      </c>
      <c r="H248" s="38">
        <f t="shared" si="5"/>
        <v>2250793.0499999998</v>
      </c>
      <c r="I248" s="38">
        <f t="shared" si="5"/>
        <v>501893.69000000006</v>
      </c>
      <c r="J248" s="38">
        <f t="shared" si="5"/>
        <v>26074.2</v>
      </c>
      <c r="K248" s="38">
        <f t="shared" si="5"/>
        <v>75537.38</v>
      </c>
      <c r="L248" s="38">
        <f t="shared" si="5"/>
        <v>9227396.0600000005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11826295.32</v>
      </c>
      <c r="G258" s="38">
        <f t="shared" si="8"/>
        <v>5789024.1200000001</v>
      </c>
      <c r="H258" s="38">
        <f t="shared" si="8"/>
        <v>4959942.18</v>
      </c>
      <c r="I258" s="38">
        <f t="shared" si="8"/>
        <v>1326593.3199999998</v>
      </c>
      <c r="J258" s="38">
        <f t="shared" si="8"/>
        <v>58168.770000000004</v>
      </c>
      <c r="K258" s="38">
        <f t="shared" si="8"/>
        <v>101491.20000000001</v>
      </c>
      <c r="L258" s="38">
        <f t="shared" si="8"/>
        <v>24061514.91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50000</v>
      </c>
      <c r="L264" s="13">
        <f>SUM(F264:K264)</f>
        <v>50000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210000</v>
      </c>
      <c r="L267" s="13">
        <f t="shared" si="9"/>
        <v>210000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260000</v>
      </c>
      <c r="L271" s="38">
        <f t="shared" si="9"/>
        <v>260000</v>
      </c>
      <c r="M271" s="8"/>
      <c r="N271" s="164"/>
    </row>
    <row r="272" spans="1:14" s="33" customFormat="1" ht="12.2" customHeight="1" thickTop="1" x14ac:dyDescent="0.2">
      <c r="A272" s="40" t="s">
        <v>464</v>
      </c>
      <c r="B272" s="37">
        <v>10</v>
      </c>
      <c r="C272" s="37">
        <v>18</v>
      </c>
      <c r="D272" s="36" t="s">
        <v>431</v>
      </c>
      <c r="E272" s="37"/>
      <c r="F272" s="39">
        <f t="shared" ref="F272:L272" si="11">F258+F271</f>
        <v>11826295.32</v>
      </c>
      <c r="G272" s="39">
        <f t="shared" si="11"/>
        <v>5789024.1200000001</v>
      </c>
      <c r="H272" s="39">
        <f t="shared" si="11"/>
        <v>4959942.18</v>
      </c>
      <c r="I272" s="39">
        <f t="shared" si="11"/>
        <v>1326593.3199999998</v>
      </c>
      <c r="J272" s="39">
        <f t="shared" si="11"/>
        <v>58168.770000000004</v>
      </c>
      <c r="K272" s="39">
        <f t="shared" si="11"/>
        <v>361491.20000000001</v>
      </c>
      <c r="L272" s="39">
        <f t="shared" si="11"/>
        <v>24321514.91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203146.62+17592.93</f>
        <v>220739.55</v>
      </c>
      <c r="G277" s="18">
        <f>71180.48+3242.04</f>
        <v>74422.51999999999</v>
      </c>
      <c r="H277" s="18"/>
      <c r="I277" s="18">
        <f>110412.32+18122.32</f>
        <v>128534.64000000001</v>
      </c>
      <c r="J277" s="18"/>
      <c r="K277" s="18"/>
      <c r="L277" s="13">
        <f>SUM(F277:K277)</f>
        <v>423696.70999999996</v>
      </c>
      <c r="M277" s="8"/>
      <c r="N277" s="164"/>
    </row>
    <row r="278" spans="1:14" s="3" customFormat="1" ht="12.2" customHeight="1" x14ac:dyDescent="0.15">
      <c r="A278" s="1" t="s">
        <v>439</v>
      </c>
      <c r="B278" s="2" t="s">
        <v>357</v>
      </c>
      <c r="C278" s="2" t="s">
        <v>291</v>
      </c>
      <c r="D278" s="2" t="s">
        <v>431</v>
      </c>
      <c r="E278" s="6">
        <v>1200</v>
      </c>
      <c r="F278" s="18">
        <f>31311.45+34739.26</f>
        <v>66050.710000000006</v>
      </c>
      <c r="G278" s="18">
        <f>2188.67+20680.02</f>
        <v>22868.690000000002</v>
      </c>
      <c r="H278" s="18">
        <f>11749.06+1971.1</f>
        <v>13720.16</v>
      </c>
      <c r="I278" s="18">
        <f>10426.98+1603.37</f>
        <v>12030.349999999999</v>
      </c>
      <c r="J278" s="18"/>
      <c r="K278" s="18">
        <v>249.78</v>
      </c>
      <c r="L278" s="13">
        <f>SUM(F278:K278)</f>
        <v>114919.69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12618.75+429.83</f>
        <v>13048.58</v>
      </c>
      <c r="G280" s="18">
        <f>2746.81+44.85</f>
        <v>2791.66</v>
      </c>
      <c r="H280" s="18">
        <v>755</v>
      </c>
      <c r="I280" s="18">
        <f>587.51+2875.11</f>
        <v>3462.62</v>
      </c>
      <c r="J280" s="18"/>
      <c r="K280" s="18"/>
      <c r="L280" s="13">
        <f>SUM(F280:K280)</f>
        <v>20057.859999999997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8385.0499999999993</v>
      </c>
      <c r="G282" s="18">
        <v>2713.05</v>
      </c>
      <c r="H282" s="18"/>
      <c r="I282" s="18"/>
      <c r="J282" s="18"/>
      <c r="K282" s="18"/>
      <c r="L282" s="13">
        <f t="shared" ref="L282:L288" si="12">SUM(F282:K282)</f>
        <v>11098.099999999999</v>
      </c>
      <c r="M282" s="8"/>
      <c r="N282" s="164"/>
    </row>
    <row r="283" spans="1:14" s="3" customFormat="1" ht="12.2" customHeight="1" x14ac:dyDescent="0.15">
      <c r="A283" s="1" t="s">
        <v>443</v>
      </c>
      <c r="B283" s="2" t="s">
        <v>357</v>
      </c>
      <c r="C283" s="2" t="s">
        <v>295</v>
      </c>
      <c r="D283" s="2" t="s">
        <v>431</v>
      </c>
      <c r="E283" s="6">
        <v>2200</v>
      </c>
      <c r="F283" s="18">
        <f>21940+33959.04</f>
        <v>55899.040000000001</v>
      </c>
      <c r="G283" s="18">
        <f>5424.46+12982.04</f>
        <v>18406.5</v>
      </c>
      <c r="H283" s="18">
        <f>11088+32400.77+1738.43+7177.4</f>
        <v>52404.600000000006</v>
      </c>
      <c r="I283" s="18">
        <f>17745.23+905.26</f>
        <v>18650.489999999998</v>
      </c>
      <c r="J283" s="18"/>
      <c r="K283" s="18"/>
      <c r="L283" s="13">
        <f t="shared" si="12"/>
        <v>145360.63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f>2960.06+13383.35</f>
        <v>16343.41</v>
      </c>
      <c r="L284" s="13">
        <f t="shared" si="12"/>
        <v>16343.41</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20507.5</v>
      </c>
      <c r="I287" s="18"/>
      <c r="J287" s="18"/>
      <c r="K287" s="18"/>
      <c r="L287" s="13">
        <f t="shared" si="12"/>
        <v>20507.5</v>
      </c>
      <c r="M287" s="8"/>
      <c r="N287" s="164"/>
    </row>
    <row r="288" spans="1:14" s="3" customFormat="1" ht="12.2" customHeight="1" x14ac:dyDescent="0.15">
      <c r="A288" s="1" t="s">
        <v>448</v>
      </c>
      <c r="B288" s="2" t="s">
        <v>357</v>
      </c>
      <c r="C288" s="2" t="s">
        <v>300</v>
      </c>
      <c r="D288" s="2" t="s">
        <v>431</v>
      </c>
      <c r="E288" s="6">
        <v>2700</v>
      </c>
      <c r="F288" s="18"/>
      <c r="G288" s="18"/>
      <c r="H288" s="18">
        <f>2688.43+28529.65</f>
        <v>31218.080000000002</v>
      </c>
      <c r="I288" s="18"/>
      <c r="J288" s="18"/>
      <c r="K288" s="18"/>
      <c r="L288" s="13">
        <f t="shared" si="12"/>
        <v>31218.080000000002</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364122.93</v>
      </c>
      <c r="G291" s="39">
        <f t="shared" si="13"/>
        <v>121202.42</v>
      </c>
      <c r="H291" s="39">
        <f t="shared" si="13"/>
        <v>118605.34000000001</v>
      </c>
      <c r="I291" s="39">
        <f t="shared" si="13"/>
        <v>162678.1</v>
      </c>
      <c r="J291" s="39">
        <f t="shared" si="13"/>
        <v>0</v>
      </c>
      <c r="K291" s="39">
        <f t="shared" si="13"/>
        <v>16593.189999999999</v>
      </c>
      <c r="L291" s="38">
        <f t="shared" si="13"/>
        <v>783201.97999999986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9328.52</v>
      </c>
      <c r="G296" s="18">
        <v>1719.07</v>
      </c>
      <c r="H296" s="18"/>
      <c r="I296" s="18">
        <f>1953.13+9609.23</f>
        <v>11562.36</v>
      </c>
      <c r="J296" s="18"/>
      <c r="K296" s="18"/>
      <c r="L296" s="13">
        <f>SUM(F296:K296)</f>
        <v>22609.95</v>
      </c>
      <c r="M296" s="8"/>
      <c r="N296" s="164"/>
    </row>
    <row r="297" spans="1:14" s="3" customFormat="1" ht="12.2" customHeight="1" x14ac:dyDescent="0.15">
      <c r="A297" s="1" t="s">
        <v>439</v>
      </c>
      <c r="B297" s="2" t="s">
        <v>358</v>
      </c>
      <c r="C297" s="2" t="s">
        <v>291</v>
      </c>
      <c r="D297" s="2" t="s">
        <v>431</v>
      </c>
      <c r="E297" s="6">
        <v>1200</v>
      </c>
      <c r="F297" s="18">
        <v>18420.240000000002</v>
      </c>
      <c r="G297" s="18">
        <v>10965.44</v>
      </c>
      <c r="H297" s="18">
        <f>6229.86+1045.16</f>
        <v>7275.0199999999995</v>
      </c>
      <c r="I297" s="18">
        <v>850.18</v>
      </c>
      <c r="J297" s="18"/>
      <c r="K297" s="18">
        <v>132.44</v>
      </c>
      <c r="L297" s="13">
        <f>SUM(F297:K297)</f>
        <v>37643.32</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227.91</v>
      </c>
      <c r="G299" s="18">
        <v>23.78</v>
      </c>
      <c r="H299" s="18"/>
      <c r="I299" s="18">
        <v>1524.51</v>
      </c>
      <c r="J299" s="18"/>
      <c r="K299" s="18"/>
      <c r="L299" s="13">
        <f>SUM(F299:K299)</f>
        <v>1776.2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4446.12</v>
      </c>
      <c r="G301" s="18">
        <v>1438.58</v>
      </c>
      <c r="H301" s="18"/>
      <c r="I301" s="18"/>
      <c r="J301" s="18"/>
      <c r="K301" s="18"/>
      <c r="L301" s="13">
        <f t="shared" ref="L301:L307" si="14">SUM(F301:K301)</f>
        <v>5884.7</v>
      </c>
      <c r="M301" s="8"/>
      <c r="N301" s="164"/>
    </row>
    <row r="302" spans="1:14" s="3" customFormat="1" ht="12.2" customHeight="1" x14ac:dyDescent="0.15">
      <c r="A302" s="1" t="s">
        <v>443</v>
      </c>
      <c r="B302" s="2" t="s">
        <v>358</v>
      </c>
      <c r="C302" s="2" t="s">
        <v>295</v>
      </c>
      <c r="D302" s="2" t="s">
        <v>431</v>
      </c>
      <c r="E302" s="6">
        <v>2200</v>
      </c>
      <c r="F302" s="18">
        <f>1800+18006.53</f>
        <v>19806.53</v>
      </c>
      <c r="G302" s="18">
        <f>491.22+6883.64</f>
        <v>7374.8600000000006</v>
      </c>
      <c r="H302" s="18">
        <f>69731+17180.28+2428.88+3805.76</f>
        <v>93145.919999999998</v>
      </c>
      <c r="I302" s="18">
        <v>480</v>
      </c>
      <c r="J302" s="18"/>
      <c r="K302" s="18"/>
      <c r="L302" s="13">
        <f t="shared" si="14"/>
        <v>120807.31</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f>1569.55+7096.42</f>
        <v>8665.9699999999993</v>
      </c>
      <c r="L303" s="13">
        <f t="shared" si="14"/>
        <v>8665.9699999999993</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v>15127.64</v>
      </c>
      <c r="I307" s="18"/>
      <c r="J307" s="18"/>
      <c r="K307" s="18"/>
      <c r="L307" s="13">
        <f t="shared" si="14"/>
        <v>15127.64</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52229.32</v>
      </c>
      <c r="G310" s="39">
        <f t="shared" si="15"/>
        <v>21521.730000000003</v>
      </c>
      <c r="H310" s="39">
        <f t="shared" si="15"/>
        <v>115548.58</v>
      </c>
      <c r="I310" s="39">
        <f t="shared" si="15"/>
        <v>14417.050000000001</v>
      </c>
      <c r="J310" s="39">
        <f t="shared" si="15"/>
        <v>0</v>
      </c>
      <c r="K310" s="39">
        <f t="shared" si="15"/>
        <v>8798.41</v>
      </c>
      <c r="L310" s="38">
        <f t="shared" si="15"/>
        <v>212515.08999999997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43487.22+15339.16</f>
        <v>58826.380000000005</v>
      </c>
      <c r="G315" s="18">
        <f>17346.68+2826.72</f>
        <v>20173.400000000001</v>
      </c>
      <c r="H315" s="18"/>
      <c r="I315" s="18">
        <f>716.03+15800.72</f>
        <v>16516.75</v>
      </c>
      <c r="J315" s="18"/>
      <c r="K315" s="18"/>
      <c r="L315" s="13">
        <f>SUM(F315:K315)</f>
        <v>95516.53</v>
      </c>
      <c r="M315" s="8"/>
      <c r="N315" s="164"/>
    </row>
    <row r="316" spans="1:14" s="3" customFormat="1" ht="12.2" customHeight="1" x14ac:dyDescent="0.15">
      <c r="A316" s="1" t="s">
        <v>439</v>
      </c>
      <c r="B316" s="2" t="s">
        <v>359</v>
      </c>
      <c r="C316" s="2" t="s">
        <v>291</v>
      </c>
      <c r="D316" s="2" t="s">
        <v>431</v>
      </c>
      <c r="E316" s="6">
        <v>1200</v>
      </c>
      <c r="F316" s="18">
        <v>30288.93</v>
      </c>
      <c r="G316" s="18">
        <v>18030.78</v>
      </c>
      <c r="H316" s="18">
        <f>10243.93+1718.59</f>
        <v>11962.52</v>
      </c>
      <c r="I316" s="18">
        <v>1397.97</v>
      </c>
      <c r="J316" s="18"/>
      <c r="K316" s="18">
        <v>217.78</v>
      </c>
      <c r="L316" s="13">
        <f>SUM(F316:K316)</f>
        <v>61897.979999999996</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374.76</v>
      </c>
      <c r="G318" s="18">
        <v>39.11</v>
      </c>
      <c r="H318" s="18"/>
      <c r="I318" s="18">
        <f>7080.09+2506.79</f>
        <v>9586.880000000001</v>
      </c>
      <c r="J318" s="18"/>
      <c r="K318" s="18">
        <v>6000</v>
      </c>
      <c r="L318" s="13">
        <f>SUM(F318:K318)</f>
        <v>16000.750000000002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7310.88</v>
      </c>
      <c r="G320" s="18">
        <v>2365.5</v>
      </c>
      <c r="H320" s="18"/>
      <c r="I320" s="18"/>
      <c r="J320" s="18"/>
      <c r="K320" s="18"/>
      <c r="L320" s="13">
        <f t="shared" ref="L320:L326" si="16">SUM(F320:K320)</f>
        <v>9676.380000000001</v>
      </c>
      <c r="M320" s="8"/>
      <c r="N320" s="164"/>
    </row>
    <row r="321" spans="1:14" s="3" customFormat="1" ht="12.2" customHeight="1" x14ac:dyDescent="0.15">
      <c r="A321" s="1" t="s">
        <v>443</v>
      </c>
      <c r="B321" s="2" t="s">
        <v>359</v>
      </c>
      <c r="C321" s="2" t="s">
        <v>295</v>
      </c>
      <c r="D321" s="2" t="s">
        <v>431</v>
      </c>
      <c r="E321" s="6">
        <v>2200</v>
      </c>
      <c r="F321" s="18">
        <v>29608.65</v>
      </c>
      <c r="G321" s="18">
        <v>11318.96</v>
      </c>
      <c r="H321" s="18">
        <f>5075+28250.01+672.68+6257.92</f>
        <v>40255.609999999993</v>
      </c>
      <c r="I321" s="18">
        <v>789.28</v>
      </c>
      <c r="J321" s="18"/>
      <c r="K321" s="18">
        <v>500</v>
      </c>
      <c r="L321" s="13">
        <f t="shared" si="16"/>
        <v>82472.5</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f>2580.86+11668.85</f>
        <v>14249.710000000001</v>
      </c>
      <c r="L322" s="13">
        <f t="shared" si="16"/>
        <v>14249.710000000001</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7636</v>
      </c>
      <c r="I325" s="18"/>
      <c r="J325" s="18"/>
      <c r="K325" s="18"/>
      <c r="L325" s="13">
        <f t="shared" si="16"/>
        <v>7636</v>
      </c>
      <c r="M325" s="8"/>
      <c r="N325" s="164"/>
    </row>
    <row r="326" spans="1:14" s="3" customFormat="1" ht="12.2" customHeight="1" x14ac:dyDescent="0.15">
      <c r="A326" s="1" t="s">
        <v>448</v>
      </c>
      <c r="B326" s="2" t="s">
        <v>359</v>
      </c>
      <c r="C326" s="2" t="s">
        <v>300</v>
      </c>
      <c r="D326" s="2" t="s">
        <v>431</v>
      </c>
      <c r="E326" s="6">
        <v>2700</v>
      </c>
      <c r="F326" s="18"/>
      <c r="G326" s="18"/>
      <c r="H326" s="18">
        <v>24874.81</v>
      </c>
      <c r="I326" s="18"/>
      <c r="J326" s="18"/>
      <c r="K326" s="18"/>
      <c r="L326" s="13">
        <f t="shared" si="16"/>
        <v>24874.81</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126409.60000000001</v>
      </c>
      <c r="G329" s="39">
        <f t="shared" si="17"/>
        <v>51927.75</v>
      </c>
      <c r="H329" s="39">
        <f t="shared" si="17"/>
        <v>84728.939999999988</v>
      </c>
      <c r="I329" s="39">
        <f t="shared" si="17"/>
        <v>28290.880000000001</v>
      </c>
      <c r="J329" s="39">
        <f t="shared" si="17"/>
        <v>0</v>
      </c>
      <c r="K329" s="39">
        <f t="shared" si="17"/>
        <v>20967.490000000002</v>
      </c>
      <c r="L329" s="38">
        <f t="shared" si="17"/>
        <v>312324.66000000003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542761.85</v>
      </c>
      <c r="G339" s="38">
        <f t="shared" si="20"/>
        <v>194651.9</v>
      </c>
      <c r="H339" s="38">
        <f t="shared" si="20"/>
        <v>318882.86</v>
      </c>
      <c r="I339" s="38">
        <f t="shared" si="20"/>
        <v>205386.03</v>
      </c>
      <c r="J339" s="38">
        <f t="shared" si="20"/>
        <v>0</v>
      </c>
      <c r="K339" s="38">
        <f t="shared" si="20"/>
        <v>46359.09</v>
      </c>
      <c r="L339" s="38">
        <f t="shared" si="20"/>
        <v>1308041.73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542761.85</v>
      </c>
      <c r="G353" s="38">
        <f>G339</f>
        <v>194651.9</v>
      </c>
      <c r="H353" s="38">
        <f>H339</f>
        <v>318882.86</v>
      </c>
      <c r="I353" s="38">
        <f>I339</f>
        <v>205386.03</v>
      </c>
      <c r="J353" s="38">
        <f>J339</f>
        <v>0</v>
      </c>
      <c r="K353" s="38">
        <f>K339+K352</f>
        <v>46359.09</v>
      </c>
      <c r="L353" s="38">
        <f>L339+L352</f>
        <v>1308041.73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116815.19</v>
      </c>
      <c r="G359" s="18">
        <v>43497.08</v>
      </c>
      <c r="H359" s="18">
        <v>6255.09</v>
      </c>
      <c r="I359" s="18">
        <v>192240.61</v>
      </c>
      <c r="J359" s="18"/>
      <c r="K359" s="18">
        <v>8496.06</v>
      </c>
      <c r="L359" s="13">
        <f>SUM(F359:K359)</f>
        <v>367304.02999999997</v>
      </c>
      <c r="M359" s="8"/>
      <c r="N359" s="164"/>
    </row>
    <row r="360" spans="1:22" s="3" customFormat="1" ht="12.2" customHeight="1" x14ac:dyDescent="0.15">
      <c r="A360" s="1" t="s">
        <v>542</v>
      </c>
      <c r="B360" s="2" t="s">
        <v>366</v>
      </c>
      <c r="C360" s="6">
        <v>2</v>
      </c>
      <c r="D360" s="2" t="s">
        <v>431</v>
      </c>
      <c r="E360" s="6"/>
      <c r="F360" s="18">
        <v>88827.18</v>
      </c>
      <c r="G360" s="18">
        <v>38454.29</v>
      </c>
      <c r="H360" s="18">
        <v>3316.71</v>
      </c>
      <c r="I360" s="18">
        <v>95425.44</v>
      </c>
      <c r="J360" s="18"/>
      <c r="K360" s="18">
        <v>4504.97</v>
      </c>
      <c r="L360" s="13">
        <f>SUM(F360:K360)</f>
        <v>230528.59</v>
      </c>
      <c r="M360" s="8"/>
      <c r="N360" s="164"/>
    </row>
    <row r="361" spans="1:22" s="3" customFormat="1" ht="12.2" customHeight="1" x14ac:dyDescent="0.15">
      <c r="A361" s="3" t="s">
        <v>543</v>
      </c>
      <c r="B361" s="2" t="s">
        <v>366</v>
      </c>
      <c r="C361" s="6">
        <v>3</v>
      </c>
      <c r="D361" s="2" t="s">
        <v>431</v>
      </c>
      <c r="E361" s="6"/>
      <c r="F361" s="18">
        <v>82186.75</v>
      </c>
      <c r="G361" s="18">
        <v>13448.11</v>
      </c>
      <c r="H361" s="18">
        <v>5453.76</v>
      </c>
      <c r="I361" s="18">
        <v>110492.98</v>
      </c>
      <c r="J361" s="18"/>
      <c r="K361" s="18">
        <v>7407.66</v>
      </c>
      <c r="L361" s="13">
        <f>SUM(F361:K361)</f>
        <v>218989.25999999998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287829.12</v>
      </c>
      <c r="G363" s="38">
        <f t="shared" si="22"/>
        <v>95399.48</v>
      </c>
      <c r="H363" s="38">
        <f t="shared" si="22"/>
        <v>15025.56</v>
      </c>
      <c r="I363" s="38">
        <f t="shared" si="22"/>
        <v>398159.02999999997</v>
      </c>
      <c r="J363" s="38">
        <f t="shared" si="22"/>
        <v>0</v>
      </c>
      <c r="K363" s="38">
        <f t="shared" si="22"/>
        <v>20408.689999999999</v>
      </c>
      <c r="L363" s="38">
        <f t="shared" si="22"/>
        <v>816821.88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183160.57</v>
      </c>
      <c r="G368" s="18">
        <v>85462.83</v>
      </c>
      <c r="H368" s="18">
        <v>100645.68</v>
      </c>
      <c r="I368" s="13">
        <f>SUM(F368:H368)</f>
        <v>369269.08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9080.06</v>
      </c>
      <c r="G369" s="53">
        <v>9962.6</v>
      </c>
      <c r="H369" s="53">
        <v>9847.2900000000009</v>
      </c>
      <c r="I369" s="13">
        <f>SUM(F369:H369)</f>
        <v>28889.95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192240.63</v>
      </c>
      <c r="G370" s="38">
        <f>SUM(G368:G369)</f>
        <v>95425.430000000008</v>
      </c>
      <c r="H370" s="38">
        <f>SUM(H368:H369)</f>
        <v>110492.97</v>
      </c>
      <c r="I370" s="38">
        <f>SUM(I368:I369)</f>
        <v>398159.03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150000</v>
      </c>
      <c r="H397" s="18"/>
      <c r="I397" s="18"/>
      <c r="J397" s="23" t="s">
        <v>288</v>
      </c>
      <c r="K397" s="23" t="s">
        <v>288</v>
      </c>
      <c r="L397" s="13">
        <f t="shared" si="26"/>
        <v>150000</v>
      </c>
      <c r="M397" s="8"/>
      <c r="N397" s="164"/>
    </row>
    <row r="398" spans="1:14" s="3" customFormat="1" ht="12.2" customHeight="1" x14ac:dyDescent="0.15">
      <c r="A398" s="62" t="s">
        <v>515</v>
      </c>
      <c r="B398" s="2" t="s">
        <v>381</v>
      </c>
      <c r="C398" s="6">
        <v>10</v>
      </c>
      <c r="D398" s="2" t="s">
        <v>432</v>
      </c>
      <c r="E398" s="6"/>
      <c r="F398" s="18"/>
      <c r="G398" s="18">
        <v>50000</v>
      </c>
      <c r="H398" s="18"/>
      <c r="I398" s="18"/>
      <c r="J398" s="23" t="s">
        <v>288</v>
      </c>
      <c r="K398" s="23" t="s">
        <v>288</v>
      </c>
      <c r="L398" s="13">
        <f t="shared" si="26"/>
        <v>50000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10000</v>
      </c>
      <c r="H400" s="18"/>
      <c r="I400" s="18"/>
      <c r="J400" s="23" t="s">
        <v>288</v>
      </c>
      <c r="K400" s="23" t="s">
        <v>288</v>
      </c>
      <c r="L400" s="13">
        <f t="shared" si="26"/>
        <v>10000</v>
      </c>
      <c r="M400" s="8"/>
      <c r="N400" s="164"/>
    </row>
    <row r="401" spans="1:21" s="3" customFormat="1" ht="12.2" customHeight="1" thickBot="1" x14ac:dyDescent="0.2">
      <c r="A401" s="62" t="s">
        <v>510</v>
      </c>
      <c r="B401" s="2" t="s">
        <v>381</v>
      </c>
      <c r="C401" s="6">
        <v>13</v>
      </c>
      <c r="D401" s="2" t="s">
        <v>432</v>
      </c>
      <c r="E401" s="6"/>
      <c r="F401" s="18"/>
      <c r="G401" s="18"/>
      <c r="H401" s="18">
        <v>39386.89</v>
      </c>
      <c r="I401" s="18"/>
      <c r="J401" s="23" t="s">
        <v>288</v>
      </c>
      <c r="K401" s="23" t="s">
        <v>288</v>
      </c>
      <c r="L401" s="13">
        <f t="shared" si="26"/>
        <v>39386.89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210000</v>
      </c>
      <c r="H402" s="38">
        <f>SUM(H396:H401)</f>
        <v>39386.89</v>
      </c>
      <c r="I402" s="38">
        <f>SUM(I396:I401)</f>
        <v>0</v>
      </c>
      <c r="J402" s="42" t="s">
        <v>288</v>
      </c>
      <c r="K402" s="42" t="s">
        <v>288</v>
      </c>
      <c r="L402" s="38">
        <f>SUM(L396:L401)</f>
        <v>249386.89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210000</v>
      </c>
      <c r="H409" s="38">
        <f>H394+H402+H408</f>
        <v>39386.89</v>
      </c>
      <c r="I409" s="38">
        <f>I394+I402+I408</f>
        <v>0</v>
      </c>
      <c r="J409" s="23" t="s">
        <v>288</v>
      </c>
      <c r="K409" s="23" t="s">
        <v>288</v>
      </c>
      <c r="L409" s="38">
        <f>L394+L402+L408</f>
        <v>249386.89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172886.5</v>
      </c>
      <c r="I423" s="18"/>
      <c r="J423" s="18"/>
      <c r="K423" s="18"/>
      <c r="L423" s="13">
        <f t="shared" si="29"/>
        <v>172886.5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172886.5</v>
      </c>
      <c r="I428" s="38">
        <f t="shared" si="30"/>
        <v>0</v>
      </c>
      <c r="J428" s="38">
        <f t="shared" si="30"/>
        <v>0</v>
      </c>
      <c r="K428" s="38">
        <f t="shared" si="30"/>
        <v>0</v>
      </c>
      <c r="L428" s="38">
        <f t="shared" si="30"/>
        <v>172886.5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172886.5</v>
      </c>
      <c r="I435" s="38">
        <f t="shared" si="32"/>
        <v>0</v>
      </c>
      <c r="J435" s="38">
        <f t="shared" si="32"/>
        <v>0</v>
      </c>
      <c r="K435" s="38">
        <f t="shared" si="32"/>
        <v>0</v>
      </c>
      <c r="L435" s="38">
        <f t="shared" si="32"/>
        <v>172886.5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1498447.09</v>
      </c>
      <c r="H440" s="18"/>
      <c r="I440" s="13">
        <f t="shared" ref="I440:I446" si="33">SUM(F440:H440)</f>
        <v>1498447.09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1498447.09</v>
      </c>
      <c r="H447" s="13">
        <f>SUM(H440:H446)</f>
        <v>0</v>
      </c>
      <c r="I447" s="13">
        <f>SUM(I440:I446)</f>
        <v>1498447.09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1498447.09</v>
      </c>
      <c r="H460" s="18"/>
      <c r="I460" s="13">
        <f t="shared" si="34"/>
        <v>1498447.09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1498447.09</v>
      </c>
      <c r="H461" s="65">
        <f>SUM(H455:H460)</f>
        <v>0</v>
      </c>
      <c r="I461" s="65">
        <f>SUM(I455:I460)</f>
        <v>1498447.09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1498447.09</v>
      </c>
      <c r="H462" s="39">
        <f>H453+H461</f>
        <v>0</v>
      </c>
      <c r="I462" s="39">
        <f>I453+I461</f>
        <v>1498447.09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722933.89</v>
      </c>
      <c r="G466" s="18">
        <v>12545.76</v>
      </c>
      <c r="H466" s="18">
        <v>0</v>
      </c>
      <c r="I466" s="18"/>
      <c r="J466" s="18">
        <v>1421946.7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24710290.140000001</v>
      </c>
      <c r="G469" s="18">
        <v>703134.39</v>
      </c>
      <c r="H469" s="18">
        <v>1324967.47</v>
      </c>
      <c r="I469" s="18"/>
      <c r="J469" s="18">
        <v>249386.89</v>
      </c>
      <c r="K469" s="23" t="s">
        <v>288</v>
      </c>
      <c r="L469" s="23" t="s">
        <v>288</v>
      </c>
      <c r="N469" s="130"/>
    </row>
    <row r="470" spans="1:14" ht="12.2" customHeight="1" x14ac:dyDescent="0.2">
      <c r="A470" s="71" t="s">
        <v>611</v>
      </c>
      <c r="B470" s="22">
        <v>19</v>
      </c>
      <c r="C470" s="31">
        <v>3</v>
      </c>
      <c r="D470" s="2" t="s">
        <v>432</v>
      </c>
      <c r="E470" s="31"/>
      <c r="F470" s="18">
        <f>104806.23-29442.4</f>
        <v>75363.829999999987</v>
      </c>
      <c r="G470" s="18">
        <v>101807.78</v>
      </c>
      <c r="H470" s="18">
        <v>171929.51</v>
      </c>
      <c r="I470" s="18"/>
      <c r="J470" s="18"/>
      <c r="K470" s="23" t="s">
        <v>288</v>
      </c>
      <c r="L470" s="23" t="s">
        <v>288</v>
      </c>
      <c r="N470" s="130"/>
    </row>
    <row r="471" spans="1:14" ht="12.2" customHeight="1" x14ac:dyDescent="0.2">
      <c r="A471" s="32" t="s">
        <v>425</v>
      </c>
      <c r="B471" s="22">
        <v>19</v>
      </c>
      <c r="C471" s="31">
        <v>4</v>
      </c>
      <c r="D471" s="2" t="s">
        <v>432</v>
      </c>
      <c r="E471" s="31"/>
      <c r="F471" s="19">
        <f>SUM(F469:F470)</f>
        <v>24785653.969999999</v>
      </c>
      <c r="G471" s="19">
        <f>SUM(G469:G470)</f>
        <v>804942.17</v>
      </c>
      <c r="H471" s="19">
        <f>SUM(H469:H470)</f>
        <v>1496896.98</v>
      </c>
      <c r="I471" s="19">
        <f>SUM(I469:I470)</f>
        <v>0</v>
      </c>
      <c r="J471" s="19">
        <f>SUM(J469:J470)</f>
        <v>249386.89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24321514.91</v>
      </c>
      <c r="G473" s="18">
        <v>816821.88</v>
      </c>
      <c r="H473" s="18">
        <v>1308041.73</v>
      </c>
      <c r="I473" s="18"/>
      <c r="J473" s="18">
        <v>172886.5</v>
      </c>
      <c r="K473" s="23" t="s">
        <v>288</v>
      </c>
      <c r="L473" s="23" t="s">
        <v>288</v>
      </c>
      <c r="N473" s="130"/>
    </row>
    <row r="474" spans="1:14" ht="12.2" customHeight="1" x14ac:dyDescent="0.2">
      <c r="A474" s="71" t="s">
        <v>613</v>
      </c>
      <c r="B474" s="22">
        <v>19</v>
      </c>
      <c r="C474" s="31">
        <v>6</v>
      </c>
      <c r="D474" s="2" t="s">
        <v>432</v>
      </c>
      <c r="E474" s="31"/>
      <c r="F474" s="18"/>
      <c r="G474" s="18">
        <v>666.05</v>
      </c>
      <c r="H474" s="18"/>
      <c r="I474" s="18"/>
      <c r="J474" s="18"/>
      <c r="K474" s="23" t="s">
        <v>288</v>
      </c>
      <c r="L474" s="23" t="s">
        <v>288</v>
      </c>
      <c r="N474" s="130"/>
    </row>
    <row r="475" spans="1:14" ht="12.2" customHeight="1" x14ac:dyDescent="0.2">
      <c r="A475" s="32" t="s">
        <v>426</v>
      </c>
      <c r="B475" s="22">
        <v>19</v>
      </c>
      <c r="C475" s="31">
        <v>7</v>
      </c>
      <c r="D475" s="2" t="s">
        <v>432</v>
      </c>
      <c r="E475" s="31"/>
      <c r="F475" s="19">
        <f>SUM(F473:F474)</f>
        <v>24321514.91</v>
      </c>
      <c r="G475" s="19">
        <f>SUM(G473:G474)</f>
        <v>817487.93</v>
      </c>
      <c r="H475" s="19">
        <f>SUM(H473:H474)</f>
        <v>1308041.73</v>
      </c>
      <c r="I475" s="19">
        <f>SUM(I473:I474)</f>
        <v>0</v>
      </c>
      <c r="J475" s="19">
        <f>SUM(J473:J474)</f>
        <v>172886.5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1187072.9499999993</v>
      </c>
      <c r="G477" s="19">
        <f>(G466+G471)- G475</f>
        <v>0</v>
      </c>
      <c r="H477" s="19">
        <f>(H466+H471)- H475</f>
        <v>188855.25</v>
      </c>
      <c r="I477" s="19">
        <f>(I466+I471)- I475</f>
        <v>0</v>
      </c>
      <c r="J477" s="19">
        <f>(J466+J471)- J475</f>
        <v>1498447.0899999999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1844</v>
      </c>
      <c r="B481" s="73"/>
      <c r="C481" s="73"/>
      <c r="D481" s="73"/>
      <c r="E481" s="73"/>
      <c r="F481" s="73"/>
      <c r="G481" s="73"/>
      <c r="H481" s="73"/>
      <c r="I481" s="73" t="s">
        <v>401</v>
      </c>
      <c r="J481" s="73"/>
      <c r="K481" s="73"/>
      <c r="L481" s="73"/>
      <c r="N481" s="130"/>
    </row>
    <row r="482" spans="1:14" ht="12.2" customHeight="1" x14ac:dyDescent="0.2">
      <c r="A482" s="20" t="s">
        <v>1841</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F199+F278</f>
        <v>1357561.78</v>
      </c>
      <c r="G522" s="18">
        <f t="shared" ref="G522:K522" si="36">G199+G278</f>
        <v>706590.14999999991</v>
      </c>
      <c r="H522" s="18">
        <f t="shared" si="36"/>
        <v>24858.799999999999</v>
      </c>
      <c r="I522" s="18">
        <f t="shared" si="36"/>
        <v>20253.809999999998</v>
      </c>
      <c r="J522" s="18">
        <f t="shared" si="36"/>
        <v>0</v>
      </c>
      <c r="K522" s="18">
        <f t="shared" si="36"/>
        <v>249.78</v>
      </c>
      <c r="L522" s="69">
        <f>SUM(F522:K522)</f>
        <v>2109514.3199999998</v>
      </c>
      <c r="N522" s="130"/>
    </row>
    <row r="523" spans="1:14" ht="12.2" customHeight="1" x14ac:dyDescent="0.2">
      <c r="A523" s="21" t="s">
        <v>634</v>
      </c>
      <c r="B523" s="22">
        <v>21</v>
      </c>
      <c r="C523" s="22">
        <v>2</v>
      </c>
      <c r="D523" s="2" t="s">
        <v>432</v>
      </c>
      <c r="E523" s="22"/>
      <c r="F523" s="18">
        <f>F217+F297</f>
        <v>672346.27</v>
      </c>
      <c r="G523" s="18">
        <f t="shared" ref="G523:K523" si="37">G217+G297</f>
        <v>372536.29</v>
      </c>
      <c r="H523" s="18">
        <f t="shared" si="37"/>
        <v>75981.770000000019</v>
      </c>
      <c r="I523" s="18">
        <f t="shared" si="37"/>
        <v>4167.17</v>
      </c>
      <c r="J523" s="18">
        <f t="shared" si="37"/>
        <v>0</v>
      </c>
      <c r="K523" s="18">
        <f t="shared" si="37"/>
        <v>132.44</v>
      </c>
      <c r="L523" s="69">
        <f>SUM(F523:K523)</f>
        <v>1125163.94</v>
      </c>
      <c r="N523" s="130"/>
    </row>
    <row r="524" spans="1:14" ht="12.2" customHeight="1" thickBot="1" x14ac:dyDescent="0.25">
      <c r="A524" s="21" t="s">
        <v>635</v>
      </c>
      <c r="B524" s="22">
        <v>21</v>
      </c>
      <c r="C524" s="22">
        <v>3</v>
      </c>
      <c r="D524" s="2" t="s">
        <v>432</v>
      </c>
      <c r="E524" s="22"/>
      <c r="F524" s="18">
        <f>F235+F316</f>
        <v>703545.3</v>
      </c>
      <c r="G524" s="18">
        <f t="shared" ref="G524:K524" si="38">G235+G316</f>
        <v>354897.66000000003</v>
      </c>
      <c r="H524" s="18">
        <f t="shared" si="38"/>
        <v>213109.51</v>
      </c>
      <c r="I524" s="18">
        <f t="shared" si="38"/>
        <v>4063.1899999999996</v>
      </c>
      <c r="J524" s="18">
        <f t="shared" si="38"/>
        <v>0</v>
      </c>
      <c r="K524" s="18">
        <f t="shared" si="38"/>
        <v>617.78</v>
      </c>
      <c r="L524" s="69">
        <f>SUM(F524:K524)</f>
        <v>1276233.44</v>
      </c>
      <c r="N524" s="130"/>
    </row>
    <row r="525" spans="1:14" ht="12.2" customHeight="1" thickTop="1" x14ac:dyDescent="0.2">
      <c r="A525" s="97" t="s">
        <v>63</v>
      </c>
      <c r="B525" s="41">
        <v>21</v>
      </c>
      <c r="C525" s="41">
        <v>4</v>
      </c>
      <c r="D525" s="115" t="s">
        <v>432</v>
      </c>
      <c r="E525" s="41"/>
      <c r="F525" s="81">
        <f>SUM(F522:F524)</f>
        <v>2733453.35</v>
      </c>
      <c r="G525" s="81">
        <f t="shared" ref="G525:L525" si="39">SUM(G522:G524)</f>
        <v>1434024.1</v>
      </c>
      <c r="H525" s="81">
        <f t="shared" si="39"/>
        <v>313950.08000000002</v>
      </c>
      <c r="I525" s="81">
        <f t="shared" si="39"/>
        <v>28484.169999999995</v>
      </c>
      <c r="J525" s="81">
        <f t="shared" si="39"/>
        <v>0</v>
      </c>
      <c r="K525" s="81">
        <f t="shared" si="39"/>
        <v>1000</v>
      </c>
      <c r="L525" s="70">
        <f t="shared" si="39"/>
        <v>4510911.6999999993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63036+209238.18+84061.76+18356.09+8385.05</f>
        <v>383077.08</v>
      </c>
      <c r="G527" s="18">
        <f>44461.2+93953.81+23386.49+15937.86+2713.05</f>
        <v>180452.40999999997</v>
      </c>
      <c r="H527" s="18">
        <f>-5028.55+66018.43</f>
        <v>60989.87999999999</v>
      </c>
      <c r="I527" s="18">
        <f>500+363.95+253.79</f>
        <v>1117.74</v>
      </c>
      <c r="J527" s="18"/>
      <c r="K527" s="18"/>
      <c r="L527" s="69">
        <f>SUM(F527:K527)</f>
        <v>625637.11</v>
      </c>
      <c r="M527" s="8"/>
      <c r="N527" s="164"/>
    </row>
    <row r="528" spans="1:14" s="3" customFormat="1" ht="12.2" customHeight="1" x14ac:dyDescent="0.15">
      <c r="A528" s="21" t="s">
        <v>634</v>
      </c>
      <c r="B528" s="22">
        <v>21</v>
      </c>
      <c r="C528" s="22">
        <v>6</v>
      </c>
      <c r="D528" s="2" t="s">
        <v>432</v>
      </c>
      <c r="E528" s="22"/>
      <c r="F528" s="18">
        <f>42353.5+80377.43+9733.18+4446.12</f>
        <v>136910.22999999998</v>
      </c>
      <c r="G528" s="18">
        <f>25136.03+51513.65+8450.94+1438.58</f>
        <v>86539.199999999997</v>
      </c>
      <c r="H528" s="18">
        <f>35005.8</f>
        <v>35005.800000000003</v>
      </c>
      <c r="I528" s="18">
        <f>481.46+469.6+315.72</f>
        <v>1266.78</v>
      </c>
      <c r="J528" s="18"/>
      <c r="K528" s="18"/>
      <c r="L528" s="69">
        <f>SUM(F528:K528)</f>
        <v>259722.00999999998</v>
      </c>
      <c r="M528" s="8"/>
      <c r="N528" s="164"/>
    </row>
    <row r="529" spans="1:14" s="3" customFormat="1" ht="12.2" customHeight="1" thickBot="1" x14ac:dyDescent="0.2">
      <c r="A529" s="21" t="s">
        <v>635</v>
      </c>
      <c r="B529" s="22">
        <v>21</v>
      </c>
      <c r="C529" s="22">
        <v>7</v>
      </c>
      <c r="D529" s="2" t="s">
        <v>432</v>
      </c>
      <c r="E529" s="22"/>
      <c r="F529" s="18">
        <f>42353.32+83447.61+16004.55+7310.88</f>
        <v>149116.35999999999</v>
      </c>
      <c r="G529" s="18">
        <f>25135.36+32888.73+13896.11+2365.5</f>
        <v>74285.700000000012</v>
      </c>
      <c r="H529" s="18">
        <f>81750+57561.02</f>
        <v>139311.01999999999</v>
      </c>
      <c r="I529" s="18"/>
      <c r="J529" s="18"/>
      <c r="K529" s="18"/>
      <c r="L529" s="69">
        <f>SUM(F529:K529)</f>
        <v>362713.07999999996</v>
      </c>
      <c r="M529" s="8"/>
      <c r="N529" s="164"/>
    </row>
    <row r="530" spans="1:14" s="3" customFormat="1" ht="12.2" customHeight="1" thickTop="1" x14ac:dyDescent="0.15">
      <c r="A530" s="97" t="s">
        <v>65</v>
      </c>
      <c r="B530" s="41">
        <v>21</v>
      </c>
      <c r="C530" s="41">
        <v>8</v>
      </c>
      <c r="D530" s="115" t="s">
        <v>432</v>
      </c>
      <c r="E530" s="41"/>
      <c r="F530" s="70">
        <f>SUM(F527:F529)</f>
        <v>669103.66999999993</v>
      </c>
      <c r="G530" s="70">
        <f t="shared" ref="G530:L530" si="40">SUM(G527:G529)</f>
        <v>341277.31</v>
      </c>
      <c r="H530" s="70">
        <f t="shared" si="40"/>
        <v>235306.69999999998</v>
      </c>
      <c r="I530" s="70">
        <f t="shared" si="40"/>
        <v>2384.52</v>
      </c>
      <c r="J530" s="70">
        <f t="shared" si="40"/>
        <v>0</v>
      </c>
      <c r="K530" s="70">
        <f t="shared" si="40"/>
        <v>0</v>
      </c>
      <c r="L530" s="70">
        <f t="shared" si="40"/>
        <v>1248072.2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86149.2</v>
      </c>
      <c r="G532" s="18">
        <v>33756.17</v>
      </c>
      <c r="H532" s="18"/>
      <c r="I532" s="18"/>
      <c r="J532" s="18"/>
      <c r="K532" s="18"/>
      <c r="L532" s="69">
        <f>SUM(F532:K532)</f>
        <v>119905.37</v>
      </c>
      <c r="M532" s="8"/>
      <c r="N532" s="164"/>
    </row>
    <row r="533" spans="1:14" s="3" customFormat="1" ht="12.2" customHeight="1" x14ac:dyDescent="0.15">
      <c r="A533" s="21" t="s">
        <v>634</v>
      </c>
      <c r="B533" s="22">
        <v>21</v>
      </c>
      <c r="C533" s="22">
        <v>10</v>
      </c>
      <c r="D533" s="2" t="s">
        <v>432</v>
      </c>
      <c r="E533" s="22"/>
      <c r="F533" s="18">
        <v>90007.38</v>
      </c>
      <c r="G533" s="18">
        <v>34312.39</v>
      </c>
      <c r="H533" s="18"/>
      <c r="I533" s="18"/>
      <c r="J533" s="18"/>
      <c r="K533" s="18"/>
      <c r="L533" s="69">
        <f>SUM(F533:K533)</f>
        <v>124319.77</v>
      </c>
      <c r="M533" s="8"/>
      <c r="N533" s="164"/>
    </row>
    <row r="534" spans="1:14" s="3" customFormat="1" ht="12.2" customHeight="1" thickBot="1" x14ac:dyDescent="0.2">
      <c r="A534" s="21" t="s">
        <v>635</v>
      </c>
      <c r="B534" s="22">
        <v>21</v>
      </c>
      <c r="C534" s="22">
        <v>11</v>
      </c>
      <c r="D534" s="2" t="s">
        <v>432</v>
      </c>
      <c r="E534" s="22"/>
      <c r="F534" s="18">
        <v>89166.68</v>
      </c>
      <c r="G534" s="18">
        <v>35418.839999999997</v>
      </c>
      <c r="H534" s="18"/>
      <c r="I534" s="18"/>
      <c r="J534" s="18"/>
      <c r="K534" s="18"/>
      <c r="L534" s="69">
        <f>SUM(F534:K534)</f>
        <v>124585.51999999999</v>
      </c>
      <c r="M534" s="8"/>
      <c r="N534" s="164"/>
    </row>
    <row r="535" spans="1:14" s="3" customFormat="1" ht="12.2" customHeight="1" thickTop="1" x14ac:dyDescent="0.15">
      <c r="A535" s="97" t="s">
        <v>67</v>
      </c>
      <c r="B535" s="41">
        <v>21</v>
      </c>
      <c r="C535" s="41">
        <v>12</v>
      </c>
      <c r="D535" s="115" t="s">
        <v>432</v>
      </c>
      <c r="E535" s="41"/>
      <c r="F535" s="70">
        <f>SUM(F532:F534)</f>
        <v>265323.26</v>
      </c>
      <c r="G535" s="70">
        <f t="shared" ref="G535:L535" si="41">SUM(G532:G534)</f>
        <v>103487.4</v>
      </c>
      <c r="H535" s="70">
        <f t="shared" si="41"/>
        <v>0</v>
      </c>
      <c r="I535" s="70">
        <f t="shared" si="41"/>
        <v>0</v>
      </c>
      <c r="J535" s="70">
        <f t="shared" si="41"/>
        <v>0</v>
      </c>
      <c r="K535" s="70">
        <f t="shared" si="41"/>
        <v>0</v>
      </c>
      <c r="L535" s="70">
        <f t="shared" si="41"/>
        <v>368810.66000000003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86192.4</v>
      </c>
      <c r="I542" s="18"/>
      <c r="J542" s="18"/>
      <c r="K542" s="18"/>
      <c r="L542" s="69">
        <f>SUM(F542:K542)</f>
        <v>86192.4</v>
      </c>
      <c r="M542" s="8"/>
      <c r="N542" s="164"/>
    </row>
    <row r="543" spans="1:14" s="3" customFormat="1" ht="12.2" customHeight="1" x14ac:dyDescent="0.15">
      <c r="A543" s="21" t="s">
        <v>634</v>
      </c>
      <c r="B543" s="22">
        <v>21</v>
      </c>
      <c r="C543" s="22">
        <v>18</v>
      </c>
      <c r="D543" s="2" t="s">
        <v>432</v>
      </c>
      <c r="E543" s="22"/>
      <c r="F543" s="18"/>
      <c r="G543" s="18"/>
      <c r="H543" s="18">
        <f>1280+45702.9</f>
        <v>46982.9</v>
      </c>
      <c r="I543" s="18"/>
      <c r="J543" s="18"/>
      <c r="K543" s="18"/>
      <c r="L543" s="69">
        <f>SUM(F543:K543)</f>
        <v>46982.9</v>
      </c>
      <c r="M543" s="8"/>
      <c r="N543" s="164"/>
    </row>
    <row r="544" spans="1:14" s="3" customFormat="1" ht="12.2" customHeight="1" thickBot="1" x14ac:dyDescent="0.2">
      <c r="A544" s="21" t="s">
        <v>635</v>
      </c>
      <c r="B544" s="22">
        <v>21</v>
      </c>
      <c r="C544" s="22">
        <v>19</v>
      </c>
      <c r="D544" s="2" t="s">
        <v>432</v>
      </c>
      <c r="E544" s="22"/>
      <c r="F544" s="18"/>
      <c r="G544" s="18"/>
      <c r="H544" s="18">
        <f>181057+75150.57</f>
        <v>256207.57</v>
      </c>
      <c r="I544" s="18"/>
      <c r="J544" s="18"/>
      <c r="K544" s="18"/>
      <c r="L544" s="69">
        <f>SUM(F544:K544)</f>
        <v>256207.57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3">SUM(G542:G544)</f>
        <v>0</v>
      </c>
      <c r="H545" s="140">
        <f t="shared" si="43"/>
        <v>389382.87</v>
      </c>
      <c r="I545" s="140">
        <f t="shared" si="43"/>
        <v>0</v>
      </c>
      <c r="J545" s="140">
        <f t="shared" si="43"/>
        <v>0</v>
      </c>
      <c r="K545" s="140">
        <f t="shared" si="43"/>
        <v>0</v>
      </c>
      <c r="L545" s="140">
        <f t="shared" si="43"/>
        <v>389382.87</v>
      </c>
      <c r="M545" s="8"/>
      <c r="N545" s="164"/>
    </row>
    <row r="546" spans="1:14" s="3" customFormat="1" ht="12.2" customHeight="1" thickTop="1" x14ac:dyDescent="0.15">
      <c r="A546" s="75" t="s">
        <v>72</v>
      </c>
      <c r="B546" s="41">
        <v>21</v>
      </c>
      <c r="C546" s="41">
        <v>21</v>
      </c>
      <c r="D546" s="115" t="s">
        <v>432</v>
      </c>
      <c r="E546" s="41"/>
      <c r="F546" s="70">
        <f>F525+F530+F535+F540+F545</f>
        <v>3667880.2800000003</v>
      </c>
      <c r="G546" s="70">
        <f t="shared" ref="G546:L546" si="44">G525+G530+G535+G540+G545</f>
        <v>1878788.81</v>
      </c>
      <c r="H546" s="70">
        <f t="shared" si="44"/>
        <v>938639.65</v>
      </c>
      <c r="I546" s="70">
        <f t="shared" si="44"/>
        <v>30868.689999999995</v>
      </c>
      <c r="J546" s="70">
        <f t="shared" si="44"/>
        <v>0</v>
      </c>
      <c r="K546" s="70">
        <f t="shared" si="44"/>
        <v>1000</v>
      </c>
      <c r="L546" s="70">
        <f t="shared" si="44"/>
        <v>6517177.4299999997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2109514.3199999998</v>
      </c>
      <c r="G550" s="69">
        <f>L527</f>
        <v>625637.11</v>
      </c>
      <c r="H550" s="69">
        <f>L532</f>
        <v>119905.37</v>
      </c>
      <c r="I550" s="69">
        <f>L537</f>
        <v>0</v>
      </c>
      <c r="J550" s="69">
        <f>L542</f>
        <v>86192.4</v>
      </c>
      <c r="K550" s="69">
        <f>SUM(F550:J550)</f>
        <v>2941249.1999999997</v>
      </c>
      <c r="L550" s="23" t="s">
        <v>288</v>
      </c>
      <c r="M550" s="8"/>
      <c r="N550" s="164"/>
    </row>
    <row r="551" spans="1:14" s="3" customFormat="1" ht="12.2" customHeight="1" x14ac:dyDescent="0.15">
      <c r="A551" s="21" t="s">
        <v>634</v>
      </c>
      <c r="B551" s="22">
        <v>21</v>
      </c>
      <c r="C551" s="22">
        <v>23</v>
      </c>
      <c r="D551" s="2" t="s">
        <v>432</v>
      </c>
      <c r="E551" s="22"/>
      <c r="F551" s="69">
        <f>L523</f>
        <v>1125163.94</v>
      </c>
      <c r="G551" s="69">
        <f>L528</f>
        <v>259722.00999999998</v>
      </c>
      <c r="H551" s="69">
        <f>L533</f>
        <v>124319.77</v>
      </c>
      <c r="I551" s="69">
        <f>L538</f>
        <v>0</v>
      </c>
      <c r="J551" s="69">
        <f>L543</f>
        <v>46982.9</v>
      </c>
      <c r="K551" s="69">
        <f>SUM(F551:J551)</f>
        <v>1556188.6199999999</v>
      </c>
      <c r="L551" s="23" t="s">
        <v>288</v>
      </c>
      <c r="M551" s="8"/>
      <c r="N551" s="164"/>
    </row>
    <row r="552" spans="1:14" s="3" customFormat="1" ht="12.2" customHeight="1" thickBot="1" x14ac:dyDescent="0.2">
      <c r="A552" s="21" t="s">
        <v>635</v>
      </c>
      <c r="B552" s="22">
        <v>21</v>
      </c>
      <c r="C552" s="22">
        <v>24</v>
      </c>
      <c r="D552" s="2" t="s">
        <v>432</v>
      </c>
      <c r="E552" s="22"/>
      <c r="F552" s="69">
        <f>L524</f>
        <v>1276233.44</v>
      </c>
      <c r="G552" s="69">
        <f>L529</f>
        <v>362713.07999999996</v>
      </c>
      <c r="H552" s="69">
        <f>L534</f>
        <v>124585.51999999999</v>
      </c>
      <c r="I552" s="69">
        <f>L539</f>
        <v>0</v>
      </c>
      <c r="J552" s="69">
        <f>L544</f>
        <v>256207.57</v>
      </c>
      <c r="K552" s="69">
        <f>SUM(F552:J552)</f>
        <v>2019739.61</v>
      </c>
      <c r="L552" s="23" t="s">
        <v>288</v>
      </c>
      <c r="M552" s="8"/>
      <c r="N552" s="164"/>
    </row>
    <row r="553" spans="1:14" s="3" customFormat="1" ht="12.2" customHeight="1" thickTop="1" x14ac:dyDescent="0.15">
      <c r="A553" s="126" t="s">
        <v>340</v>
      </c>
      <c r="B553" s="41">
        <v>21</v>
      </c>
      <c r="C553" s="41">
        <v>25</v>
      </c>
      <c r="D553" s="36" t="s">
        <v>432</v>
      </c>
      <c r="E553" s="41"/>
      <c r="F553" s="70">
        <f t="shared" ref="F553:K553" si="45">SUM(F550:F552)</f>
        <v>4510911.6999999993</v>
      </c>
      <c r="G553" s="70">
        <f t="shared" si="45"/>
        <v>1248072.2</v>
      </c>
      <c r="H553" s="70">
        <f t="shared" si="45"/>
        <v>368810.66000000003</v>
      </c>
      <c r="I553" s="70">
        <f t="shared" si="45"/>
        <v>0</v>
      </c>
      <c r="J553" s="70">
        <f t="shared" si="45"/>
        <v>389382.87</v>
      </c>
      <c r="K553" s="70">
        <f t="shared" si="45"/>
        <v>6517177.4299999997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8">SUM(G568:G570)</f>
        <v>0</v>
      </c>
      <c r="H571" s="140">
        <f t="shared" si="48"/>
        <v>0</v>
      </c>
      <c r="I571" s="140">
        <f t="shared" si="48"/>
        <v>0</v>
      </c>
      <c r="J571" s="140">
        <f t="shared" si="48"/>
        <v>0</v>
      </c>
      <c r="K571" s="140">
        <f t="shared" si="48"/>
        <v>0</v>
      </c>
      <c r="L571" s="140">
        <f t="shared" si="48"/>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50"/>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v>39357.410000000003</v>
      </c>
      <c r="H580" s="18"/>
      <c r="I580" s="69">
        <f t="shared" si="50"/>
        <v>39357.410000000003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50"/>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198049.12</v>
      </c>
      <c r="I583" s="69">
        <f t="shared" si="50"/>
        <v>198049.12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87099.28</v>
      </c>
      <c r="I585" s="69">
        <f t="shared" si="50"/>
        <v>87099.28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50"/>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50"/>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51">SUM(G576:G588)</f>
        <v>39357.410000000003</v>
      </c>
      <c r="H589" s="79">
        <f t="shared" si="51"/>
        <v>285148.40000000002</v>
      </c>
      <c r="I589" s="79">
        <f t="shared" si="51"/>
        <v>324505.81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278628.38</v>
      </c>
      <c r="I592" s="18">
        <v>147740.68</v>
      </c>
      <c r="J592" s="18">
        <v>242934.17</v>
      </c>
      <c r="K592" s="80">
        <f t="shared" ref="K592:K598" si="52">SUM(H592:J592)</f>
        <v>669303.23</v>
      </c>
      <c r="L592" s="23" t="s">
        <v>288</v>
      </c>
      <c r="M592" s="8"/>
      <c r="N592" s="164"/>
    </row>
    <row r="593" spans="1:14" s="3" customFormat="1" ht="12.2" customHeight="1" x14ac:dyDescent="0.15">
      <c r="A593" s="3" t="s">
        <v>638</v>
      </c>
      <c r="B593" s="22">
        <v>23</v>
      </c>
      <c r="C593" s="22">
        <v>2</v>
      </c>
      <c r="D593" s="2" t="s">
        <v>432</v>
      </c>
      <c r="E593" s="22"/>
      <c r="F593" s="78">
        <v>2722</v>
      </c>
      <c r="G593" s="79" t="s">
        <v>97</v>
      </c>
      <c r="H593" s="18">
        <v>86192.4</v>
      </c>
      <c r="I593" s="18">
        <f>1280+45702.9</f>
        <v>46982.9</v>
      </c>
      <c r="J593" s="18">
        <f>181057+75150.57</f>
        <v>256207.57</v>
      </c>
      <c r="K593" s="80">
        <f t="shared" si="52"/>
        <v>389382.87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73828.259999999995</v>
      </c>
      <c r="K594" s="80">
        <f t="shared" si="52"/>
        <v>73828.259999999995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6142.89</v>
      </c>
      <c r="J595" s="18">
        <v>44444.480000000003</v>
      </c>
      <c r="K595" s="80">
        <f t="shared" si="52"/>
        <v>50587.37</v>
      </c>
      <c r="L595" s="23" t="s">
        <v>288</v>
      </c>
      <c r="M595" s="8"/>
      <c r="N595" s="164"/>
    </row>
    <row r="596" spans="1:14" s="3" customFormat="1" ht="12.2" customHeight="1" x14ac:dyDescent="0.15">
      <c r="A596" s="103" t="s">
        <v>652</v>
      </c>
      <c r="B596" s="22">
        <v>23</v>
      </c>
      <c r="C596" s="22">
        <v>5</v>
      </c>
      <c r="D596" s="2" t="s">
        <v>432</v>
      </c>
      <c r="E596" s="22"/>
      <c r="F596" s="78">
        <v>2725</v>
      </c>
      <c r="G596" s="79" t="s">
        <v>97</v>
      </c>
      <c r="H596" s="18">
        <f>5048.24+8203.14</f>
        <v>13251.38</v>
      </c>
      <c r="I596" s="18">
        <v>14130.75</v>
      </c>
      <c r="J596" s="18">
        <v>4518.96</v>
      </c>
      <c r="K596" s="80">
        <f t="shared" si="52"/>
        <v>31901.089999999997</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2"/>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2"/>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378072.16000000003</v>
      </c>
      <c r="I599" s="81">
        <f>SUM(I592:I598)</f>
        <v>214997.22</v>
      </c>
      <c r="J599" s="81">
        <f>SUM(J592:J598)</f>
        <v>621933.43999999994</v>
      </c>
      <c r="K599" s="81">
        <f>SUM(K592:K598)</f>
        <v>1215002.8200000003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21460.59</v>
      </c>
      <c r="I605" s="18">
        <f>J230+J310</f>
        <v>10633.98</v>
      </c>
      <c r="J605" s="18">
        <f>J248+J329</f>
        <v>26074.2</v>
      </c>
      <c r="K605" s="80">
        <f>SUM(H605:J605)</f>
        <v>58168.770000000004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21460.59</v>
      </c>
      <c r="I606" s="81">
        <f>SUM(I603:I605)</f>
        <v>10633.98</v>
      </c>
      <c r="J606" s="81">
        <f>SUM(J603:J605)</f>
        <v>26074.2</v>
      </c>
      <c r="K606" s="81">
        <f>SUM(K603:K605)</f>
        <v>58168.770000000004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1239587.57</v>
      </c>
      <c r="H618" s="80">
        <f>SUM(F52)</f>
        <v>1239587.57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166500.94999999998</v>
      </c>
      <c r="H619" s="80">
        <f>SUM(G52)</f>
        <v>166500.94999999998</v>
      </c>
      <c r="I619" s="87" t="s">
        <v>872</v>
      </c>
      <c r="J619" s="80">
        <f>G619-H619</f>
        <v>0</v>
      </c>
      <c r="K619" s="80"/>
      <c r="L619" s="80"/>
      <c r="M619" s="8"/>
    </row>
    <row r="620" spans="1:14" s="3" customFormat="1" ht="12.2" customHeight="1" x14ac:dyDescent="0.15">
      <c r="A620" s="74"/>
      <c r="B620" s="22"/>
      <c r="C620" s="22"/>
      <c r="D620" s="22"/>
      <c r="E620" s="22"/>
      <c r="F620" s="87" t="s">
        <v>685</v>
      </c>
      <c r="G620" s="80">
        <f>SUM(H19)</f>
        <v>188855.25</v>
      </c>
      <c r="H620" s="80">
        <f>SUM(H52)</f>
        <v>188855.25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1498447.09</v>
      </c>
      <c r="H622" s="80">
        <f>SUM(J52)</f>
        <v>1498447.09</v>
      </c>
      <c r="I622" s="87" t="s">
        <v>875</v>
      </c>
      <c r="J622" s="80">
        <f>G622-H622</f>
        <v>0</v>
      </c>
      <c r="K622" s="80"/>
      <c r="L622" s="80"/>
      <c r="M622" s="8"/>
    </row>
    <row r="623" spans="1:14" s="3" customFormat="1" ht="12.2" customHeight="1" x14ac:dyDescent="0.15">
      <c r="A623" s="74"/>
      <c r="B623" s="22"/>
      <c r="C623" s="22"/>
      <c r="D623" s="22"/>
      <c r="E623" s="22"/>
      <c r="F623" s="87" t="s">
        <v>861</v>
      </c>
      <c r="G623" s="80">
        <f>F51</f>
        <v>1187072.95</v>
      </c>
      <c r="H623" s="80">
        <f>F477</f>
        <v>1187072.9499999993</v>
      </c>
      <c r="I623" s="87" t="s">
        <v>101</v>
      </c>
      <c r="J623" s="80">
        <f t="shared" ref="J623:J656" si="54">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4"/>
        <v>0</v>
      </c>
      <c r="K624" s="80"/>
      <c r="L624" s="80"/>
      <c r="M624" s="8"/>
    </row>
    <row r="625" spans="1:13" s="3" customFormat="1" ht="12.2" customHeight="1" x14ac:dyDescent="0.15">
      <c r="A625" s="74"/>
      <c r="B625" s="22"/>
      <c r="C625" s="22"/>
      <c r="D625" s="22"/>
      <c r="E625" s="22"/>
      <c r="F625" s="86" t="s">
        <v>863</v>
      </c>
      <c r="G625" s="80">
        <f>H51</f>
        <v>188855.25</v>
      </c>
      <c r="H625" s="80">
        <f>H477</f>
        <v>188855.25</v>
      </c>
      <c r="I625" s="87" t="s">
        <v>103</v>
      </c>
      <c r="J625" s="80">
        <f t="shared" si="54"/>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4"/>
        <v>0</v>
      </c>
      <c r="K626" s="80"/>
      <c r="L626" s="80"/>
      <c r="M626" s="8"/>
    </row>
    <row r="627" spans="1:13" s="3" customFormat="1" ht="12.2" customHeight="1" x14ac:dyDescent="0.15">
      <c r="A627" s="21"/>
      <c r="B627" s="22"/>
      <c r="C627" s="22"/>
      <c r="D627" s="22"/>
      <c r="E627" s="22"/>
      <c r="F627" s="86" t="s">
        <v>865</v>
      </c>
      <c r="G627" s="80">
        <f>J51</f>
        <v>1498447.09</v>
      </c>
      <c r="H627" s="80">
        <f>J477</f>
        <v>1498447.0899999999</v>
      </c>
      <c r="I627" s="87" t="s">
        <v>105</v>
      </c>
      <c r="J627" s="80">
        <f t="shared" si="54"/>
        <v>0</v>
      </c>
      <c r="K627" s="67"/>
      <c r="L627" s="69"/>
      <c r="M627" s="8"/>
    </row>
    <row r="628" spans="1:13" s="3" customFormat="1" ht="12.2" customHeight="1" x14ac:dyDescent="0.15">
      <c r="A628" s="21"/>
      <c r="B628" s="22"/>
      <c r="C628" s="22"/>
      <c r="D628" s="22"/>
      <c r="E628" s="22"/>
      <c r="F628" s="86" t="s">
        <v>658</v>
      </c>
      <c r="G628" s="80">
        <f>F194</f>
        <v>24710290.140000001</v>
      </c>
      <c r="H628" s="80">
        <f>SUM(F469)</f>
        <v>24710290.140000001</v>
      </c>
      <c r="I628" s="87" t="s">
        <v>106</v>
      </c>
      <c r="J628" s="80">
        <f>G628-H628</f>
        <v>0</v>
      </c>
      <c r="K628" s="67"/>
      <c r="L628" s="69"/>
      <c r="M628" s="8"/>
    </row>
    <row r="629" spans="1:13" s="3" customFormat="1" ht="12.2" customHeight="1" x14ac:dyDescent="0.15">
      <c r="A629" s="21"/>
      <c r="B629" s="22"/>
      <c r="C629" s="22"/>
      <c r="D629" s="22"/>
      <c r="E629" s="22"/>
      <c r="F629" s="86" t="s">
        <v>659</v>
      </c>
      <c r="G629" s="80">
        <f>G194</f>
        <v>703134.39</v>
      </c>
      <c r="H629" s="80">
        <f>SUM(G469)</f>
        <v>703134.39</v>
      </c>
      <c r="I629" s="87" t="s">
        <v>107</v>
      </c>
      <c r="J629" s="80">
        <f>G629-H629</f>
        <v>0</v>
      </c>
      <c r="K629" s="67"/>
      <c r="L629" s="69"/>
      <c r="M629" s="8"/>
    </row>
    <row r="630" spans="1:13" s="3" customFormat="1" ht="12.2" customHeight="1" x14ac:dyDescent="0.15">
      <c r="A630" s="21"/>
      <c r="B630" s="22"/>
      <c r="C630" s="22"/>
      <c r="D630" s="22"/>
      <c r="E630" s="22"/>
      <c r="F630" s="86" t="s">
        <v>660</v>
      </c>
      <c r="G630" s="80">
        <f>H194</f>
        <v>1324967.4700000002</v>
      </c>
      <c r="H630" s="80">
        <f>SUM(H469)</f>
        <v>1324967.47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249386.89</v>
      </c>
      <c r="H632" s="80">
        <f>SUM(J469)</f>
        <v>249386.89</v>
      </c>
      <c r="I632" s="87" t="s">
        <v>110</v>
      </c>
      <c r="J632" s="80">
        <f>G632-H632</f>
        <v>0</v>
      </c>
      <c r="K632" s="67"/>
      <c r="L632" s="69"/>
      <c r="M632" s="8"/>
    </row>
    <row r="633" spans="1:13" s="3" customFormat="1" ht="12.2" customHeight="1" x14ac:dyDescent="0.15">
      <c r="A633" s="21"/>
      <c r="B633" s="22"/>
      <c r="C633" s="22"/>
      <c r="D633" s="22"/>
      <c r="E633" s="22"/>
      <c r="F633" s="86" t="s">
        <v>394</v>
      </c>
      <c r="G633" s="80">
        <f>SUM(L272)</f>
        <v>24321514.91</v>
      </c>
      <c r="H633" s="80">
        <f>SUM(F473)</f>
        <v>24321514.91</v>
      </c>
      <c r="I633" s="87" t="s">
        <v>111</v>
      </c>
      <c r="J633" s="80">
        <f t="shared" si="54"/>
        <v>0</v>
      </c>
      <c r="K633" s="67"/>
      <c r="L633" s="69"/>
      <c r="M633" s="8"/>
    </row>
    <row r="634" spans="1:13" s="3" customFormat="1" ht="12.2" customHeight="1" x14ac:dyDescent="0.15">
      <c r="A634" s="21"/>
      <c r="B634" s="22"/>
      <c r="C634" s="22"/>
      <c r="D634" s="22"/>
      <c r="E634" s="22"/>
      <c r="F634" s="86" t="s">
        <v>395</v>
      </c>
      <c r="G634" s="80">
        <f>SUM(L353)</f>
        <v>1308041.73</v>
      </c>
      <c r="H634" s="80">
        <f>SUM(H473)</f>
        <v>1308041.73</v>
      </c>
      <c r="I634" s="87" t="s">
        <v>112</v>
      </c>
      <c r="J634" s="80">
        <f>G634-H634</f>
        <v>0</v>
      </c>
      <c r="K634" s="67"/>
      <c r="L634" s="69"/>
      <c r="M634" s="8"/>
    </row>
    <row r="635" spans="1:13" s="124" customFormat="1" ht="12.2" customHeight="1" x14ac:dyDescent="0.15">
      <c r="A635" s="21"/>
      <c r="B635" s="22"/>
      <c r="C635" s="22"/>
      <c r="D635" s="22"/>
      <c r="E635" s="22"/>
      <c r="F635" s="99" t="s">
        <v>247</v>
      </c>
      <c r="G635" s="80">
        <f>I363</f>
        <v>398159.02999999997</v>
      </c>
      <c r="H635" s="80">
        <f>I370</f>
        <v>398159.03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816821.88</v>
      </c>
      <c r="H636" s="80">
        <f>SUM(G473)</f>
        <v>816821.88</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249386.89</v>
      </c>
      <c r="H638" s="108">
        <f>SUM(J469)</f>
        <v>249386.89</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172886.5</v>
      </c>
      <c r="H639" s="108">
        <f>SUM(J473)</f>
        <v>172886.5</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4"/>
        <v>0</v>
      </c>
      <c r="K640" s="67"/>
      <c r="L640" s="69"/>
      <c r="M640" s="8"/>
    </row>
    <row r="641" spans="1:13" s="3" customFormat="1" ht="12.2" customHeight="1" x14ac:dyDescent="0.15">
      <c r="A641" s="21"/>
      <c r="B641" s="22"/>
      <c r="C641" s="22"/>
      <c r="D641" s="22"/>
      <c r="E641" s="22"/>
      <c r="F641" s="86" t="s">
        <v>119</v>
      </c>
      <c r="G641" s="80">
        <f>SUM(G447)</f>
        <v>1498447.09</v>
      </c>
      <c r="H641" s="80">
        <f>SUM(G462)</f>
        <v>1498447.09</v>
      </c>
      <c r="I641" s="87" t="s">
        <v>838</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4"/>
        <v>0</v>
      </c>
      <c r="K642" s="67"/>
      <c r="L642" s="69"/>
      <c r="M642" s="8"/>
    </row>
    <row r="643" spans="1:13" s="3" customFormat="1" ht="12.2" customHeight="1" x14ac:dyDescent="0.15">
      <c r="A643" s="21"/>
      <c r="B643" s="22"/>
      <c r="C643" s="22"/>
      <c r="D643" s="22"/>
      <c r="E643" s="22"/>
      <c r="F643" s="86" t="s">
        <v>121</v>
      </c>
      <c r="G643" s="80">
        <f>SUM(I447)</f>
        <v>1498447.09</v>
      </c>
      <c r="H643" s="80">
        <f>SUM(I462)</f>
        <v>1498447.09</v>
      </c>
      <c r="I643" s="87" t="s">
        <v>840</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39386.89</v>
      </c>
      <c r="H645" s="80">
        <f>H409</f>
        <v>39386.89</v>
      </c>
      <c r="I645" s="87" t="s">
        <v>480</v>
      </c>
      <c r="J645" s="80">
        <f t="shared" si="54"/>
        <v>0</v>
      </c>
      <c r="K645" s="67"/>
      <c r="L645" s="69"/>
      <c r="M645" s="8"/>
    </row>
    <row r="646" spans="1:13" s="3" customFormat="1" ht="12.2" customHeight="1" x14ac:dyDescent="0.15">
      <c r="A646" s="21"/>
      <c r="B646" s="22"/>
      <c r="C646" s="22"/>
      <c r="D646" s="22"/>
      <c r="E646" s="22"/>
      <c r="F646" s="86" t="s">
        <v>664</v>
      </c>
      <c r="G646" s="80">
        <f>J184</f>
        <v>210000</v>
      </c>
      <c r="H646" s="80">
        <f>G409</f>
        <v>210000</v>
      </c>
      <c r="I646" s="87" t="s">
        <v>481</v>
      </c>
      <c r="J646" s="80">
        <f t="shared" si="54"/>
        <v>0</v>
      </c>
      <c r="K646" s="67"/>
      <c r="L646" s="69"/>
      <c r="M646" s="8"/>
    </row>
    <row r="647" spans="1:13" s="3" customFormat="1" ht="12.2" customHeight="1" x14ac:dyDescent="0.15">
      <c r="A647" s="21"/>
      <c r="B647" s="22"/>
      <c r="C647" s="22"/>
      <c r="D647" s="22"/>
      <c r="E647" s="22"/>
      <c r="F647" s="86" t="s">
        <v>662</v>
      </c>
      <c r="G647" s="80">
        <f>J194</f>
        <v>249386.89</v>
      </c>
      <c r="H647" s="80">
        <f>L409</f>
        <v>249386.89</v>
      </c>
      <c r="I647" s="87" t="s">
        <v>477</v>
      </c>
      <c r="J647" s="80">
        <f t="shared" si="54"/>
        <v>0</v>
      </c>
      <c r="K647" s="67"/>
      <c r="L647" s="69"/>
      <c r="M647" s="8"/>
    </row>
    <row r="648" spans="1:13" s="3" customFormat="1" ht="12.2" customHeight="1" x14ac:dyDescent="0.15">
      <c r="A648" s="21"/>
      <c r="B648" s="22"/>
      <c r="C648" s="22"/>
      <c r="D648" s="22"/>
      <c r="E648" s="22"/>
      <c r="F648" s="86" t="s">
        <v>51</v>
      </c>
      <c r="G648" s="80">
        <f>K599</f>
        <v>1215002.8200000003</v>
      </c>
      <c r="H648" s="80">
        <f>L209+L227+L245</f>
        <v>1215002.8199999998</v>
      </c>
      <c r="I648" s="87" t="s">
        <v>396</v>
      </c>
      <c r="J648" s="80">
        <f t="shared" si="54"/>
        <v>0</v>
      </c>
      <c r="K648" s="67"/>
      <c r="L648" s="69"/>
      <c r="M648" s="8"/>
    </row>
    <row r="649" spans="1:13" s="3" customFormat="1" ht="12.2" customHeight="1" x14ac:dyDescent="0.15">
      <c r="A649" s="21"/>
      <c r="B649" s="22"/>
      <c r="C649" s="22"/>
      <c r="D649" s="22"/>
      <c r="E649" s="22"/>
      <c r="F649" s="86" t="s">
        <v>52</v>
      </c>
      <c r="G649" s="80">
        <f>K606</f>
        <v>58168.770000000004</v>
      </c>
      <c r="H649" s="80">
        <f>(J258+J339)-(J256+J337)</f>
        <v>58168.770000000004</v>
      </c>
      <c r="I649" s="87" t="s">
        <v>699</v>
      </c>
      <c r="J649" s="80">
        <f t="shared" si="54"/>
        <v>0</v>
      </c>
      <c r="K649" s="67"/>
      <c r="L649" s="69"/>
      <c r="M649" s="8"/>
    </row>
    <row r="650" spans="1:13" s="3" customFormat="1" ht="12.2" customHeight="1" x14ac:dyDescent="0.15">
      <c r="A650" s="21"/>
      <c r="B650" s="22"/>
      <c r="C650" s="22"/>
      <c r="D650" s="22"/>
      <c r="E650" s="22"/>
      <c r="F650" s="86" t="s">
        <v>387</v>
      </c>
      <c r="G650" s="80">
        <f>L209</f>
        <v>378072.16000000003</v>
      </c>
      <c r="H650" s="80">
        <f>H599</f>
        <v>378072.16000000003</v>
      </c>
      <c r="I650" s="87" t="s">
        <v>388</v>
      </c>
      <c r="J650" s="80">
        <f t="shared" si="54"/>
        <v>0</v>
      </c>
      <c r="K650" s="67"/>
      <c r="L650" s="69"/>
      <c r="M650" s="8"/>
    </row>
    <row r="651" spans="1:13" s="3" customFormat="1" ht="12.2" customHeight="1" x14ac:dyDescent="0.15">
      <c r="A651" s="21"/>
      <c r="B651" s="22"/>
      <c r="C651" s="22"/>
      <c r="D651" s="22"/>
      <c r="E651" s="22"/>
      <c r="F651" s="86" t="s">
        <v>392</v>
      </c>
      <c r="G651" s="80">
        <f>L227</f>
        <v>214997.21999999997</v>
      </c>
      <c r="H651" s="80">
        <f>I599</f>
        <v>214997.22</v>
      </c>
      <c r="I651" s="87" t="s">
        <v>389</v>
      </c>
      <c r="J651" s="80">
        <f t="shared" si="54"/>
        <v>0</v>
      </c>
      <c r="K651" s="67"/>
      <c r="L651" s="69"/>
      <c r="M651" s="8"/>
    </row>
    <row r="652" spans="1:13" s="3" customFormat="1" ht="12.2" customHeight="1" x14ac:dyDescent="0.15">
      <c r="A652" s="21"/>
      <c r="B652" s="22"/>
      <c r="C652" s="22"/>
      <c r="D652" s="22"/>
      <c r="E652" s="22"/>
      <c r="F652" s="86" t="s">
        <v>393</v>
      </c>
      <c r="G652" s="80">
        <f>L245</f>
        <v>621933.43999999994</v>
      </c>
      <c r="H652" s="80">
        <f>J599</f>
        <v>621933.43999999994</v>
      </c>
      <c r="I652" s="87" t="s">
        <v>390</v>
      </c>
      <c r="J652" s="80">
        <f t="shared" si="54"/>
        <v>0</v>
      </c>
      <c r="K652" s="67"/>
      <c r="L652" s="69"/>
      <c r="M652" s="8"/>
    </row>
    <row r="653" spans="1:13" s="3" customFormat="1" ht="12.2" customHeight="1" x14ac:dyDescent="0.15">
      <c r="A653" s="21"/>
      <c r="B653" s="22"/>
      <c r="C653" s="22"/>
      <c r="D653" s="22"/>
      <c r="E653" s="22"/>
      <c r="F653" s="86" t="s">
        <v>665</v>
      </c>
      <c r="G653" s="80">
        <f>G180+G182</f>
        <v>50000</v>
      </c>
      <c r="H653" s="80">
        <f>K264+K346</f>
        <v>50000</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210000</v>
      </c>
      <c r="H656" s="80">
        <f>K267+K348</f>
        <v>210000</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10542287.34</v>
      </c>
      <c r="G661" s="13">
        <f>(L230+L310+L360)</f>
        <v>5885381.1999999993</v>
      </c>
      <c r="H661" s="13">
        <f>(L248+L329+L361)</f>
        <v>9758709.9800000004</v>
      </c>
      <c r="I661" s="13">
        <f>SUM(F661:H661)</f>
        <v>26186378.52</v>
      </c>
      <c r="J661" s="13"/>
      <c r="K661" s="13"/>
      <c r="L661" s="13"/>
      <c r="M661" s="9"/>
    </row>
    <row r="662" spans="1:13" s="3" customFormat="1" ht="12.2" customHeight="1" x14ac:dyDescent="0.2">
      <c r="A662" s="1" t="s">
        <v>127</v>
      </c>
      <c r="F662" s="13">
        <f>(L359/IF(SUM(L359:L361)=0,1,SUM(L359:L361))*(SUM(G97:G110)))</f>
        <v>142267.4477942246</v>
      </c>
      <c r="G662" s="13">
        <f>(L360/IF(SUM(L359:L361)=0,1,SUM(L359:L361))*(SUM(G97:G110)))</f>
        <v>89290.373816212174</v>
      </c>
      <c r="H662" s="13">
        <f>(L361/IF(SUM(L359:L361)=0,1,SUM(L359:L361))*(SUM(G97:G110)))</f>
        <v>84820.858389563218</v>
      </c>
      <c r="I662" s="13">
        <f>SUM(F662:H662)</f>
        <v>316378.68</v>
      </c>
      <c r="J662"/>
      <c r="K662" s="13"/>
      <c r="L662" s="13"/>
      <c r="M662" s="8"/>
    </row>
    <row r="663" spans="1:13" s="3" customFormat="1" ht="12.2" customHeight="1" x14ac:dyDescent="0.2">
      <c r="A663" s="1" t="s">
        <v>128</v>
      </c>
      <c r="F663" s="13">
        <f>(L209+L288)-(J209+J288)</f>
        <v>409290.24000000005</v>
      </c>
      <c r="G663" s="13">
        <f>(L227+L307)-(J227+J307)</f>
        <v>230124.86</v>
      </c>
      <c r="H663" s="13">
        <f>(L245+L326)-(J245+J326)</f>
        <v>646808.25</v>
      </c>
      <c r="I663" s="13">
        <f>SUM(F663:H663)</f>
        <v>1286223.3500000001</v>
      </c>
      <c r="J663"/>
      <c r="K663" s="13"/>
      <c r="L663" s="13"/>
      <c r="M663" s="9"/>
    </row>
    <row r="664" spans="1:13" s="3" customFormat="1" ht="12.2" customHeight="1" x14ac:dyDescent="0.15">
      <c r="A664" s="141" t="s">
        <v>129</v>
      </c>
      <c r="B664" s="124"/>
      <c r="C664" s="124"/>
      <c r="D664" s="124"/>
      <c r="E664" s="124"/>
      <c r="F664" s="142">
        <f>SUM(F576:F588)+SUM(H603:H605)+SUM(L612)</f>
        <v>21460.59</v>
      </c>
      <c r="G664" s="142">
        <f>SUM(G576:G588)+SUM(I603:I605)+L613</f>
        <v>49991.39</v>
      </c>
      <c r="H664" s="142">
        <f>SUM(H576:H588)+SUM(J603:J605)+L614</f>
        <v>311222.60000000003</v>
      </c>
      <c r="I664" s="13">
        <f>SUM(F664:H664)</f>
        <v>382674.58</v>
      </c>
      <c r="J664" s="13"/>
      <c r="K664" s="13"/>
      <c r="L664" s="13"/>
      <c r="M664" s="9"/>
    </row>
    <row r="665" spans="1:13" s="3" customFormat="1" ht="12.2" customHeight="1" x14ac:dyDescent="0.15">
      <c r="A665" s="1" t="s">
        <v>130</v>
      </c>
      <c r="F665" s="13">
        <f>F661-SUM(F662:F664)</f>
        <v>9969269.0622057747</v>
      </c>
      <c r="G665" s="13">
        <f>G661-SUM(G662:G664)</f>
        <v>5515974.5761837866</v>
      </c>
      <c r="H665" s="13">
        <f>H661-SUM(H662:H664)</f>
        <v>8715858.271610437</v>
      </c>
      <c r="I665" s="13">
        <f>I661-SUM(I662:I664)</f>
        <v>24201101.91</v>
      </c>
      <c r="J665" s="13"/>
      <c r="K665" s="13"/>
      <c r="L665" s="13"/>
      <c r="M665" s="8"/>
    </row>
    <row r="666" spans="1:13" s="3" customFormat="1" ht="12.2" customHeight="1" x14ac:dyDescent="0.2">
      <c r="A666" s="1" t="s">
        <v>131</v>
      </c>
      <c r="F666" s="182">
        <v>414.75</v>
      </c>
      <c r="G666" s="183">
        <v>219.94</v>
      </c>
      <c r="H666" s="183">
        <v>361.67</v>
      </c>
      <c r="I666" s="13">
        <f>SUM(F666:H666)</f>
        <v>996.36000000000013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24036.82</v>
      </c>
      <c r="G668" s="13">
        <f>ROUND(G665/G666,2)</f>
        <v>25079.45</v>
      </c>
      <c r="H668" s="13">
        <f>ROUND(H665/H666,2)</f>
        <v>24098.93</v>
      </c>
      <c r="I668" s="13">
        <f>ROUND(I665/I666,2)</f>
        <v>24289.52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t="str">
        <f t="shared" si="55"/>
        <v/>
      </c>
      <c r="H670" s="73" t="str">
        <f t="shared" si="55"/>
        <v/>
      </c>
      <c r="I670" s="13">
        <f>SUM(F670:H670)</f>
        <v>0</v>
      </c>
      <c r="J670" s="13"/>
      <c r="K670" s="13"/>
      <c r="L670" s="13"/>
      <c r="M670" s="9"/>
    </row>
    <row r="671" spans="1:13" s="3" customFormat="1" ht="12.2" customHeight="1" x14ac:dyDescent="0.15">
      <c r="A671" s="1" t="s">
        <v>135</v>
      </c>
      <c r="F671" s="18"/>
      <c r="G671" s="18"/>
      <c r="H671" s="18">
        <v>-7.83</v>
      </c>
      <c r="I671" s="13">
        <f>SUM(F671:H671)</f>
        <v>-7.83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24036.82</v>
      </c>
      <c r="G673" s="13">
        <f>ROUND((G665+G670)/(G666+G671),2)</f>
        <v>25079.45</v>
      </c>
      <c r="H673" s="13">
        <f>ROUND((H665+H670)/(H666+H671),2)</f>
        <v>24632.2</v>
      </c>
      <c r="I673" s="13">
        <f>ROUND((I665+I670)/(I666+I671),2)</f>
        <v>24481.91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102520.24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74224.97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7290.84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21004.43</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Hillsboro-Deering Cooperative</v>
      </c>
      <c r="C5" s="324"/>
      <c r="D5" s="324"/>
      <c r="E5" s="324"/>
      <c r="F5" s="324"/>
    </row>
    <row r="8" spans="1:9" ht="18" x14ac:dyDescent="0.25">
      <c r="A8" s="239" t="s">
        <v>1548</v>
      </c>
      <c r="F8" s="246" t="s">
        <v>1566</v>
      </c>
    </row>
    <row r="9" spans="1:9" ht="15" x14ac:dyDescent="0.2">
      <c r="A9" s="237" t="s">
        <v>1549</v>
      </c>
      <c r="B9" s="240">
        <f>'DOE25'!G97</f>
        <v>316378.68</v>
      </c>
      <c r="F9" s="237" t="s">
        <v>1562</v>
      </c>
    </row>
    <row r="10" spans="1:9" ht="15" x14ac:dyDescent="0.2">
      <c r="A10" s="237" t="s">
        <v>1550</v>
      </c>
      <c r="B10" s="240">
        <f>'DOE25'!G112-'DOE25'!G97</f>
        <v>0</v>
      </c>
      <c r="F10" s="237" t="s">
        <v>1563</v>
      </c>
    </row>
    <row r="11" spans="1:9" ht="15" x14ac:dyDescent="0.2">
      <c r="A11" s="237" t="s">
        <v>1551</v>
      </c>
      <c r="B11" s="240">
        <f>'DOE25'!G140</f>
        <v>7952.75</v>
      </c>
      <c r="F11" s="237" t="s">
        <v>1564</v>
      </c>
    </row>
    <row r="12" spans="1:9" ht="15" x14ac:dyDescent="0.2">
      <c r="A12" s="237" t="s">
        <v>1552</v>
      </c>
      <c r="B12" s="240">
        <f>'DOE25'!G170</f>
        <v>328802.96000000002</v>
      </c>
      <c r="F12" s="237" t="s">
        <v>1565</v>
      </c>
    </row>
    <row r="13" spans="1:9" ht="15" x14ac:dyDescent="0.2">
      <c r="A13" s="237" t="s">
        <v>1553</v>
      </c>
      <c r="B13" s="240">
        <f>'DOE25'!G193-'DOE25'!G180</f>
        <v>0</v>
      </c>
      <c r="F13" s="237" t="s">
        <v>1575</v>
      </c>
    </row>
    <row r="14" spans="1:9" ht="18" x14ac:dyDescent="0.25">
      <c r="A14" s="239" t="s">
        <v>732</v>
      </c>
      <c r="B14" s="241">
        <f>SUM(B9:B13)</f>
        <v>653134.39</v>
      </c>
    </row>
    <row r="16" spans="1:9" ht="18" x14ac:dyDescent="0.25">
      <c r="A16" s="239" t="s">
        <v>783</v>
      </c>
      <c r="F16" s="246" t="s">
        <v>1567</v>
      </c>
    </row>
    <row r="17" spans="1:6" ht="15" x14ac:dyDescent="0.2">
      <c r="A17" s="237" t="s">
        <v>1554</v>
      </c>
      <c r="B17" s="240">
        <f>'DOE25'!L363-'DOE25'!L362</f>
        <v>816821.88</v>
      </c>
      <c r="F17" s="237" t="s">
        <v>1568</v>
      </c>
    </row>
    <row r="18" spans="1:6" ht="15" x14ac:dyDescent="0.2">
      <c r="A18" s="237" t="s">
        <v>1555</v>
      </c>
      <c r="B18" s="250"/>
      <c r="F18" s="246" t="s">
        <v>1592</v>
      </c>
    </row>
    <row r="19" spans="1:6" ht="18" x14ac:dyDescent="0.25">
      <c r="A19" s="239" t="s">
        <v>725</v>
      </c>
      <c r="B19" s="241">
        <f>SUM(B17:B18)</f>
        <v>816821.88</v>
      </c>
    </row>
    <row r="21" spans="1:6" ht="18.75" thickBot="1" x14ac:dyDescent="0.3">
      <c r="A21" s="239" t="s">
        <v>1556</v>
      </c>
    </row>
    <row r="22" spans="1:6" ht="18.75" thickTop="1" x14ac:dyDescent="0.25">
      <c r="A22" s="239" t="s">
        <v>1557</v>
      </c>
      <c r="B22" s="245">
        <f>B14-B19</f>
        <v>-163687.49</v>
      </c>
      <c r="F22" s="237" t="s">
        <v>1569</v>
      </c>
    </row>
    <row r="26" spans="1:6" ht="18" x14ac:dyDescent="0.25">
      <c r="A26" s="239" t="s">
        <v>186</v>
      </c>
    </row>
    <row r="27" spans="1:6" ht="15" x14ac:dyDescent="0.2">
      <c r="A27" s="237" t="s">
        <v>1558</v>
      </c>
      <c r="B27" s="240">
        <f>'DOE25'!G180</f>
        <v>50000</v>
      </c>
      <c r="F27" s="237" t="s">
        <v>1570</v>
      </c>
    </row>
    <row r="28" spans="1:6" ht="15" x14ac:dyDescent="0.2">
      <c r="A28" s="237" t="s">
        <v>1560</v>
      </c>
      <c r="B28" s="240">
        <f>'DOE25'!L362</f>
        <v>0</v>
      </c>
      <c r="F28" s="237" t="s">
        <v>1571</v>
      </c>
    </row>
    <row r="31" spans="1:6" ht="15" x14ac:dyDescent="0.2">
      <c r="A31" s="237" t="s">
        <v>1789</v>
      </c>
      <c r="B31" s="240">
        <f>'DOE25'!G466</f>
        <v>12545.76</v>
      </c>
      <c r="F31" s="237" t="s">
        <v>1572</v>
      </c>
    </row>
    <row r="33" spans="1:6" ht="15" x14ac:dyDescent="0.2">
      <c r="A33" s="237" t="s">
        <v>1790</v>
      </c>
      <c r="B33" s="240">
        <f>'DOE25'!G477</f>
        <v>0</v>
      </c>
      <c r="F33" s="237" t="s">
        <v>1573</v>
      </c>
    </row>
    <row r="36" spans="1:6" ht="15" x14ac:dyDescent="0.2">
      <c r="A36" s="237" t="s">
        <v>1559</v>
      </c>
      <c r="B36" s="251">
        <f>17957.46+11781.61+8726.51</f>
        <v>38465.58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115" zoomScaleNormal="115" workbookViewId="0">
      <selection activeCell="C29" sqref="C2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Hillsboro-Deering Cooperative</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6374824.8999999994</v>
      </c>
      <c r="C9" s="166">
        <f>'DOE25'!G198+'DOE25'!G216+'DOE25'!G234+'DOE25'!G277+'DOE25'!G296+'DOE25'!G315</f>
        <v>2983639.2499999995</v>
      </c>
    </row>
    <row r="10" spans="1:3" x14ac:dyDescent="0.2">
      <c r="A10" t="s">
        <v>772</v>
      </c>
      <c r="B10" s="176">
        <f>6003003.68+271074.45</f>
        <v>6274078.1299999999</v>
      </c>
      <c r="C10" s="176">
        <f>2870581.71+92626.94</f>
        <v>2963208.65</v>
      </c>
    </row>
    <row r="11" spans="1:3" x14ac:dyDescent="0.2">
      <c r="A11" t="s">
        <v>773</v>
      </c>
      <c r="B11" s="176">
        <f>50526.77+17820</f>
        <v>68346.76999999999</v>
      </c>
      <c r="C11" s="176">
        <f>14263.95+3688.05</f>
        <v>17952</v>
      </c>
    </row>
    <row r="12" spans="1:3" x14ac:dyDescent="0.2">
      <c r="A12" t="s">
        <v>774</v>
      </c>
      <c r="B12" s="176">
        <v>32400</v>
      </c>
      <c r="C12" s="176">
        <v>2478.6</v>
      </c>
    </row>
    <row r="13" spans="1:3" x14ac:dyDescent="0.2">
      <c r="A13" t="str">
        <f>IF(B9=B13,IF(C9=C13,"Check Total OK","Check Total Error"),"Check Total Error")</f>
        <v>Check Total OK</v>
      </c>
      <c r="B13" s="168">
        <f>SUM(B10:B12)</f>
        <v>6374824.8999999994</v>
      </c>
      <c r="C13" s="168">
        <f>SUM(C10:C12)</f>
        <v>2983639.25</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2733453.3500000006</v>
      </c>
      <c r="C18" s="166">
        <f>'DOE25'!G199+'DOE25'!G217+'DOE25'!G235+'DOE25'!G278+'DOE25'!G297+'DOE25'!G316</f>
        <v>1434024.0999999999</v>
      </c>
    </row>
    <row r="19" spans="1:3" x14ac:dyDescent="0.2">
      <c r="A19" t="s">
        <v>772</v>
      </c>
      <c r="B19" s="176">
        <f>1390953.34+96747.6</f>
        <v>1487700.9400000002</v>
      </c>
      <c r="C19" s="176">
        <f>982074.01+46183.94</f>
        <v>1028257.95</v>
      </c>
    </row>
    <row r="20" spans="1:3" x14ac:dyDescent="0.2">
      <c r="A20" t="s">
        <v>773</v>
      </c>
      <c r="B20" s="176">
        <f>950083.51+18012.28</f>
        <v>968095.79</v>
      </c>
      <c r="C20" s="176">
        <f>378844.45+5680.97</f>
        <v>384525.42</v>
      </c>
    </row>
    <row r="21" spans="1:3" x14ac:dyDescent="0.2">
      <c r="A21" t="s">
        <v>774</v>
      </c>
      <c r="B21" s="176">
        <v>277656.62</v>
      </c>
      <c r="C21" s="176">
        <v>21240.73</v>
      </c>
    </row>
    <row r="22" spans="1:3" x14ac:dyDescent="0.2">
      <c r="A22" t="str">
        <f>IF(B18=B22,IF(C18=C22,"Check Total OK","Check Total Error"),"Check Total Error")</f>
        <v>Check Total OK</v>
      </c>
      <c r="B22" s="168">
        <f>SUM(B19:B21)</f>
        <v>2733453.3500000006</v>
      </c>
      <c r="C22" s="168">
        <f>SUM(C19:C21)</f>
        <v>1434024.0999999999</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212658.66</v>
      </c>
      <c r="C36" s="172">
        <f>'DOE25'!G201+'DOE25'!G219+'DOE25'!G237+'DOE25'!G280+'DOE25'!G299+'DOE25'!G318</f>
        <v>54233.14</v>
      </c>
    </row>
    <row r="37" spans="1:3" x14ac:dyDescent="0.2">
      <c r="A37" t="s">
        <v>772</v>
      </c>
      <c r="B37" s="176">
        <f>199007.41+13651.25</f>
        <v>212658.66</v>
      </c>
      <c r="C37" s="176">
        <f>51378.59+2854.55</f>
        <v>54233.14</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212658.66</v>
      </c>
      <c r="C40" s="168">
        <f>SUM(C37:C39)</f>
        <v>54233.14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42" zoomScaleNormal="142" workbookViewId="0">
      <pane ySplit="4" topLeftCell="A16" activePane="bottomLeft" state="frozen"/>
      <selection activeCell="F46" sqref="F46"/>
      <selection pane="bottomLeft" activeCell="H44" sqref="H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Hillsboro-Deering Cooperative</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13995381.93</v>
      </c>
      <c r="D5" s="19">
        <f>SUM('DOE25'!L198:L201)+SUM('DOE25'!L216:L219)+SUM('DOE25'!L234:L237)-F5-G5-H5</f>
        <v>13929619.51</v>
      </c>
      <c r="E5" s="179"/>
      <c r="F5" s="180"/>
      <c r="G5" s="19">
        <f>SUM('DOE25'!J198:J201)+SUM('DOE25'!J216:J219)+SUM('DOE25'!J234:J237)</f>
        <v>18928.18</v>
      </c>
      <c r="H5" s="19">
        <f>SUM('DOE25'!K198:K201)+SUM('DOE25'!K216:K219)+SUM('DOE25'!K234:K237)</f>
        <v>46834.239999999998</v>
      </c>
      <c r="I5" s="191"/>
    </row>
    <row r="6" spans="1:9" x14ac:dyDescent="0.2">
      <c r="A6" s="31">
        <v>2100</v>
      </c>
      <c r="B6" t="s">
        <v>793</v>
      </c>
      <c r="C6" s="205">
        <f t="shared" si="0"/>
        <v>2502184.3200000003</v>
      </c>
      <c r="D6" s="19">
        <f>'DOE25'!L203+'DOE25'!L221+'DOE25'!L239-F6-G6-H6</f>
        <v>2501804.3200000003</v>
      </c>
      <c r="E6" s="179"/>
      <c r="F6" s="180"/>
      <c r="G6" s="19">
        <f>'DOE25'!J203+'DOE25'!J221+'DOE25'!J239</f>
        <v>0</v>
      </c>
      <c r="H6" s="19">
        <f>'DOE25'!K203+'DOE25'!K221+'DOE25'!K239</f>
        <v>380</v>
      </c>
      <c r="I6" s="191"/>
    </row>
    <row r="7" spans="1:9" x14ac:dyDescent="0.2">
      <c r="A7" s="31">
        <v>2200</v>
      </c>
      <c r="B7" t="s">
        <v>817</v>
      </c>
      <c r="C7" s="205">
        <f t="shared" si="0"/>
        <v>1448012.06</v>
      </c>
      <c r="D7" s="19">
        <f>'DOE25'!L204+'DOE25'!L222+'DOE25'!L240-F7-G7-H7</f>
        <v>1439201.1400000001</v>
      </c>
      <c r="E7" s="179"/>
      <c r="F7" s="180"/>
      <c r="G7" s="19">
        <f>'DOE25'!J204+'DOE25'!J222+'DOE25'!J240</f>
        <v>4148.6900000000005</v>
      </c>
      <c r="H7" s="19">
        <f>'DOE25'!K204+'DOE25'!K222+'DOE25'!K240</f>
        <v>4662.2299999999996</v>
      </c>
      <c r="I7" s="191"/>
    </row>
    <row r="8" spans="1:9" x14ac:dyDescent="0.2">
      <c r="A8" s="31">
        <v>2300</v>
      </c>
      <c r="B8" t="s">
        <v>794</v>
      </c>
      <c r="C8" s="205">
        <f t="shared" si="0"/>
        <v>1181443.19</v>
      </c>
      <c r="D8" s="179"/>
      <c r="E8" s="19">
        <f>'DOE25'!L205+'DOE25'!L223+'DOE25'!L241-F8-G8-H8-D9-D11</f>
        <v>1166102.0799999998</v>
      </c>
      <c r="F8" s="180"/>
      <c r="G8" s="19">
        <f>'DOE25'!J205+'DOE25'!J223+'DOE25'!J241</f>
        <v>0</v>
      </c>
      <c r="H8" s="19">
        <f>'DOE25'!K205+'DOE25'!K223+'DOE25'!K241</f>
        <v>15341.11</v>
      </c>
      <c r="I8" s="191"/>
    </row>
    <row r="9" spans="1:9" ht="14.25" x14ac:dyDescent="0.2">
      <c r="A9" s="31">
        <v>2310</v>
      </c>
      <c r="B9" s="71" t="s">
        <v>884</v>
      </c>
      <c r="C9" s="205">
        <f t="shared" si="0"/>
        <v>30807.23</v>
      </c>
      <c r="D9" s="180">
        <v>30807.23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1336616.48</v>
      </c>
      <c r="D12" s="19">
        <f>'DOE25'!L206+'DOE25'!L224+'DOE25'!L242-F12-G12-H12</f>
        <v>1302342.8599999999</v>
      </c>
      <c r="E12" s="179"/>
      <c r="F12" s="180"/>
      <c r="G12" s="19">
        <f>'DOE25'!J206+'DOE25'!J224+'DOE25'!J242</f>
        <v>0</v>
      </c>
      <c r="H12" s="19">
        <f>'DOE25'!K206+'DOE25'!K224+'DOE25'!K242</f>
        <v>34273.619999999995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2352066.88</v>
      </c>
      <c r="D14" s="19">
        <f>'DOE25'!L208+'DOE25'!L226+'DOE25'!L244-F14-G14-H14</f>
        <v>1557974.98</v>
      </c>
      <c r="E14" s="179"/>
      <c r="F14" s="180">
        <f>136000+605000+18000</f>
        <v>759000</v>
      </c>
      <c r="G14" s="19">
        <f>'DOE25'!J208+'DOE25'!J226+'DOE25'!J244</f>
        <v>35091.9</v>
      </c>
      <c r="H14" s="19">
        <f>'DOE25'!K208+'DOE25'!K226+'DOE25'!K244</f>
        <v>0</v>
      </c>
      <c r="I14" s="191"/>
    </row>
    <row r="15" spans="1:9" x14ac:dyDescent="0.2">
      <c r="A15" s="31">
        <v>2700</v>
      </c>
      <c r="B15" t="s">
        <v>796</v>
      </c>
      <c r="C15" s="205">
        <f t="shared" si="0"/>
        <v>1215002.8199999998</v>
      </c>
      <c r="D15" s="19">
        <f>'DOE25'!L209+'DOE25'!L227+'DOE25'!L245-F15-G15-H15</f>
        <v>82488.45999999973</v>
      </c>
      <c r="E15" s="179"/>
      <c r="F15" s="180">
        <v>1132514.3600000001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447552.8</v>
      </c>
      <c r="D29" s="211">
        <f>'DOE25'!L359+'DOE25'!L360+'DOE25'!L361-'DOE25'!I368-F29-G29-H29-F39</f>
        <v>427144.11</v>
      </c>
      <c r="E29" s="179"/>
      <c r="F29" s="179"/>
      <c r="G29" s="19">
        <f>'DOE25'!J359+'DOE25'!J360+'DOE25'!J361</f>
        <v>0</v>
      </c>
      <c r="H29" s="19">
        <f>'DOE25'!K359+'DOE25'!K360+'DOE25'!K361</f>
        <v>20408.689999999999</v>
      </c>
      <c r="I29" s="191"/>
    </row>
    <row r="30" spans="1:9" x14ac:dyDescent="0.2">
      <c r="A30" s="31"/>
      <c r="C30" s="206"/>
      <c r="D30" s="19"/>
      <c r="F30" s="200"/>
      <c r="G30" s="19"/>
      <c r="H30" s="19"/>
      <c r="I30" s="191"/>
    </row>
    <row r="31" spans="1:9" x14ac:dyDescent="0.2">
      <c r="A31" s="31" t="s">
        <v>814</v>
      </c>
      <c r="B31" t="s">
        <v>813</v>
      </c>
      <c r="C31" s="205">
        <f>SUM(D31:I31)</f>
        <v>1308041.73</v>
      </c>
      <c r="D31" s="19">
        <f>'DOE25'!L291+'DOE25'!L310+'DOE25'!L329+'DOE25'!L334+'DOE25'!L335+'DOE25'!L336-F31-G31-H31</f>
        <v>1193682.6399999999</v>
      </c>
      <c r="E31" s="179"/>
      <c r="F31" s="180">
        <v>68000</v>
      </c>
      <c r="G31" s="19">
        <f>'DOE25'!J291+'DOE25'!J310+'DOE25'!J329+'DOE25'!J334+'DOE25'!J335+'DOE25'!J336</f>
        <v>0</v>
      </c>
      <c r="H31" s="19">
        <f>'DOE25'!K291+'DOE25'!K310+'DOE25'!K329+'DOE25'!K334+'DOE25'!K335+'DOE25'!K336</f>
        <v>46359.09</v>
      </c>
      <c r="I31" s="191"/>
    </row>
    <row r="32" spans="1:9" ht="12" thickBot="1" x14ac:dyDescent="0.25">
      <c r="C32" s="206"/>
      <c r="G32" s="187"/>
      <c r="H32" s="187"/>
      <c r="I32" s="193"/>
    </row>
    <row r="33" spans="1:9" ht="12" thickTop="1" x14ac:dyDescent="0.2">
      <c r="B33" t="s">
        <v>806</v>
      </c>
      <c r="D33" s="181">
        <f t="shared" ref="D33:I33" si="1">SUM(D5:D31)</f>
        <v>22465065.25</v>
      </c>
      <c r="E33" s="181">
        <f t="shared" si="1"/>
        <v>1166102.0799999998</v>
      </c>
      <c r="F33" s="181">
        <f t="shared" si="1"/>
        <v>1959514.36</v>
      </c>
      <c r="G33" s="181">
        <f t="shared" si="1"/>
        <v>58168.770000000004</v>
      </c>
      <c r="H33" s="181">
        <f t="shared" si="1"/>
        <v>168258.97999999998</v>
      </c>
      <c r="I33" s="181">
        <f t="shared" si="1"/>
        <v>0</v>
      </c>
    </row>
    <row r="34" spans="1:9" ht="12" thickBot="1" x14ac:dyDescent="0.25"/>
    <row r="35" spans="1:9" ht="12" thickBot="1" x14ac:dyDescent="0.25">
      <c r="B35" s="187" t="s">
        <v>827</v>
      </c>
      <c r="D35" s="188">
        <f>E33</f>
        <v>1166102.0799999998</v>
      </c>
      <c r="E35" s="184"/>
      <c r="F35" s="294" t="s">
        <v>1596</v>
      </c>
      <c r="G35" s="295"/>
      <c r="H35" s="295"/>
      <c r="I35" s="296"/>
    </row>
    <row r="36" spans="1:9" ht="12" thickTop="1" x14ac:dyDescent="0.2">
      <c r="B36" t="s">
        <v>807</v>
      </c>
      <c r="D36" s="19">
        <f>D33</f>
        <v>22465065.25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A23" zoomScale="86" zoomScaleNormal="86" workbookViewId="0">
      <selection activeCell="A32" sqref="A3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Hillsboro-Deering Cooperative</v>
      </c>
      <c r="B2">
        <f>'DOE25'!B2</f>
        <v>251</v>
      </c>
      <c r="J2" s="223" t="s">
        <v>1799</v>
      </c>
      <c r="K2" s="308">
        <f>SUM('DOE25'!L198:L201)+SUM('DOE25'!L277:L280)</f>
        <v>6103398.5100000007</v>
      </c>
      <c r="L2" s="308">
        <f>'DOE25'!L203+'DOE25'!L282</f>
        <v>1036866.2999999999</v>
      </c>
      <c r="M2" s="308">
        <f>'DOE25'!L204+'DOE25'!L283</f>
        <v>717699.1</v>
      </c>
      <c r="N2" s="308">
        <f>'DOE25'!L206+'DOE25'!L285</f>
        <v>412596.72</v>
      </c>
      <c r="O2" s="316">
        <f>'Salaries-Benefits'!B10+'Salaries-Benefits'!B12+'Salaries-Benefits'!B19+'Salaries-Benefits'!B21+'Salaries-Benefits'!B28+'Salaries-Benefits'!B30+'Salaries-Benefits'!B37+'Salaries-Benefits'!B39</f>
        <v>8284494.3500000006</v>
      </c>
      <c r="P2" s="316">
        <f>'Salaries-Benefits'!B11+'Salaries-Benefits'!B20+'Salaries-Benefits'!B29+'Salaries-Benefits'!B38</f>
        <v>1036442.56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10174983.310000001</v>
      </c>
      <c r="G4" s="228">
        <f>'DOE25'!L212+'DOE25'!L291</f>
        <v>10174983.310000001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1798</v>
      </c>
      <c r="K5" s="20"/>
      <c r="L5" s="20"/>
      <c r="M5" s="20"/>
      <c r="N5" s="20"/>
      <c r="O5" s="20"/>
      <c r="P5" s="20"/>
      <c r="Q5" s="20"/>
    </row>
    <row r="6" spans="1:22" x14ac:dyDescent="0.2">
      <c r="A6" t="str" cm="1">
        <f t="array" ref="A6">IFERROR(INDEX('School Tables'!$A$4:$G$365,'School Tables'!$J4,3),"")</f>
        <v>Hillsboro-Deering Elementary School</v>
      </c>
      <c r="B6" s="229">
        <f>IFERROR(VLOOKUP(A6,'School Tables'!$C$3:$D$365,2,FALSE),"")</f>
        <v>20955</v>
      </c>
      <c r="C6" s="222" t="str">
        <f>IFERROR(INDEX('School Tables'!$B$3:$B$365,MATCH('School Level Expenditures'!B6,'School Tables'!$D$3:$D$365,0)),"")</f>
        <v>Hillsboro-Deering Cooperative</v>
      </c>
      <c r="D6" s="219">
        <v>9391781.3300000001</v>
      </c>
      <c r="E6" s="219">
        <v>783201.98</v>
      </c>
      <c r="F6" s="231">
        <f t="shared" ref="F6:F20" si="2">D6+E6</f>
        <v>10174983.310000001</v>
      </c>
      <c r="G6" s="222"/>
      <c r="H6" s="222"/>
      <c r="J6" t="str">
        <f t="shared" ref="J6:J20" si="3">A6</f>
        <v>Hillsboro-Deering Elementary School</v>
      </c>
      <c r="K6" s="101">
        <f>+'DOE25'!L198+'DOE25'!L199+'DOE25'!L200+'DOE25'!L201+'DOE25'!L277+'DOE25'!L278+'DOE25'!L279+'DOE25'!L280</f>
        <v>6103398.5100000016</v>
      </c>
      <c r="L6" s="101">
        <f>+'DOE25'!L203+'DOE25'!L282</f>
        <v>1036866.2999999999</v>
      </c>
      <c r="M6" s="318">
        <f>+'DOE25'!L204+'DOE25'!L283</f>
        <v>717699.1</v>
      </c>
      <c r="N6" s="101">
        <f>+'DOE25'!L206+'DOE25'!L285</f>
        <v>412596.72</v>
      </c>
      <c r="O6" s="219">
        <v>3161387.17</v>
      </c>
      <c r="P6" s="219">
        <v>395509.5</v>
      </c>
      <c r="Q6" s="319">
        <f>47529.7+990+9809.81+2887.23+8728.15+210+3783+2999.6</f>
        <v>76937.490000000005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9391781.3300000001</v>
      </c>
      <c r="E21" s="261">
        <f>SUM(E5:E20)</f>
        <v>783201.98</v>
      </c>
      <c r="F21" s="216"/>
      <c r="G21" s="216"/>
      <c r="H21" s="216"/>
      <c r="K21" s="262">
        <f t="shared" ref="K21:Q21" si="4">SUM(K5:K20)</f>
        <v>6103398.5100000016</v>
      </c>
      <c r="L21" s="262">
        <f t="shared" si="4"/>
        <v>1036866.2999999999</v>
      </c>
      <c r="M21" s="262">
        <f t="shared" si="4"/>
        <v>717699.1</v>
      </c>
      <c r="N21" s="262">
        <f t="shared" si="4"/>
        <v>412596.72</v>
      </c>
      <c r="O21" s="262">
        <f t="shared" si="4"/>
        <v>3161387.17</v>
      </c>
      <c r="P21" s="262">
        <f t="shared" si="4"/>
        <v>395509.5</v>
      </c>
      <c r="Q21" s="262">
        <f t="shared" si="4"/>
        <v>76937.490000000005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3252871.1900000004</v>
      </c>
      <c r="L23" s="19">
        <f>'DOE25'!L221+'DOE25'!L301</f>
        <v>488091.79000000004</v>
      </c>
      <c r="M23" s="19">
        <f>'DOE25'!L222+'DOE25'!L302</f>
        <v>482047.23000000004</v>
      </c>
      <c r="N23" s="19">
        <f>'DOE25'!L224+'DOE25'!L304</f>
        <v>419808.32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5654852.6100000003</v>
      </c>
      <c r="G25" s="228">
        <f>'DOE25'!L230+'DOE25'!L310</f>
        <v>5654852.6099999994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'DOE25'!G580</f>
        <v>39357.410000000003</v>
      </c>
      <c r="E26" s="219"/>
      <c r="F26" s="231">
        <f>D26+E26</f>
        <v>39357.410000000003</v>
      </c>
      <c r="G26" s="222"/>
      <c r="H26" s="222"/>
      <c r="J26" s="71" t="s">
        <v>1798</v>
      </c>
      <c r="K26" s="320">
        <f>+'DOE25'!G589</f>
        <v>39357.410000000003</v>
      </c>
      <c r="L26" s="315"/>
      <c r="M26" s="315"/>
      <c r="N26" s="315"/>
      <c r="O26" s="315"/>
      <c r="P26" s="315"/>
      <c r="Q26" s="315"/>
    </row>
    <row r="27" spans="1:17" x14ac:dyDescent="0.2">
      <c r="A27" t="str" cm="1">
        <f t="array" ref="A27">IFERROR(INDEX('School Tables'!$L$4:$R$100,'School Tables'!$U4,3),"")</f>
        <v>Hillsboro-Deering Middle School</v>
      </c>
      <c r="B27" s="229">
        <f>IFERROR(VLOOKUP(A27,'School Tables'!$N$4:$O$100,2,FALSE),"")</f>
        <v>20960</v>
      </c>
      <c r="C27" s="222" t="str">
        <f>IFERROR(INDEX('School Tables'!$M$4:$M$100,MATCH('School Level Expenditures'!A27,'School Tables'!$N$4:$N$100,0)),"")</f>
        <v>Hillsboro-Deering Cooperative</v>
      </c>
      <c r="D27" s="219">
        <f>5654852.61-D26-E27</f>
        <v>5402980.1100000003</v>
      </c>
      <c r="E27" s="219">
        <v>212515.09</v>
      </c>
      <c r="F27" s="231">
        <f t="shared" ref="F27:F33" si="6">D27+E27</f>
        <v>5615495.2000000002</v>
      </c>
      <c r="G27" s="222"/>
      <c r="H27" s="222"/>
      <c r="J27" t="str">
        <f t="shared" ref="J27:J33" si="7">A27</f>
        <v>Hillsboro-Deering Middle School</v>
      </c>
      <c r="K27" s="101">
        <f>+'DOE25'!L216+'DOE25'!L217+'DOE25'!L218+'DOE25'!L219+'DOE25'!L296+'DOE25'!L297+'DOE25'!L298+'DOE25'!L299-'DOE25'!G589</f>
        <v>3213513.7800000003</v>
      </c>
      <c r="L27" s="101">
        <f>+'DOE25'!L221+'DOE25'!L301</f>
        <v>488091.79000000004</v>
      </c>
      <c r="M27" s="318">
        <f>+'DOE25'!L222+'DOE25'!L302</f>
        <v>482047.23000000004</v>
      </c>
      <c r="N27" s="101">
        <f>+'DOE25'!L224+'DOE25'!L304</f>
        <v>419808.32</v>
      </c>
      <c r="O27" s="20">
        <v>1837786.53</v>
      </c>
      <c r="P27" s="20">
        <v>229918.7</v>
      </c>
      <c r="Q27" s="20">
        <f>1436.06+851.25+1200+7951.08+1530.93</f>
        <v>12969.32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5442337.5200000005</v>
      </c>
      <c r="E34" s="261">
        <f>SUM(E26:E33)</f>
        <v>212515.09</v>
      </c>
      <c r="F34" s="216"/>
      <c r="G34" s="216"/>
      <c r="H34" s="216"/>
      <c r="K34" s="262">
        <f t="shared" ref="K34:Q34" si="8">SUM(K26:K33)</f>
        <v>3252871.1900000004</v>
      </c>
      <c r="L34" s="262">
        <f t="shared" si="8"/>
        <v>488091.79000000004</v>
      </c>
      <c r="M34" s="262">
        <f t="shared" si="8"/>
        <v>482047.23000000004</v>
      </c>
      <c r="N34" s="262">
        <f t="shared" si="8"/>
        <v>419808.32</v>
      </c>
      <c r="O34" s="262">
        <f t="shared" si="8"/>
        <v>1837786.53</v>
      </c>
      <c r="P34" s="262">
        <f t="shared" si="8"/>
        <v>229918.7</v>
      </c>
      <c r="Q34" s="262">
        <f t="shared" si="8"/>
        <v>12969.32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5433231.2199999997</v>
      </c>
      <c r="L36" s="19">
        <f>'DOE25'!L239+'DOE25'!L320</f>
        <v>1003885.41</v>
      </c>
      <c r="M36" s="19">
        <f>'DOE25'!L240+'DOE25'!L321</f>
        <v>596906.16999999993</v>
      </c>
      <c r="N36" s="19">
        <f>'DOE25'!L242+'DOE25'!L323</f>
        <v>504211.44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9539720.7200000007</v>
      </c>
      <c r="G38" s="228">
        <f>'DOE25'!L248+'DOE25'!L329</f>
        <v>9539720.7200000007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+'DOE25'!H583+'DOE25'!H585</f>
        <v>285148.40000000002</v>
      </c>
      <c r="E39" s="219"/>
      <c r="F39" s="231">
        <f t="shared" ref="F39:F44" si="10">D39+E39</f>
        <v>285148.40000000002</v>
      </c>
      <c r="G39" s="222"/>
      <c r="H39" s="222"/>
      <c r="J39" s="71" t="s">
        <v>1798</v>
      </c>
      <c r="K39" s="320">
        <f>+'DOE25'!H589</f>
        <v>285148.40000000002</v>
      </c>
      <c r="L39" s="315"/>
      <c r="M39" s="315"/>
      <c r="N39" s="315"/>
      <c r="O39" s="315"/>
      <c r="P39" s="315"/>
      <c r="Q39" s="315"/>
    </row>
    <row r="40" spans="1:17" x14ac:dyDescent="0.2">
      <c r="A40" t="str" cm="1">
        <f t="array" ref="A40">IFERROR(INDEX('School Tables'!$W$4:$AC$120,'School Tables'!$AF4,3),"")</f>
        <v>Hillsboro-Deering High School</v>
      </c>
      <c r="B40" s="229">
        <f>IFERROR(VLOOKUP(A40,'School Tables'!$Y$4:$Z$120,2,FALSE),"")</f>
        <v>20950</v>
      </c>
      <c r="C40" s="222" t="str">
        <f>IFERROR(INDEX('School Tables'!$X$4:$X$120,MATCH('School Level Expenditures'!A40,'School Tables'!$Y$4:$Y$120,0)),"")</f>
        <v>Hillsboro-Deering Cooperative</v>
      </c>
      <c r="D40" s="219">
        <f>9539720.72-D39-E40</f>
        <v>8942247.6600000001</v>
      </c>
      <c r="E40" s="219">
        <v>312324.65999999997</v>
      </c>
      <c r="F40" s="231">
        <f t="shared" si="10"/>
        <v>9254572.3200000003</v>
      </c>
      <c r="G40" s="222"/>
      <c r="H40" s="222"/>
      <c r="J40" t="str">
        <f>A40</f>
        <v>Hillsboro-Deering High School</v>
      </c>
      <c r="K40" s="101">
        <f>+'DOE25'!L234+'DOE25'!L235+'DOE25'!L236+'DOE25'!L237+'DOE25'!L315+'DOE25'!L316+'DOE25'!L317+'DOE25'!L318-'DOE25'!H589</f>
        <v>5148082.82</v>
      </c>
      <c r="L40" s="101">
        <f>+'DOE25'!L239+'DOE25'!L320</f>
        <v>1003885.41</v>
      </c>
      <c r="M40" s="318">
        <f>+'DOE25'!L240+'DOE25'!L321</f>
        <v>596906.16999999993</v>
      </c>
      <c r="N40" s="101">
        <f>+'DOE25'!L242+'DOE25'!L323</f>
        <v>504211.44</v>
      </c>
      <c r="O40" s="20">
        <v>3285320.65</v>
      </c>
      <c r="P40" s="20">
        <v>411014.36</v>
      </c>
      <c r="Q40" s="20">
        <f>4845.24+387.82+11762.27+2517.36</f>
        <v>19512.690000000002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9227396.0600000005</v>
      </c>
      <c r="E45" s="262">
        <f>SUM(E39:E44)</f>
        <v>312324.65999999997</v>
      </c>
      <c r="K45" s="262">
        <f t="shared" ref="K45:Q45" si="11">SUM(K39:K44)</f>
        <v>5433231.2200000007</v>
      </c>
      <c r="L45" s="262">
        <f t="shared" si="11"/>
        <v>1003885.41</v>
      </c>
      <c r="M45" s="262">
        <f t="shared" si="11"/>
        <v>596906.16999999993</v>
      </c>
      <c r="N45" s="262">
        <f t="shared" si="11"/>
        <v>504211.44</v>
      </c>
      <c r="O45" s="262">
        <f t="shared" si="11"/>
        <v>3285320.65</v>
      </c>
      <c r="P45" s="262">
        <f t="shared" si="11"/>
        <v>411014.36</v>
      </c>
      <c r="Q45" s="262">
        <f t="shared" si="11"/>
        <v>19512.690000000002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 right="0" top="0.75" bottom="0.75" header="0.3" footer="0.3"/>
  <pageSetup scale="80" fitToWidth="2" fitToHeight="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Hillsboro-Deering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2340.1800000000003</v>
      </c>
      <c r="D8" s="73">
        <f>'DOE25'!G9</f>
        <v>0</v>
      </c>
      <c r="E8" s="73">
        <f>'DOE25'!H9</f>
        <v>0</v>
      </c>
      <c r="F8" s="73">
        <f>'DOE25'!I9</f>
        <v>0</v>
      </c>
      <c r="G8" s="73">
        <f>'DOE25'!J9</f>
        <v>1498447.09</v>
      </c>
      <c r="H8" s="13">
        <f>SUM(C8:G8)</f>
        <v>1500787.27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252414.96</v>
      </c>
      <c r="D11" s="73">
        <f>'DOE25'!G12</f>
        <v>0</v>
      </c>
      <c r="E11" s="73">
        <f>'DOE25'!H12</f>
        <v>0</v>
      </c>
      <c r="F11" s="73">
        <f>'DOE25'!I12</f>
        <v>0</v>
      </c>
      <c r="G11" s="73">
        <f>'DOE25'!J12</f>
        <v>0</v>
      </c>
      <c r="H11" s="13">
        <f t="shared" si="0"/>
        <v>252414.96</v>
      </c>
      <c r="I11" s="90"/>
    </row>
    <row r="12" spans="1:9" x14ac:dyDescent="0.2">
      <c r="A12" s="1" t="s">
        <v>143</v>
      </c>
      <c r="B12" s="6">
        <v>140</v>
      </c>
      <c r="C12" s="73">
        <f>'DOE25'!F13</f>
        <v>0</v>
      </c>
      <c r="D12" s="73">
        <f>'DOE25'!G13</f>
        <v>52640.74</v>
      </c>
      <c r="E12" s="73">
        <f>'DOE25'!H13</f>
        <v>0</v>
      </c>
      <c r="F12" s="73">
        <f>'DOE25'!I13</f>
        <v>0</v>
      </c>
      <c r="G12" s="73">
        <f>'DOE25'!J13</f>
        <v>0</v>
      </c>
      <c r="H12" s="13">
        <f t="shared" si="0"/>
        <v>52640.74</v>
      </c>
      <c r="I12" s="90"/>
    </row>
    <row r="13" spans="1:9" x14ac:dyDescent="0.2">
      <c r="A13" s="1" t="s">
        <v>144</v>
      </c>
      <c r="B13" s="6">
        <v>150</v>
      </c>
      <c r="C13" s="73">
        <f>'DOE25'!F14</f>
        <v>984832.43</v>
      </c>
      <c r="D13" s="73">
        <f>'DOE25'!G14</f>
        <v>101956.20999999999</v>
      </c>
      <c r="E13" s="73">
        <f>'DOE25'!H14</f>
        <v>0</v>
      </c>
      <c r="F13" s="73">
        <f>'DOE25'!I14</f>
        <v>0</v>
      </c>
      <c r="G13" s="73">
        <f>'DOE25'!J14</f>
        <v>0</v>
      </c>
      <c r="H13" s="13">
        <f t="shared" si="0"/>
        <v>1086788.6400000001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11904</v>
      </c>
      <c r="E15" s="73">
        <f>'DOE25'!H16</f>
        <v>0</v>
      </c>
      <c r="F15" s="73">
        <f>'DOE25'!I16</f>
        <v>0</v>
      </c>
      <c r="G15" s="23" t="s">
        <v>288</v>
      </c>
      <c r="H15" s="13">
        <f t="shared" si="0"/>
        <v>11904</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188855.25</v>
      </c>
      <c r="F17" s="73">
        <f>'DOE25'!I18</f>
        <v>0</v>
      </c>
      <c r="G17" s="73">
        <f>'DOE25'!J18</f>
        <v>0</v>
      </c>
      <c r="H17" s="13">
        <f t="shared" si="0"/>
        <v>188855.25</v>
      </c>
      <c r="I17" s="90"/>
    </row>
    <row r="18" spans="1:9" ht="12" thickTop="1" x14ac:dyDescent="0.2">
      <c r="A18" s="35" t="s">
        <v>149</v>
      </c>
      <c r="B18" s="36"/>
      <c r="C18" s="38">
        <f>SUM(C8:C17)</f>
        <v>1239587.57</v>
      </c>
      <c r="D18" s="38">
        <f>SUM(D8:D17)</f>
        <v>166500.94999999998</v>
      </c>
      <c r="E18" s="38">
        <f>SUM(E8:E17)</f>
        <v>188855.25</v>
      </c>
      <c r="F18" s="38">
        <f>SUM(F8:F17)</f>
        <v>0</v>
      </c>
      <c r="G18" s="38">
        <f>SUM(G8:G17)</f>
        <v>1498447.09</v>
      </c>
      <c r="H18" s="38">
        <f t="shared" si="0"/>
        <v>3093390.8600000003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140278.82999999999</v>
      </c>
      <c r="E21" s="73">
        <f>'DOE25'!H22</f>
        <v>0</v>
      </c>
      <c r="F21" s="73">
        <f>'DOE25'!I22</f>
        <v>0</v>
      </c>
      <c r="G21" s="73">
        <f>'DOE25'!J22</f>
        <v>0</v>
      </c>
      <c r="H21" s="13">
        <f t="shared" ref="H21:H31" si="1">SUM(C21:G21)</f>
        <v>140278.82999999999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52514.62</v>
      </c>
      <c r="D23" s="73">
        <f>'DOE25'!G24</f>
        <v>0</v>
      </c>
      <c r="E23" s="73">
        <f>'DOE25'!H24</f>
        <v>0</v>
      </c>
      <c r="F23" s="73">
        <f>'DOE25'!I24</f>
        <v>0</v>
      </c>
      <c r="G23" s="73">
        <f>'DOE25'!J24</f>
        <v>0</v>
      </c>
      <c r="H23" s="13">
        <f t="shared" si="1"/>
        <v>52514.62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26222.12</v>
      </c>
      <c r="E29" s="73">
        <f>'DOE25'!H30</f>
        <v>0</v>
      </c>
      <c r="F29" s="73">
        <f>'DOE25'!I30</f>
        <v>0</v>
      </c>
      <c r="G29" s="23" t="s">
        <v>288</v>
      </c>
      <c r="H29" s="13">
        <f t="shared" si="1"/>
        <v>26222.12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52514.62</v>
      </c>
      <c r="D31" s="38">
        <f>SUM(D21:D30)</f>
        <v>166500.94999999998</v>
      </c>
      <c r="E31" s="38">
        <f>SUM(E21:E30)</f>
        <v>0</v>
      </c>
      <c r="F31" s="38">
        <f>SUM(F21:F30)</f>
        <v>0</v>
      </c>
      <c r="G31" s="38">
        <f>SUM(G21:G30)</f>
        <v>0</v>
      </c>
      <c r="H31" s="38">
        <f t="shared" si="1"/>
        <v>219015.56999999998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2964</v>
      </c>
      <c r="D35" s="73">
        <f>'DOE25'!G36</f>
        <v>0</v>
      </c>
      <c r="E35" s="73">
        <f>'DOE25'!H36</f>
        <v>0</v>
      </c>
      <c r="F35" s="73">
        <f>'DOE25'!I36</f>
        <v>0</v>
      </c>
      <c r="G35" s="23" t="s">
        <v>288</v>
      </c>
      <c r="H35" s="13">
        <f t="shared" si="2"/>
        <v>2964</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270000</v>
      </c>
      <c r="D43" s="73">
        <f>'DOE25'!G44</f>
        <v>0</v>
      </c>
      <c r="E43" s="73">
        <f>'DOE25'!H44</f>
        <v>0</v>
      </c>
      <c r="F43" s="73">
        <f>'DOE25'!I44</f>
        <v>0</v>
      </c>
      <c r="G43" s="23" t="s">
        <v>288</v>
      </c>
      <c r="H43" s="13">
        <f t="shared" si="2"/>
        <v>270000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101807.78000000001</v>
      </c>
      <c r="D47" s="73">
        <f>'DOE25'!G48</f>
        <v>0</v>
      </c>
      <c r="E47" s="73">
        <f>'DOE25'!H48</f>
        <v>188855.25</v>
      </c>
      <c r="F47" s="73">
        <f>'DOE25'!I48</f>
        <v>0</v>
      </c>
      <c r="G47" s="73">
        <f>'DOE25'!J48</f>
        <v>1498447.09</v>
      </c>
      <c r="H47" s="13">
        <f t="shared" si="2"/>
        <v>1789110.12</v>
      </c>
      <c r="I47" s="90"/>
    </row>
    <row r="48" spans="1:9" x14ac:dyDescent="0.2">
      <c r="A48" s="1" t="s">
        <v>878</v>
      </c>
      <c r="B48" s="6">
        <v>753</v>
      </c>
      <c r="C48" s="73">
        <f>'DOE25'!F49</f>
        <v>43182.83</v>
      </c>
      <c r="D48" s="73">
        <f>'DOE25'!G49</f>
        <v>0</v>
      </c>
      <c r="E48" s="73">
        <f>'DOE25'!H49</f>
        <v>0</v>
      </c>
      <c r="F48" s="73">
        <f>'DOE25'!I49</f>
        <v>0</v>
      </c>
      <c r="G48" s="73">
        <f>'DOE25'!J49</f>
        <v>0</v>
      </c>
      <c r="H48" s="13">
        <f t="shared" si="2"/>
        <v>43182.83</v>
      </c>
      <c r="I48" s="90"/>
    </row>
    <row r="49" spans="1:9" ht="12" thickBot="1" x14ac:dyDescent="0.25">
      <c r="A49" s="28" t="s">
        <v>879</v>
      </c>
      <c r="B49" s="56">
        <v>770</v>
      </c>
      <c r="C49" s="73">
        <f>'DOE25'!F50</f>
        <v>769118.34</v>
      </c>
      <c r="D49" s="23" t="s">
        <v>288</v>
      </c>
      <c r="E49" s="23" t="s">
        <v>288</v>
      </c>
      <c r="F49" s="23" t="s">
        <v>288</v>
      </c>
      <c r="G49" s="23" t="s">
        <v>288</v>
      </c>
      <c r="H49" s="13">
        <f t="shared" si="2"/>
        <v>769118.34</v>
      </c>
      <c r="I49" s="90"/>
    </row>
    <row r="50" spans="1:9" ht="12.75" thickTop="1" thickBot="1" x14ac:dyDescent="0.25">
      <c r="A50" s="35" t="s">
        <v>880</v>
      </c>
      <c r="B50" s="44"/>
      <c r="C50" s="38">
        <f>SUM(C34:C49)</f>
        <v>1187072.95</v>
      </c>
      <c r="D50" s="38">
        <f>SUM(D34:D49)</f>
        <v>0</v>
      </c>
      <c r="E50" s="38">
        <f>SUM(E34:E49)</f>
        <v>188855.25</v>
      </c>
      <c r="F50" s="38">
        <f>SUM(F34:F49)</f>
        <v>0</v>
      </c>
      <c r="G50" s="38">
        <f>SUM(G34:G49)</f>
        <v>1498447.09</v>
      </c>
      <c r="H50" s="38">
        <f t="shared" si="2"/>
        <v>2874375.29</v>
      </c>
      <c r="I50" s="90"/>
    </row>
    <row r="51" spans="1:9" ht="12" thickTop="1" x14ac:dyDescent="0.2">
      <c r="A51" s="35" t="s">
        <v>881</v>
      </c>
      <c r="B51" s="2"/>
      <c r="C51" s="38">
        <f>C50+C31</f>
        <v>1239587.57</v>
      </c>
      <c r="D51" s="38">
        <f>D50+D31</f>
        <v>166500.94999999998</v>
      </c>
      <c r="E51" s="38">
        <f>E50+E31</f>
        <v>188855.25</v>
      </c>
      <c r="F51" s="38">
        <f>F50+F31</f>
        <v>0</v>
      </c>
      <c r="G51" s="38">
        <f>G50+G31</f>
        <v>1498447.09</v>
      </c>
      <c r="H51" s="38">
        <f t="shared" si="2"/>
        <v>3093390.8600000003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14697703</v>
      </c>
      <c r="D56" s="73">
        <f>'DOE25'!G60</f>
        <v>0</v>
      </c>
      <c r="E56" s="73">
        <f>'DOE25'!H60</f>
        <v>0</v>
      </c>
      <c r="F56" s="73">
        <f>'DOE25'!I60</f>
        <v>0</v>
      </c>
      <c r="G56" s="73">
        <f>'DOE25'!J60</f>
        <v>0</v>
      </c>
      <c r="H56" s="13">
        <f t="shared" ref="H56:H63" si="3">SUM(C56:G56)</f>
        <v>14697703</v>
      </c>
      <c r="I56"/>
    </row>
    <row r="57" spans="1:9" x14ac:dyDescent="0.2">
      <c r="A57" s="1" t="s">
        <v>164</v>
      </c>
      <c r="B57" s="6" t="s">
        <v>165</v>
      </c>
      <c r="C57" s="73">
        <f>'DOE25'!F79</f>
        <v>1781558.49</v>
      </c>
      <c r="D57" s="23" t="s">
        <v>288</v>
      </c>
      <c r="E57" s="73">
        <f>'DOE25'!H79</f>
        <v>0</v>
      </c>
      <c r="F57" s="23" t="s">
        <v>288</v>
      </c>
      <c r="G57" s="23" t="s">
        <v>288</v>
      </c>
      <c r="H57" s="13">
        <f t="shared" si="3"/>
        <v>1781558.49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62731.33</v>
      </c>
      <c r="D59" s="73">
        <f>'DOE25'!G96</f>
        <v>0</v>
      </c>
      <c r="E59" s="73">
        <f>'DOE25'!H96</f>
        <v>0</v>
      </c>
      <c r="F59" s="73">
        <f>'DOE25'!I96</f>
        <v>0</v>
      </c>
      <c r="G59" s="73">
        <f>'DOE25'!J96</f>
        <v>39386.89</v>
      </c>
      <c r="H59" s="13">
        <f t="shared" si="3"/>
        <v>102118.22</v>
      </c>
      <c r="I59"/>
    </row>
    <row r="60" spans="1:9" x14ac:dyDescent="0.2">
      <c r="A60" s="1" t="s">
        <v>170</v>
      </c>
      <c r="B60" s="22" t="s">
        <v>171</v>
      </c>
      <c r="C60" s="23" t="s">
        <v>288</v>
      </c>
      <c r="D60" s="73">
        <f>'DOE25'!G97</f>
        <v>316378.68</v>
      </c>
      <c r="E60" s="23" t="s">
        <v>288</v>
      </c>
      <c r="F60" s="23" t="s">
        <v>288</v>
      </c>
      <c r="G60" s="23" t="s">
        <v>288</v>
      </c>
      <c r="H60" s="13">
        <f t="shared" si="3"/>
        <v>316378.68</v>
      </c>
      <c r="I60"/>
    </row>
    <row r="61" spans="1:9" ht="12" thickBot="1" x14ac:dyDescent="0.25">
      <c r="A61" s="1" t="s">
        <v>172</v>
      </c>
      <c r="B61" s="22" t="s">
        <v>173</v>
      </c>
      <c r="C61" s="73">
        <f>SUM('DOE25'!F98:F110)</f>
        <v>48170.8</v>
      </c>
      <c r="D61" s="73">
        <f>SUM('DOE25'!G98:G110)</f>
        <v>0</v>
      </c>
      <c r="E61" s="73">
        <f>SUM('DOE25'!H98:H110)</f>
        <v>41980.32</v>
      </c>
      <c r="F61" s="73">
        <f>SUM('DOE25'!I98:I110)</f>
        <v>0</v>
      </c>
      <c r="G61" s="73">
        <f>SUM('DOE25'!J98:J110)</f>
        <v>0</v>
      </c>
      <c r="H61" s="13">
        <f t="shared" si="3"/>
        <v>90151.12</v>
      </c>
      <c r="I61"/>
    </row>
    <row r="62" spans="1:9" ht="12.75" thickTop="1" thickBot="1" x14ac:dyDescent="0.25">
      <c r="A62" s="28" t="s">
        <v>174</v>
      </c>
      <c r="B62" s="6"/>
      <c r="C62" s="93">
        <f>SUM(C57:C61)</f>
        <v>1892460.62</v>
      </c>
      <c r="D62" s="93">
        <f>SUM(D57:D61)</f>
        <v>316378.68</v>
      </c>
      <c r="E62" s="93">
        <f>SUM(E57:E61)</f>
        <v>41980.32</v>
      </c>
      <c r="F62" s="93">
        <f>SUM(F57:F61)</f>
        <v>0</v>
      </c>
      <c r="G62" s="93">
        <f>SUM(G57:G61)</f>
        <v>39386.89</v>
      </c>
      <c r="H62" s="13">
        <f t="shared" si="3"/>
        <v>2290206.5100000002</v>
      </c>
      <c r="I62"/>
    </row>
    <row r="63" spans="1:9" ht="12" thickTop="1" x14ac:dyDescent="0.2">
      <c r="A63" s="28" t="s">
        <v>175</v>
      </c>
      <c r="B63" s="6"/>
      <c r="C63" s="21">
        <f>C56+C62</f>
        <v>16590163.620000001</v>
      </c>
      <c r="D63" s="21">
        <f>D56+D62</f>
        <v>316378.68</v>
      </c>
      <c r="E63" s="21">
        <f>E56+E62</f>
        <v>41980.32</v>
      </c>
      <c r="F63" s="21">
        <f>F56+F62</f>
        <v>0</v>
      </c>
      <c r="G63" s="21">
        <f>G56+G62</f>
        <v>39386.89</v>
      </c>
      <c r="H63" s="13">
        <f t="shared" si="3"/>
        <v>16987909.510000002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6522522.25</v>
      </c>
      <c r="D66" s="23" t="s">
        <v>288</v>
      </c>
      <c r="E66" s="23" t="s">
        <v>288</v>
      </c>
      <c r="F66" s="23" t="s">
        <v>288</v>
      </c>
      <c r="G66" s="23" t="s">
        <v>288</v>
      </c>
      <c r="H66" s="13">
        <f t="shared" ref="H66:H81" si="4">SUM(C66:G66)</f>
        <v>6522522.25</v>
      </c>
      <c r="I66"/>
    </row>
    <row r="67" spans="1:9" x14ac:dyDescent="0.2">
      <c r="A67" s="1" t="s">
        <v>767</v>
      </c>
      <c r="B67" s="6">
        <v>3112</v>
      </c>
      <c r="C67" s="73">
        <f>'DOE25'!F118</f>
        <v>1473229</v>
      </c>
      <c r="D67" s="23"/>
      <c r="E67" s="23"/>
      <c r="F67" s="23"/>
      <c r="G67" s="23"/>
      <c r="H67" s="13">
        <f t="shared" si="4"/>
        <v>1473229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3946.9</v>
      </c>
      <c r="D69" s="73">
        <f>'DOE25'!G120</f>
        <v>0</v>
      </c>
      <c r="E69" s="73">
        <f>'DOE25'!H120</f>
        <v>0</v>
      </c>
      <c r="F69" s="73">
        <f>'DOE25'!I120</f>
        <v>0</v>
      </c>
      <c r="G69" s="73">
        <f>'DOE25'!J120</f>
        <v>0</v>
      </c>
      <c r="H69" s="13">
        <f t="shared" si="4"/>
        <v>3946.9</v>
      </c>
      <c r="I69"/>
    </row>
    <row r="70" spans="1:9" ht="12" thickTop="1" x14ac:dyDescent="0.2">
      <c r="A70" s="28" t="s">
        <v>252</v>
      </c>
      <c r="B70" s="2"/>
      <c r="C70" s="97">
        <f>SUM(C66:C69)</f>
        <v>7999698.1500000004</v>
      </c>
      <c r="D70" s="97">
        <f>D69</f>
        <v>0</v>
      </c>
      <c r="E70" s="97">
        <f>E69</f>
        <v>0</v>
      </c>
      <c r="F70" s="97">
        <f>F69</f>
        <v>0</v>
      </c>
      <c r="G70" s="97">
        <f>G69</f>
        <v>0</v>
      </c>
      <c r="H70" s="13">
        <f t="shared" si="4"/>
        <v>7999698.1500000004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88085.34</v>
      </c>
      <c r="D75" s="23" t="s">
        <v>288</v>
      </c>
      <c r="E75" s="23" t="s">
        <v>288</v>
      </c>
      <c r="F75" s="23" t="s">
        <v>288</v>
      </c>
      <c r="G75" s="23" t="s">
        <v>288</v>
      </c>
      <c r="H75" s="13">
        <f t="shared" si="4"/>
        <v>88085.34</v>
      </c>
      <c r="I75"/>
    </row>
    <row r="76" spans="1:9" x14ac:dyDescent="0.2">
      <c r="A76" s="1" t="s">
        <v>257</v>
      </c>
      <c r="B76" s="6" t="s">
        <v>179</v>
      </c>
      <c r="C76" s="73">
        <f>SUM('DOE25'!F127:F130)</f>
        <v>14131.2</v>
      </c>
      <c r="D76" s="23" t="s">
        <v>288</v>
      </c>
      <c r="E76" s="73">
        <f>SUM('DOE25'!H127:H130)</f>
        <v>0</v>
      </c>
      <c r="F76" s="73">
        <f>SUM('DOE25'!I127:I130)</f>
        <v>0</v>
      </c>
      <c r="G76" s="23" t="s">
        <v>288</v>
      </c>
      <c r="H76" s="13">
        <f t="shared" si="4"/>
        <v>14131.2</v>
      </c>
      <c r="I76"/>
    </row>
    <row r="77" spans="1:9" ht="12" thickBot="1" x14ac:dyDescent="0.25">
      <c r="A77" s="1" t="s">
        <v>258</v>
      </c>
      <c r="B77" s="6" t="s">
        <v>180</v>
      </c>
      <c r="C77" s="73">
        <f>SUM('DOE25'!F131:F135)</f>
        <v>1502.36</v>
      </c>
      <c r="D77" s="73">
        <f>SUM('DOE25'!G131:G135)</f>
        <v>7952.75</v>
      </c>
      <c r="E77" s="73">
        <f>SUM('DOE25'!H131:H135)</f>
        <v>0</v>
      </c>
      <c r="F77" s="73">
        <f>SUM('DOE25'!I131:I135)</f>
        <v>0</v>
      </c>
      <c r="G77" s="73">
        <f>SUM('DOE25'!J131:J135)</f>
        <v>0</v>
      </c>
      <c r="H77" s="13">
        <f t="shared" si="4"/>
        <v>9455.11</v>
      </c>
      <c r="I77"/>
    </row>
    <row r="78" spans="1:9" ht="12.75" thickTop="1" thickBot="1" x14ac:dyDescent="0.25">
      <c r="A78" s="28" t="s">
        <v>259</v>
      </c>
      <c r="B78" s="6"/>
      <c r="C78" s="93">
        <f>SUM(C72:C77)</f>
        <v>103718.9</v>
      </c>
      <c r="D78" s="93">
        <f>SUM(D72:D77)</f>
        <v>7952.75</v>
      </c>
      <c r="E78" s="93">
        <f>SUM(E72:E77)</f>
        <v>0</v>
      </c>
      <c r="F78" s="93">
        <f>SUM(F72:F77)</f>
        <v>0</v>
      </c>
      <c r="G78" s="93">
        <f>SUM(G72:G77)</f>
        <v>0</v>
      </c>
      <c r="H78" s="13">
        <f t="shared" si="4"/>
        <v>111671.65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8103417.0500000007</v>
      </c>
      <c r="D81" s="93">
        <f>SUM(D79:D80)+D78+D70</f>
        <v>7952.75</v>
      </c>
      <c r="E81" s="93">
        <f>SUM(E79:E80)+E78+E70</f>
        <v>0</v>
      </c>
      <c r="F81" s="93">
        <f>SUM(F79:F80)+F78+F70</f>
        <v>0</v>
      </c>
      <c r="G81" s="93">
        <f>SUM(G79:G80)+G78+G70</f>
        <v>0</v>
      </c>
      <c r="H81" s="93">
        <f t="shared" si="4"/>
        <v>8111369.8000000007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16709.47</v>
      </c>
      <c r="D88" s="252">
        <f>SUM('DOE25'!G153:G162)</f>
        <v>328802.96000000002</v>
      </c>
      <c r="E88" s="252">
        <f>SUM('DOE25'!H153:H162)</f>
        <v>1282987.1500000001</v>
      </c>
      <c r="F88" s="252">
        <f>SUM('DOE25'!I153:I162)</f>
        <v>0</v>
      </c>
      <c r="G88" s="23" t="s">
        <v>288</v>
      </c>
      <c r="H88" s="13">
        <f t="shared" si="5"/>
        <v>1628499.58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16709.47</v>
      </c>
      <c r="D91" s="94">
        <f>SUM(D85:D90)</f>
        <v>328802.96000000002</v>
      </c>
      <c r="E91" s="94">
        <f>SUM(E85:E90)</f>
        <v>1282987.1500000001</v>
      </c>
      <c r="F91" s="94">
        <f>SUM(F85:F90)</f>
        <v>0</v>
      </c>
      <c r="G91" s="23" t="s">
        <v>288</v>
      </c>
      <c r="H91" s="13">
        <f t="shared" si="5"/>
        <v>1628499.58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50000</v>
      </c>
      <c r="E96" s="73">
        <f>'DOE25'!H180</f>
        <v>0</v>
      </c>
      <c r="F96" s="73">
        <f>'DOE25'!I180</f>
        <v>0</v>
      </c>
      <c r="G96" s="73">
        <f>'DOE25'!J180</f>
        <v>210000</v>
      </c>
      <c r="H96" s="13">
        <f t="shared" si="5"/>
        <v>260000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50000</v>
      </c>
      <c r="E103" s="68">
        <f>SUM(E93:E102)</f>
        <v>0</v>
      </c>
      <c r="F103" s="68">
        <f>SUM(F93:F102)</f>
        <v>0</v>
      </c>
      <c r="G103" s="68">
        <f>SUM(G93:G102)</f>
        <v>210000</v>
      </c>
      <c r="H103" s="68">
        <f t="shared" si="5"/>
        <v>260000</v>
      </c>
    </row>
    <row r="104" spans="1:8" ht="12.75" thickTop="1" thickBot="1" x14ac:dyDescent="0.25">
      <c r="A104" s="32" t="s">
        <v>758</v>
      </c>
      <c r="C104" s="68">
        <f>C63+C81+C91+C103</f>
        <v>24710290.140000001</v>
      </c>
      <c r="D104" s="68">
        <f>D63+D81+D91+D103</f>
        <v>703134.39</v>
      </c>
      <c r="E104" s="68">
        <f>E63+E81+E91+E103</f>
        <v>1324967.4700000002</v>
      </c>
      <c r="F104" s="68">
        <f>F63+F81+F91+F103</f>
        <v>0</v>
      </c>
      <c r="G104" s="68">
        <f>G63+G81+G103</f>
        <v>249386.89</v>
      </c>
      <c r="H104" s="68">
        <f t="shared" si="5"/>
        <v>26987778.890000001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9278725.2600000016</v>
      </c>
      <c r="D109" s="23" t="s">
        <v>288</v>
      </c>
      <c r="E109" s="73">
        <f>('DOE25'!L277)+('DOE25'!L296)+('DOE25'!L315)</f>
        <v>541823.18999999994</v>
      </c>
      <c r="F109" s="23" t="s">
        <v>288</v>
      </c>
      <c r="G109" s="23" t="s">
        <v>288</v>
      </c>
      <c r="H109" s="13">
        <f t="shared" ref="H109:H115" si="6">SUM(C109:G109)</f>
        <v>9820548.4500000011</v>
      </c>
    </row>
    <row r="110" spans="1:8" x14ac:dyDescent="0.2">
      <c r="A110" t="s">
        <v>198</v>
      </c>
      <c r="B110" s="31" t="s">
        <v>199</v>
      </c>
      <c r="C110" s="73">
        <f>('DOE25'!L199)+('DOE25'!L217)+('DOE25'!L235)</f>
        <v>4296450.71</v>
      </c>
      <c r="D110" s="23" t="s">
        <v>288</v>
      </c>
      <c r="E110" s="73">
        <f>('DOE25'!L278)+('DOE25'!L297)+('DOE25'!L316)</f>
        <v>214460.99</v>
      </c>
      <c r="F110" s="23" t="s">
        <v>288</v>
      </c>
      <c r="G110" s="23" t="s">
        <v>288</v>
      </c>
      <c r="H110" s="13">
        <f t="shared" si="6"/>
        <v>4510911.7</v>
      </c>
    </row>
    <row r="111" spans="1:8" x14ac:dyDescent="0.2">
      <c r="A111" t="s">
        <v>200</v>
      </c>
      <c r="B111" s="31" t="s">
        <v>165</v>
      </c>
      <c r="C111" s="73">
        <f>('DOE25'!L200)+('DOE25'!L218)+('DOE25'!L236)</f>
        <v>87099.28</v>
      </c>
      <c r="D111" s="23" t="s">
        <v>288</v>
      </c>
      <c r="E111" s="73">
        <f>('DOE25'!L279)+('DOE25'!L298)+('DOE25'!L317)</f>
        <v>0</v>
      </c>
      <c r="F111" s="23" t="s">
        <v>288</v>
      </c>
      <c r="G111" s="23" t="s">
        <v>288</v>
      </c>
      <c r="H111" s="13">
        <f t="shared" si="6"/>
        <v>87099.28</v>
      </c>
    </row>
    <row r="112" spans="1:8" x14ac:dyDescent="0.2">
      <c r="A112" t="s">
        <v>201</v>
      </c>
      <c r="B112" s="31" t="s">
        <v>167</v>
      </c>
      <c r="C112" s="73">
        <f>('DOE25'!L201)+('DOE25'!L219)+('DOE25'!L237)</f>
        <v>333106.68000000005</v>
      </c>
      <c r="D112" s="23" t="s">
        <v>288</v>
      </c>
      <c r="E112" s="73">
        <f>+('DOE25'!L280)+('DOE25'!L299)+('DOE25'!L318)</f>
        <v>37834.81</v>
      </c>
      <c r="F112" s="23" t="s">
        <v>288</v>
      </c>
      <c r="G112" s="23" t="s">
        <v>288</v>
      </c>
      <c r="H112" s="13">
        <f t="shared" si="6"/>
        <v>370941.49000000005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13995381.930000002</v>
      </c>
      <c r="D115" s="68">
        <f>SUM(D109:D114)</f>
        <v>0</v>
      </c>
      <c r="E115" s="68">
        <f>SUM(E109:E114)</f>
        <v>794118.99</v>
      </c>
      <c r="F115" s="68">
        <f>SUM(F109:F114)</f>
        <v>0</v>
      </c>
      <c r="G115" s="68">
        <f>SUM(G109:G114)</f>
        <v>0</v>
      </c>
      <c r="H115" s="68">
        <f t="shared" si="6"/>
        <v>14789500.920000002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2502184.3200000003</v>
      </c>
      <c r="D118" s="23" t="s">
        <v>288</v>
      </c>
      <c r="E118" s="73">
        <f>+('DOE25'!L282)+('DOE25'!L301)+('DOE25'!L320)</f>
        <v>26659.18</v>
      </c>
      <c r="F118" s="23" t="s">
        <v>288</v>
      </c>
      <c r="G118" s="23" t="s">
        <v>288</v>
      </c>
      <c r="H118" s="13">
        <f t="shared" ref="H118:H145" si="7">SUM(C118:G118)</f>
        <v>2528843.5000000005</v>
      </c>
    </row>
    <row r="119" spans="1:8" x14ac:dyDescent="0.2">
      <c r="A119" t="s">
        <v>208</v>
      </c>
      <c r="B119" s="31" t="s">
        <v>209</v>
      </c>
      <c r="C119" s="73">
        <f>('DOE25'!L204)+('DOE25'!L222)+('DOE25'!L240)</f>
        <v>1448012.06</v>
      </c>
      <c r="D119" s="23" t="s">
        <v>288</v>
      </c>
      <c r="E119" s="73">
        <f>+('DOE25'!L283)+('DOE25'!L302)+('DOE25'!L321)</f>
        <v>348640.44</v>
      </c>
      <c r="F119" s="23" t="s">
        <v>288</v>
      </c>
      <c r="G119" s="23" t="s">
        <v>288</v>
      </c>
      <c r="H119" s="13">
        <f t="shared" si="7"/>
        <v>1796652.5</v>
      </c>
    </row>
    <row r="120" spans="1:8" x14ac:dyDescent="0.2">
      <c r="A120" t="s">
        <v>210</v>
      </c>
      <c r="B120" s="31" t="s">
        <v>211</v>
      </c>
      <c r="C120" s="73">
        <f>('DOE25'!L205)+('DOE25'!L223)+('DOE25'!L241)</f>
        <v>1212250.42</v>
      </c>
      <c r="D120" s="23" t="s">
        <v>288</v>
      </c>
      <c r="E120" s="73">
        <f>+('DOE25'!L284)+('DOE25'!L303)+('DOE25'!L322)</f>
        <v>39259.089999999997</v>
      </c>
      <c r="F120" s="23" t="s">
        <v>288</v>
      </c>
      <c r="G120" s="23" t="s">
        <v>288</v>
      </c>
      <c r="H120" s="13">
        <f t="shared" si="7"/>
        <v>1251509.51</v>
      </c>
    </row>
    <row r="121" spans="1:8" x14ac:dyDescent="0.2">
      <c r="A121" t="s">
        <v>212</v>
      </c>
      <c r="B121" s="31" t="s">
        <v>213</v>
      </c>
      <c r="C121" s="73">
        <f>('DOE25'!L206)+('DOE25'!L224)+('DOE25'!L242)</f>
        <v>1336616.48</v>
      </c>
      <c r="D121" s="23" t="s">
        <v>288</v>
      </c>
      <c r="E121" s="73">
        <f>+('DOE25'!L285)+('DOE25'!L304)+('DOE25'!L323)</f>
        <v>0</v>
      </c>
      <c r="F121" s="23" t="s">
        <v>288</v>
      </c>
      <c r="G121" s="23" t="s">
        <v>288</v>
      </c>
      <c r="H121" s="13">
        <f t="shared" si="7"/>
        <v>1336616.48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2352066.88</v>
      </c>
      <c r="D123" s="23" t="s">
        <v>288</v>
      </c>
      <c r="E123" s="73">
        <f>+('DOE25'!L287)+('DOE25'!L306)+('DOE25'!L325)</f>
        <v>28143.5</v>
      </c>
      <c r="F123" s="23" t="s">
        <v>288</v>
      </c>
      <c r="G123" s="23" t="s">
        <v>288</v>
      </c>
      <c r="H123" s="13">
        <f t="shared" si="7"/>
        <v>2380210.38</v>
      </c>
    </row>
    <row r="124" spans="1:8" x14ac:dyDescent="0.2">
      <c r="A124" t="s">
        <v>218</v>
      </c>
      <c r="B124" s="31" t="s">
        <v>219</v>
      </c>
      <c r="C124" s="73">
        <f>('DOE25'!L209)+('DOE25'!L227)+('DOE25'!L245+'DOE25'!L255)</f>
        <v>1215002.8199999998</v>
      </c>
      <c r="D124" s="23" t="s">
        <v>288</v>
      </c>
      <c r="E124" s="73">
        <f>+('DOE25'!L288)+('DOE25'!L307)+('DOE25'!L326)</f>
        <v>71220.53</v>
      </c>
      <c r="F124" s="23" t="s">
        <v>288</v>
      </c>
      <c r="G124" s="23" t="s">
        <v>288</v>
      </c>
      <c r="H124" s="13">
        <f t="shared" si="7"/>
        <v>1286223.3499999999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816821.88</v>
      </c>
      <c r="E127" s="23" t="s">
        <v>288</v>
      </c>
      <c r="F127" s="23" t="s">
        <v>288</v>
      </c>
      <c r="G127" s="23" t="s">
        <v>288</v>
      </c>
      <c r="H127" s="13">
        <f t="shared" si="7"/>
        <v>816821.88</v>
      </c>
    </row>
    <row r="128" spans="1:8" ht="12.75" thickTop="1" thickBot="1" x14ac:dyDescent="0.25">
      <c r="A128" s="32" t="s">
        <v>226</v>
      </c>
      <c r="C128" s="68">
        <f>SUM(C118:C127)</f>
        <v>10066132.98</v>
      </c>
      <c r="D128" s="68">
        <f>SUM(D118:D127)</f>
        <v>816821.88</v>
      </c>
      <c r="E128" s="68">
        <f>SUM(E118:E127)</f>
        <v>513922.74</v>
      </c>
      <c r="F128" s="68">
        <f>SUM(F118:F127)</f>
        <v>0</v>
      </c>
      <c r="G128" s="68">
        <f>SUM(G118:G127)</f>
        <v>0</v>
      </c>
      <c r="H128" s="68">
        <f t="shared" si="7"/>
        <v>11396877.600000001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50000</v>
      </c>
      <c r="D135" s="23" t="s">
        <v>288</v>
      </c>
      <c r="E135" s="92">
        <f>'DOE25'!L346</f>
        <v>0</v>
      </c>
      <c r="F135" s="23" t="s">
        <v>288</v>
      </c>
      <c r="G135" s="23" t="s">
        <v>288</v>
      </c>
      <c r="H135" s="13">
        <f t="shared" si="7"/>
        <v>50000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249386.89</v>
      </c>
      <c r="D139" s="23" t="s">
        <v>288</v>
      </c>
      <c r="E139" s="23" t="s">
        <v>288</v>
      </c>
      <c r="F139" s="23" t="s">
        <v>288</v>
      </c>
      <c r="G139" s="23" t="s">
        <v>288</v>
      </c>
      <c r="H139" s="13">
        <f t="shared" si="7"/>
        <v>249386.89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-39386.890000000014</v>
      </c>
      <c r="D141" s="23" t="s">
        <v>288</v>
      </c>
      <c r="E141" s="23" t="s">
        <v>288</v>
      </c>
      <c r="F141" s="23" t="s">
        <v>288</v>
      </c>
      <c r="G141" s="23" t="s">
        <v>288</v>
      </c>
      <c r="H141" s="13">
        <f t="shared" si="7"/>
        <v>-39386.890000000014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260000</v>
      </c>
      <c r="D144" s="98">
        <f>SUM(D130:D143)</f>
        <v>0</v>
      </c>
      <c r="E144" s="98">
        <f>SUM(E130:E143)</f>
        <v>0</v>
      </c>
      <c r="F144" s="98">
        <f>SUM(F130:F143)</f>
        <v>0</v>
      </c>
      <c r="G144" s="98">
        <f>SUM(G130:G143)</f>
        <v>0</v>
      </c>
      <c r="H144" s="98">
        <f t="shared" si="7"/>
        <v>260000</v>
      </c>
    </row>
    <row r="145" spans="1:9" ht="12.75" thickTop="1" thickBot="1" x14ac:dyDescent="0.25">
      <c r="A145" s="32" t="s">
        <v>244</v>
      </c>
      <c r="C145" s="68">
        <f>(C115+C128+C144)</f>
        <v>24321514.910000004</v>
      </c>
      <c r="D145" s="68">
        <f>(D115+D128+D144)</f>
        <v>816821.88</v>
      </c>
      <c r="E145" s="68">
        <f>(E115+E128+E144)</f>
        <v>1308041.73</v>
      </c>
      <c r="F145" s="68">
        <f>(F115+F128+F144)</f>
        <v>0</v>
      </c>
      <c r="G145" s="68">
        <f>(G115+G128+G144)</f>
        <v>0</v>
      </c>
      <c r="H145" s="68">
        <f t="shared" si="7"/>
        <v>26446378.520000003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Hillsboro-Deering Cooperative</v>
      </c>
    </row>
    <row r="3" spans="1:4" x14ac:dyDescent="0.2">
      <c r="B3" s="136" t="s">
        <v>1792</v>
      </c>
    </row>
    <row r="4" spans="1:4" x14ac:dyDescent="0.2">
      <c r="B4" t="s">
        <v>61</v>
      </c>
      <c r="C4" s="128">
        <f>IF('DOE25'!F666+'DOE25'!F671=0,0,ROUND('DOE25'!F673,0))</f>
        <v>24037</v>
      </c>
    </row>
    <row r="5" spans="1:4" x14ac:dyDescent="0.2">
      <c r="B5" t="s">
        <v>700</v>
      </c>
      <c r="C5" s="128">
        <f>IF('DOE25'!G666+'DOE25'!G671=0,0,ROUND('DOE25'!G673,0))</f>
        <v>25079</v>
      </c>
    </row>
    <row r="6" spans="1:4" x14ac:dyDescent="0.2">
      <c r="B6" t="s">
        <v>62</v>
      </c>
      <c r="C6" s="128">
        <f>IF('DOE25'!H666+'DOE25'!H671=0,0,ROUND('DOE25'!H673,0))</f>
        <v>24632</v>
      </c>
    </row>
    <row r="7" spans="1:4" x14ac:dyDescent="0.2">
      <c r="B7" t="s">
        <v>701</v>
      </c>
      <c r="C7" s="128">
        <f>IF('DOE25'!I666+'DOE25'!I671=0,0,ROUND('DOE25'!I673,0))</f>
        <v>24482</v>
      </c>
    </row>
    <row r="9" spans="1:4" x14ac:dyDescent="0.2">
      <c r="A9" s="135" t="s">
        <v>94</v>
      </c>
      <c r="B9" s="136" t="s">
        <v>1793</v>
      </c>
      <c r="C9" s="130" t="s">
        <v>720</v>
      </c>
      <c r="D9" s="130" t="s">
        <v>721</v>
      </c>
    </row>
    <row r="10" spans="1:4" x14ac:dyDescent="0.2">
      <c r="A10">
        <v>1100</v>
      </c>
      <c r="B10" t="s">
        <v>702</v>
      </c>
      <c r="C10" s="128">
        <f>ROUND('DOE25'!L198+'DOE25'!L216+'DOE25'!L234+'DOE25'!L277+'DOE25'!L296+'DOE25'!L315,0)</f>
        <v>9820548</v>
      </c>
      <c r="D10" s="131">
        <f>ROUND((C10/$C$28)*100,1)</f>
        <v>38</v>
      </c>
    </row>
    <row r="11" spans="1:4" x14ac:dyDescent="0.2">
      <c r="A11">
        <v>1200</v>
      </c>
      <c r="B11" t="s">
        <v>703</v>
      </c>
      <c r="C11" s="128">
        <f>ROUND('DOE25'!L199+'DOE25'!L217+'DOE25'!L235+'DOE25'!L278+'DOE25'!L297+'DOE25'!L316,0)</f>
        <v>4510912</v>
      </c>
      <c r="D11" s="131">
        <f>ROUND((C11/$C$28)*100,1)</f>
        <v>17.399999999999999</v>
      </c>
    </row>
    <row r="12" spans="1:4" x14ac:dyDescent="0.2">
      <c r="A12">
        <v>1300</v>
      </c>
      <c r="B12" t="s">
        <v>704</v>
      </c>
      <c r="C12" s="128">
        <f>ROUND('DOE25'!L200+'DOE25'!L218+'DOE25'!L236+'DOE25'!L279+'DOE25'!L298+'DOE25'!L317,0)</f>
        <v>87099</v>
      </c>
      <c r="D12" s="131">
        <f>ROUND((C12/$C$28)*100,1)</f>
        <v>0.3</v>
      </c>
    </row>
    <row r="13" spans="1:4" x14ac:dyDescent="0.2">
      <c r="A13">
        <v>1400</v>
      </c>
      <c r="B13" t="s">
        <v>705</v>
      </c>
      <c r="C13" s="128">
        <f>ROUND('DOE25'!L201+'DOE25'!L219+'DOE25'!L237+'DOE25'!L280+'DOE25'!L299+'DOE25'!L318,0)</f>
        <v>370941</v>
      </c>
      <c r="D13" s="131">
        <f>ROUND((C13/$C$28)*100,1)</f>
        <v>1.4</v>
      </c>
    </row>
    <row r="14" spans="1:4" x14ac:dyDescent="0.2">
      <c r="D14" s="131"/>
    </row>
    <row r="15" spans="1:4" x14ac:dyDescent="0.2">
      <c r="A15">
        <v>2100</v>
      </c>
      <c r="B15" t="s">
        <v>706</v>
      </c>
      <c r="C15" s="128">
        <f>ROUND('DOE25'!L203+'DOE25'!L221+'DOE25'!L239+'DOE25'!L282+'DOE25'!L301+'DOE25'!L320,0)</f>
        <v>2528844</v>
      </c>
      <c r="D15" s="131">
        <f t="shared" ref="D15:D27" si="0">ROUND((C15/$C$28)*100,1)</f>
        <v>9.8000000000000007</v>
      </c>
    </row>
    <row r="16" spans="1:4" x14ac:dyDescent="0.2">
      <c r="A16">
        <v>2200</v>
      </c>
      <c r="B16" t="s">
        <v>707</v>
      </c>
      <c r="C16" s="128">
        <f>ROUND('DOE25'!L204+'DOE25'!L222+'DOE25'!L240+'DOE25'!L283+'DOE25'!L302+'DOE25'!L321,0)</f>
        <v>1796653</v>
      </c>
      <c r="D16" s="131">
        <f t="shared" si="0"/>
        <v>6.9</v>
      </c>
    </row>
    <row r="17" spans="1:4" x14ac:dyDescent="0.2">
      <c r="A17" s="132" t="s">
        <v>723</v>
      </c>
      <c r="B17" t="s">
        <v>738</v>
      </c>
      <c r="C17" s="128">
        <f>ROUND('DOE25'!L205+'DOE25'!L210+'DOE25'!L223+'DOE25'!L228+'DOE25'!L241+'DOE25'!L246+'DOE25'!L284+'DOE25'!L289+'DOE25'!L303+'DOE25'!L308+'DOE25'!L322+'DOE25'!L327,0)</f>
        <v>1251510</v>
      </c>
      <c r="D17" s="131">
        <f t="shared" si="0"/>
        <v>4.8</v>
      </c>
    </row>
    <row r="18" spans="1:4" x14ac:dyDescent="0.2">
      <c r="A18">
        <v>2400</v>
      </c>
      <c r="B18" t="s">
        <v>711</v>
      </c>
      <c r="C18" s="128">
        <f>ROUND('DOE25'!L206+'DOE25'!L224+'DOE25'!L242+'DOE25'!L285+'DOE25'!L304+'DOE25'!L323,0)</f>
        <v>1336616</v>
      </c>
      <c r="D18" s="131">
        <f t="shared" si="0"/>
        <v>5.2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2380210</v>
      </c>
      <c r="D20" s="131">
        <f t="shared" si="0"/>
        <v>9.1999999999999993</v>
      </c>
    </row>
    <row r="21" spans="1:4" x14ac:dyDescent="0.2">
      <c r="A21">
        <v>2700</v>
      </c>
      <c r="B21" t="s">
        <v>710</v>
      </c>
      <c r="C21" s="128">
        <f>ROUND('DOE25'!L209+'DOE25'!L227+'DOE25'!L245+'DOE25'!L288+'DOE25'!L307+'DOE25'!L326,0)</f>
        <v>1286223</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500443.32</v>
      </c>
      <c r="D27" s="131">
        <f t="shared" si="0"/>
        <v>1.9</v>
      </c>
    </row>
    <row r="28" spans="1:4" x14ac:dyDescent="0.2">
      <c r="B28" s="135" t="s">
        <v>719</v>
      </c>
      <c r="C28" s="129">
        <f>SUM(C10:C27)</f>
        <v>25869999.32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25869999.32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14697703</v>
      </c>
      <c r="D35" s="131">
        <f t="shared" ref="D35:D40" si="1">ROUND((C35/$C$41)*100,1)</f>
        <v>55.6</v>
      </c>
    </row>
    <row r="36" spans="1:4" x14ac:dyDescent="0.2">
      <c r="B36" s="71" t="s">
        <v>739</v>
      </c>
      <c r="C36" s="128">
        <f>SUM('DOE25'!F112:J112)-SUM('DOE25'!G97:G110)+('DOE25'!F175+'DOE25'!F176+'DOE25'!I175+'DOE25'!I176)-C35</f>
        <v>1973827.8300000019</v>
      </c>
      <c r="D36" s="131">
        <f t="shared" si="1"/>
        <v>7.5</v>
      </c>
    </row>
    <row r="37" spans="1:4" x14ac:dyDescent="0.2">
      <c r="A37" s="132" t="s">
        <v>831</v>
      </c>
      <c r="B37" s="71" t="s">
        <v>728</v>
      </c>
      <c r="C37" s="128">
        <f>ROUND('DOE25'!F117+'DOE25'!F118,0)</f>
        <v>7995751</v>
      </c>
      <c r="D37" s="131">
        <f t="shared" si="1"/>
        <v>30.3</v>
      </c>
    </row>
    <row r="38" spans="1:4" x14ac:dyDescent="0.2">
      <c r="A38" s="132" t="s">
        <v>734</v>
      </c>
      <c r="B38" s="71" t="s">
        <v>729</v>
      </c>
      <c r="C38" s="128">
        <f>ROUND(SUM('DOE25'!F140:J140)-SUM('DOE25'!F117:F119),0)</f>
        <v>115619</v>
      </c>
      <c r="D38" s="131">
        <f t="shared" si="1"/>
        <v>0.4</v>
      </c>
    </row>
    <row r="39" spans="1:4" x14ac:dyDescent="0.2">
      <c r="A39">
        <v>4000</v>
      </c>
      <c r="B39" s="71" t="s">
        <v>730</v>
      </c>
      <c r="C39" s="128">
        <f>ROUND('DOE25'!F170+'DOE25'!G170+'DOE25'!H170+'DOE25'!I170,0)</f>
        <v>1628500</v>
      </c>
      <c r="D39" s="131">
        <f t="shared" si="1"/>
        <v>6.2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26411400.830000002</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42" t="s">
        <v>763</v>
      </c>
      <c r="B1" s="343"/>
      <c r="C1" s="343"/>
      <c r="D1" s="343"/>
      <c r="E1" s="343"/>
      <c r="F1" s="343"/>
      <c r="G1" s="343"/>
      <c r="H1" s="343"/>
      <c r="I1" s="343"/>
      <c r="J1" s="154"/>
      <c r="K1" s="154"/>
      <c r="L1" s="154"/>
      <c r="M1" s="155"/>
    </row>
    <row r="2" spans="1:13" ht="12.75" x14ac:dyDescent="0.2">
      <c r="A2" s="347" t="s">
        <v>760</v>
      </c>
      <c r="B2" s="348"/>
      <c r="C2" s="348"/>
      <c r="D2" s="348"/>
      <c r="E2" s="348"/>
      <c r="F2" s="345" t="str">
        <f>'DOE25'!A2</f>
        <v>Hillsboro-Deering Cooperative</v>
      </c>
      <c r="G2" s="346"/>
      <c r="H2" s="346"/>
      <c r="I2" s="346"/>
      <c r="M2" s="156"/>
    </row>
    <row r="3" spans="1:13" x14ac:dyDescent="0.2">
      <c r="A3" s="157" t="s">
        <v>761</v>
      </c>
      <c r="B3" s="130" t="s">
        <v>762</v>
      </c>
      <c r="C3" s="327" t="s">
        <v>764</v>
      </c>
      <c r="D3" s="327"/>
      <c r="E3" s="327"/>
      <c r="F3" s="327"/>
      <c r="G3" s="327"/>
      <c r="H3" s="327"/>
      <c r="I3" s="327"/>
      <c r="J3" s="327"/>
      <c r="K3" s="327"/>
      <c r="L3" s="327"/>
      <c r="M3" s="344"/>
    </row>
    <row r="4" spans="1:13" x14ac:dyDescent="0.2">
      <c r="A4" s="158">
        <v>10</v>
      </c>
      <c r="B4" s="149" t="s">
        <v>1842</v>
      </c>
      <c r="C4" s="335" t="s">
        <v>1843</v>
      </c>
      <c r="D4" s="335"/>
      <c r="E4" s="335"/>
      <c r="F4" s="335"/>
      <c r="G4" s="335"/>
      <c r="H4" s="335"/>
      <c r="I4" s="335"/>
      <c r="J4" s="335"/>
      <c r="K4" s="335"/>
      <c r="L4" s="335"/>
      <c r="M4" s="336"/>
    </row>
    <row r="5" spans="1:13" x14ac:dyDescent="0.2">
      <c r="A5" s="158"/>
      <c r="B5" s="149"/>
      <c r="C5" s="335"/>
      <c r="D5" s="335"/>
      <c r="E5" s="335"/>
      <c r="F5" s="335"/>
      <c r="G5" s="335"/>
      <c r="H5" s="335"/>
      <c r="I5" s="335"/>
      <c r="J5" s="335"/>
      <c r="K5" s="335"/>
      <c r="L5" s="335"/>
      <c r="M5" s="336"/>
    </row>
    <row r="6" spans="1:13" x14ac:dyDescent="0.2">
      <c r="A6" s="158"/>
      <c r="B6" s="149"/>
      <c r="C6" s="335"/>
      <c r="D6" s="335"/>
      <c r="E6" s="335"/>
      <c r="F6" s="335"/>
      <c r="G6" s="335"/>
      <c r="H6" s="335"/>
      <c r="I6" s="335"/>
      <c r="J6" s="335"/>
      <c r="K6" s="335"/>
      <c r="L6" s="335"/>
      <c r="M6" s="336"/>
    </row>
    <row r="7" spans="1:13" x14ac:dyDescent="0.2">
      <c r="A7" s="158"/>
      <c r="B7" s="149"/>
      <c r="C7" s="335"/>
      <c r="D7" s="335"/>
      <c r="E7" s="335"/>
      <c r="F7" s="335"/>
      <c r="G7" s="335"/>
      <c r="H7" s="335"/>
      <c r="I7" s="335"/>
      <c r="J7" s="335"/>
      <c r="K7" s="335"/>
      <c r="L7" s="335"/>
      <c r="M7" s="336"/>
    </row>
    <row r="8" spans="1:13" x14ac:dyDescent="0.2">
      <c r="A8" s="158"/>
      <c r="B8" s="149"/>
      <c r="C8" s="335"/>
      <c r="D8" s="335"/>
      <c r="E8" s="335"/>
      <c r="F8" s="335"/>
      <c r="G8" s="335"/>
      <c r="H8" s="335"/>
      <c r="I8" s="335"/>
      <c r="J8" s="335"/>
      <c r="K8" s="335"/>
      <c r="L8" s="335"/>
      <c r="M8" s="336"/>
    </row>
    <row r="9" spans="1:13" x14ac:dyDescent="0.2">
      <c r="A9" s="158"/>
      <c r="B9" s="149"/>
      <c r="C9" s="335"/>
      <c r="D9" s="335"/>
      <c r="E9" s="335"/>
      <c r="F9" s="335"/>
      <c r="G9" s="335"/>
      <c r="H9" s="335"/>
      <c r="I9" s="335"/>
      <c r="J9" s="335"/>
      <c r="K9" s="335"/>
      <c r="L9" s="335"/>
      <c r="M9" s="336"/>
    </row>
    <row r="10" spans="1:13" x14ac:dyDescent="0.2">
      <c r="A10" s="158"/>
      <c r="B10" s="149"/>
      <c r="C10" s="335"/>
      <c r="D10" s="335"/>
      <c r="E10" s="335"/>
      <c r="F10" s="335"/>
      <c r="G10" s="335"/>
      <c r="H10" s="335"/>
      <c r="I10" s="335"/>
      <c r="J10" s="335"/>
      <c r="K10" s="335"/>
      <c r="L10" s="335"/>
      <c r="M10" s="336"/>
    </row>
    <row r="11" spans="1:13" x14ac:dyDescent="0.2">
      <c r="A11" s="158"/>
      <c r="B11" s="149"/>
      <c r="C11" s="335"/>
      <c r="D11" s="335"/>
      <c r="E11" s="335"/>
      <c r="F11" s="335"/>
      <c r="G11" s="335"/>
      <c r="H11" s="335"/>
      <c r="I11" s="335"/>
      <c r="J11" s="335"/>
      <c r="K11" s="335"/>
      <c r="L11" s="335"/>
      <c r="M11" s="336"/>
    </row>
    <row r="12" spans="1:13" x14ac:dyDescent="0.2">
      <c r="A12" s="158"/>
      <c r="B12" s="149"/>
      <c r="C12" s="335"/>
      <c r="D12" s="335"/>
      <c r="E12" s="335"/>
      <c r="F12" s="335"/>
      <c r="G12" s="335"/>
      <c r="H12" s="335"/>
      <c r="I12" s="335"/>
      <c r="J12" s="335"/>
      <c r="K12" s="335"/>
      <c r="L12" s="335"/>
      <c r="M12" s="336"/>
    </row>
    <row r="13" spans="1:13" x14ac:dyDescent="0.2">
      <c r="A13" s="158"/>
      <c r="B13" s="149"/>
      <c r="C13" s="335"/>
      <c r="D13" s="335"/>
      <c r="E13" s="335"/>
      <c r="F13" s="335"/>
      <c r="G13" s="335"/>
      <c r="H13" s="335"/>
      <c r="I13" s="335"/>
      <c r="J13" s="335"/>
      <c r="K13" s="335"/>
      <c r="L13" s="335"/>
      <c r="M13" s="336"/>
    </row>
    <row r="14" spans="1:13" x14ac:dyDescent="0.2">
      <c r="A14" s="158"/>
      <c r="B14" s="149"/>
      <c r="C14" s="335"/>
      <c r="D14" s="335"/>
      <c r="E14" s="335"/>
      <c r="F14" s="335"/>
      <c r="G14" s="335"/>
      <c r="H14" s="335"/>
      <c r="I14" s="335"/>
      <c r="J14" s="335"/>
      <c r="K14" s="335"/>
      <c r="L14" s="335"/>
      <c r="M14" s="336"/>
    </row>
    <row r="15" spans="1:13" x14ac:dyDescent="0.2">
      <c r="A15" s="158"/>
      <c r="B15" s="149"/>
      <c r="C15" s="335"/>
      <c r="D15" s="335"/>
      <c r="E15" s="335"/>
      <c r="F15" s="335"/>
      <c r="G15" s="335"/>
      <c r="H15" s="335"/>
      <c r="I15" s="335"/>
      <c r="J15" s="335"/>
      <c r="K15" s="335"/>
      <c r="L15" s="335"/>
      <c r="M15" s="336"/>
    </row>
    <row r="16" spans="1:13" x14ac:dyDescent="0.2">
      <c r="A16" s="158"/>
      <c r="B16" s="149"/>
      <c r="C16" s="335"/>
      <c r="D16" s="335"/>
      <c r="E16" s="335"/>
      <c r="F16" s="335"/>
      <c r="G16" s="335"/>
      <c r="H16" s="335"/>
      <c r="I16" s="335"/>
      <c r="J16" s="335"/>
      <c r="K16" s="335"/>
      <c r="L16" s="335"/>
      <c r="M16" s="336"/>
    </row>
    <row r="17" spans="1:256" x14ac:dyDescent="0.2">
      <c r="A17" s="158"/>
      <c r="B17" s="149"/>
      <c r="C17" s="335"/>
      <c r="D17" s="335"/>
      <c r="E17" s="335"/>
      <c r="F17" s="335"/>
      <c r="G17" s="335"/>
      <c r="H17" s="335"/>
      <c r="I17" s="335"/>
      <c r="J17" s="335"/>
      <c r="K17" s="335"/>
      <c r="L17" s="335"/>
      <c r="M17" s="336"/>
    </row>
    <row r="18" spans="1:256" x14ac:dyDescent="0.2">
      <c r="A18" s="158"/>
      <c r="B18" s="149"/>
      <c r="C18" s="335"/>
      <c r="D18" s="335"/>
      <c r="E18" s="335"/>
      <c r="F18" s="335"/>
      <c r="G18" s="335"/>
      <c r="H18" s="335"/>
      <c r="I18" s="335"/>
      <c r="J18" s="335"/>
      <c r="K18" s="335"/>
      <c r="L18" s="335"/>
      <c r="M18" s="336"/>
    </row>
    <row r="19" spans="1:256" x14ac:dyDescent="0.2">
      <c r="A19" s="158"/>
      <c r="B19" s="149"/>
      <c r="C19" s="335"/>
      <c r="D19" s="335"/>
      <c r="E19" s="335"/>
      <c r="F19" s="335"/>
      <c r="G19" s="335"/>
      <c r="H19" s="335"/>
      <c r="I19" s="335"/>
      <c r="J19" s="335"/>
      <c r="K19" s="335"/>
      <c r="L19" s="335"/>
      <c r="M19" s="336"/>
    </row>
    <row r="20" spans="1:256" x14ac:dyDescent="0.2">
      <c r="A20" s="158"/>
      <c r="B20" s="149"/>
      <c r="C20" s="335"/>
      <c r="D20" s="335"/>
      <c r="E20" s="335"/>
      <c r="F20" s="335"/>
      <c r="G20" s="335"/>
      <c r="H20" s="335"/>
      <c r="I20" s="335"/>
      <c r="J20" s="335"/>
      <c r="K20" s="335"/>
      <c r="L20" s="335"/>
      <c r="M20" s="336"/>
    </row>
    <row r="21" spans="1:256" x14ac:dyDescent="0.2">
      <c r="A21" s="158"/>
      <c r="B21" s="149"/>
      <c r="C21" s="335"/>
      <c r="D21" s="335"/>
      <c r="E21" s="335"/>
      <c r="F21" s="335"/>
      <c r="G21" s="335"/>
      <c r="H21" s="335"/>
      <c r="I21" s="335"/>
      <c r="J21" s="335"/>
      <c r="K21" s="335"/>
      <c r="L21" s="335"/>
      <c r="M21" s="336"/>
    </row>
    <row r="22" spans="1:256" x14ac:dyDescent="0.2">
      <c r="A22" s="158"/>
      <c r="B22" s="149"/>
      <c r="C22" s="335"/>
      <c r="D22" s="335"/>
      <c r="E22" s="335"/>
      <c r="F22" s="335"/>
      <c r="G22" s="335"/>
      <c r="H22" s="335"/>
      <c r="I22" s="335"/>
      <c r="J22" s="335"/>
      <c r="K22" s="335"/>
      <c r="L22" s="335"/>
      <c r="M22" s="336"/>
    </row>
    <row r="23" spans="1:256" x14ac:dyDescent="0.2">
      <c r="A23" s="158"/>
      <c r="B23" s="149"/>
      <c r="C23" s="335"/>
      <c r="D23" s="335"/>
      <c r="E23" s="335"/>
      <c r="F23" s="335"/>
      <c r="G23" s="335"/>
      <c r="H23" s="335"/>
      <c r="I23" s="335"/>
      <c r="J23" s="335"/>
      <c r="K23" s="335"/>
      <c r="L23" s="335"/>
      <c r="M23" s="336"/>
    </row>
    <row r="24" spans="1:256" x14ac:dyDescent="0.2">
      <c r="A24" s="158"/>
      <c r="B24" s="149"/>
      <c r="C24" s="335"/>
      <c r="D24" s="335"/>
      <c r="E24" s="335"/>
      <c r="F24" s="335"/>
      <c r="G24" s="335"/>
      <c r="H24" s="335"/>
      <c r="I24" s="335"/>
      <c r="J24" s="335"/>
      <c r="K24" s="335"/>
      <c r="L24" s="335"/>
      <c r="M24" s="336"/>
    </row>
    <row r="25" spans="1:256" x14ac:dyDescent="0.2">
      <c r="A25" s="158"/>
      <c r="B25" s="149"/>
      <c r="C25" s="335"/>
      <c r="D25" s="335"/>
      <c r="E25" s="335"/>
      <c r="F25" s="335"/>
      <c r="G25" s="335"/>
      <c r="H25" s="335"/>
      <c r="I25" s="335"/>
      <c r="J25" s="335"/>
      <c r="K25" s="335"/>
      <c r="L25" s="335"/>
      <c r="M25" s="336"/>
    </row>
    <row r="26" spans="1:256" x14ac:dyDescent="0.2">
      <c r="A26" s="158"/>
      <c r="B26" s="149"/>
      <c r="C26" s="335"/>
      <c r="D26" s="335"/>
      <c r="E26" s="335"/>
      <c r="F26" s="335"/>
      <c r="G26" s="335"/>
      <c r="H26" s="335"/>
      <c r="I26" s="335"/>
      <c r="J26" s="335"/>
      <c r="K26" s="335"/>
      <c r="L26" s="335"/>
      <c r="M26" s="336"/>
    </row>
    <row r="27" spans="1:256" x14ac:dyDescent="0.2">
      <c r="A27" s="158"/>
      <c r="B27" s="149"/>
      <c r="C27" s="335"/>
      <c r="D27" s="335"/>
      <c r="E27" s="335"/>
      <c r="F27" s="335"/>
      <c r="G27" s="335"/>
      <c r="H27" s="335"/>
      <c r="I27" s="335"/>
      <c r="J27" s="335"/>
      <c r="K27" s="335"/>
      <c r="L27" s="335"/>
      <c r="M27" s="336"/>
    </row>
    <row r="28" spans="1:256" x14ac:dyDescent="0.2">
      <c r="A28" s="158"/>
      <c r="B28" s="149"/>
      <c r="C28" s="335"/>
      <c r="D28" s="335"/>
      <c r="E28" s="335"/>
      <c r="F28" s="335"/>
      <c r="G28" s="335"/>
      <c r="H28" s="335"/>
      <c r="I28" s="335"/>
      <c r="J28" s="335"/>
      <c r="K28" s="335"/>
      <c r="L28" s="335"/>
      <c r="M28" s="336"/>
    </row>
    <row r="29" spans="1:256" x14ac:dyDescent="0.2">
      <c r="A29" s="158"/>
      <c r="B29" s="149"/>
      <c r="C29" s="335"/>
      <c r="D29" s="335"/>
      <c r="E29" s="335"/>
      <c r="F29" s="335"/>
      <c r="G29" s="335"/>
      <c r="H29" s="335"/>
      <c r="I29" s="335"/>
      <c r="J29" s="335"/>
      <c r="K29" s="335"/>
      <c r="L29" s="335"/>
      <c r="M29" s="336"/>
      <c r="N29" s="152"/>
      <c r="O29" s="152"/>
      <c r="P29" s="340"/>
      <c r="Q29" s="340"/>
      <c r="R29" s="340"/>
      <c r="S29" s="340"/>
      <c r="T29" s="340"/>
      <c r="U29" s="340"/>
      <c r="V29" s="340"/>
      <c r="W29" s="340"/>
      <c r="X29" s="340"/>
      <c r="Y29" s="340"/>
      <c r="Z29" s="340"/>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6"/>
      <c r="N30" s="152"/>
      <c r="O30" s="152"/>
      <c r="P30" s="340"/>
      <c r="Q30" s="340"/>
      <c r="R30" s="340"/>
      <c r="S30" s="340"/>
      <c r="T30" s="340"/>
      <c r="U30" s="340"/>
      <c r="V30" s="340"/>
      <c r="W30" s="340"/>
      <c r="X30" s="340"/>
      <c r="Y30" s="340"/>
      <c r="Z30" s="340"/>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6"/>
      <c r="N31" s="152"/>
      <c r="O31" s="152"/>
      <c r="P31" s="340"/>
      <c r="Q31" s="340"/>
      <c r="R31" s="340"/>
      <c r="S31" s="340"/>
      <c r="T31" s="340"/>
      <c r="U31" s="340"/>
      <c r="V31" s="340"/>
      <c r="W31" s="340"/>
      <c r="X31" s="340"/>
      <c r="Y31" s="340"/>
      <c r="Z31" s="340"/>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6"/>
      <c r="N32" s="152"/>
      <c r="O32" s="152"/>
      <c r="P32" s="340"/>
      <c r="Q32" s="340"/>
      <c r="R32" s="340"/>
      <c r="S32" s="340"/>
      <c r="T32" s="340"/>
      <c r="U32" s="340"/>
      <c r="V32" s="340"/>
      <c r="W32" s="340"/>
      <c r="X32" s="340"/>
      <c r="Y32" s="340"/>
      <c r="Z32" s="341"/>
      <c r="AA32" s="158"/>
      <c r="AB32" s="149"/>
      <c r="AC32" s="335"/>
      <c r="AD32" s="335"/>
      <c r="AE32" s="335"/>
      <c r="AF32" s="335"/>
      <c r="AG32" s="335"/>
      <c r="AH32" s="335"/>
      <c r="AI32" s="335"/>
      <c r="AJ32" s="335"/>
      <c r="AK32" s="335"/>
      <c r="AL32" s="335"/>
      <c r="AM32" s="336"/>
      <c r="AN32" s="158"/>
      <c r="AO32" s="149"/>
      <c r="AP32" s="335"/>
      <c r="AQ32" s="335"/>
      <c r="AR32" s="335"/>
      <c r="AS32" s="335"/>
      <c r="AT32" s="335"/>
      <c r="AU32" s="335"/>
      <c r="AV32" s="335"/>
      <c r="AW32" s="335"/>
      <c r="AX32" s="335"/>
      <c r="AY32" s="335"/>
      <c r="AZ32" s="336"/>
      <c r="BA32" s="158"/>
      <c r="BB32" s="149"/>
      <c r="BC32" s="335"/>
      <c r="BD32" s="335"/>
      <c r="BE32" s="335"/>
      <c r="BF32" s="335"/>
      <c r="BG32" s="335"/>
      <c r="BH32" s="335"/>
      <c r="BI32" s="335"/>
      <c r="BJ32" s="335"/>
      <c r="BK32" s="335"/>
      <c r="BL32" s="335"/>
      <c r="BM32" s="336"/>
      <c r="BN32" s="158"/>
      <c r="BO32" s="149"/>
      <c r="BP32" s="335"/>
      <c r="BQ32" s="335"/>
      <c r="BR32" s="335"/>
      <c r="BS32" s="335"/>
      <c r="BT32" s="335"/>
      <c r="BU32" s="335"/>
      <c r="BV32" s="335"/>
      <c r="BW32" s="335"/>
      <c r="BX32" s="335"/>
      <c r="BY32" s="335"/>
      <c r="BZ32" s="336"/>
      <c r="CA32" s="158"/>
      <c r="CB32" s="149"/>
      <c r="CC32" s="335"/>
      <c r="CD32" s="335"/>
      <c r="CE32" s="335"/>
      <c r="CF32" s="335"/>
      <c r="CG32" s="335"/>
      <c r="CH32" s="335"/>
      <c r="CI32" s="335"/>
      <c r="CJ32" s="335"/>
      <c r="CK32" s="335"/>
      <c r="CL32" s="335"/>
      <c r="CM32" s="336"/>
      <c r="CN32" s="158"/>
      <c r="CO32" s="149"/>
      <c r="CP32" s="335"/>
      <c r="CQ32" s="335"/>
      <c r="CR32" s="335"/>
      <c r="CS32" s="335"/>
      <c r="CT32" s="335"/>
      <c r="CU32" s="335"/>
      <c r="CV32" s="335"/>
      <c r="CW32" s="335"/>
      <c r="CX32" s="335"/>
      <c r="CY32" s="335"/>
      <c r="CZ32" s="336"/>
      <c r="DA32" s="158"/>
      <c r="DB32" s="149"/>
      <c r="DC32" s="335"/>
      <c r="DD32" s="335"/>
      <c r="DE32" s="335"/>
      <c r="DF32" s="335"/>
      <c r="DG32" s="335"/>
      <c r="DH32" s="335"/>
      <c r="DI32" s="335"/>
      <c r="DJ32" s="335"/>
      <c r="DK32" s="335"/>
      <c r="DL32" s="335"/>
      <c r="DM32" s="336"/>
      <c r="DN32" s="158"/>
      <c r="DO32" s="149"/>
      <c r="DP32" s="335"/>
      <c r="DQ32" s="335"/>
      <c r="DR32" s="335"/>
      <c r="DS32" s="335"/>
      <c r="DT32" s="335"/>
      <c r="DU32" s="335"/>
      <c r="DV32" s="335"/>
      <c r="DW32" s="335"/>
      <c r="DX32" s="335"/>
      <c r="DY32" s="335"/>
      <c r="DZ32" s="336"/>
      <c r="EA32" s="158"/>
      <c r="EB32" s="149"/>
      <c r="EC32" s="335"/>
      <c r="ED32" s="335"/>
      <c r="EE32" s="335"/>
      <c r="EF32" s="335"/>
      <c r="EG32" s="335"/>
      <c r="EH32" s="335"/>
      <c r="EI32" s="335"/>
      <c r="EJ32" s="335"/>
      <c r="EK32" s="335"/>
      <c r="EL32" s="335"/>
      <c r="EM32" s="336"/>
      <c r="EN32" s="158"/>
      <c r="EO32" s="149"/>
      <c r="EP32" s="335"/>
      <c r="EQ32" s="335"/>
      <c r="ER32" s="335"/>
      <c r="ES32" s="335"/>
      <c r="ET32" s="335"/>
      <c r="EU32" s="335"/>
      <c r="EV32" s="335"/>
      <c r="EW32" s="335"/>
      <c r="EX32" s="335"/>
      <c r="EY32" s="335"/>
      <c r="EZ32" s="336"/>
      <c r="FA32" s="158"/>
      <c r="FB32" s="149"/>
      <c r="FC32" s="335"/>
      <c r="FD32" s="335"/>
      <c r="FE32" s="335"/>
      <c r="FF32" s="335"/>
      <c r="FG32" s="335"/>
      <c r="FH32" s="335"/>
      <c r="FI32" s="335"/>
      <c r="FJ32" s="335"/>
      <c r="FK32" s="335"/>
      <c r="FL32" s="335"/>
      <c r="FM32" s="336"/>
      <c r="FN32" s="158"/>
      <c r="FO32" s="149"/>
      <c r="FP32" s="335"/>
      <c r="FQ32" s="335"/>
      <c r="FR32" s="335"/>
      <c r="FS32" s="335"/>
      <c r="FT32" s="335"/>
      <c r="FU32" s="335"/>
      <c r="FV32" s="335"/>
      <c r="FW32" s="335"/>
      <c r="FX32" s="335"/>
      <c r="FY32" s="335"/>
      <c r="FZ32" s="336"/>
      <c r="GA32" s="158"/>
      <c r="GB32" s="149"/>
      <c r="GC32" s="335"/>
      <c r="GD32" s="335"/>
      <c r="GE32" s="335"/>
      <c r="GF32" s="335"/>
      <c r="GG32" s="335"/>
      <c r="GH32" s="335"/>
      <c r="GI32" s="335"/>
      <c r="GJ32" s="335"/>
      <c r="GK32" s="335"/>
      <c r="GL32" s="335"/>
      <c r="GM32" s="336"/>
      <c r="GN32" s="158"/>
      <c r="GO32" s="149"/>
      <c r="GP32" s="335"/>
      <c r="GQ32" s="335"/>
      <c r="GR32" s="335"/>
      <c r="GS32" s="335"/>
      <c r="GT32" s="335"/>
      <c r="GU32" s="335"/>
      <c r="GV32" s="335"/>
      <c r="GW32" s="335"/>
      <c r="GX32" s="335"/>
      <c r="GY32" s="335"/>
      <c r="GZ32" s="336"/>
      <c r="HA32" s="158"/>
      <c r="HB32" s="149"/>
      <c r="HC32" s="335"/>
      <c r="HD32" s="335"/>
      <c r="HE32" s="335"/>
      <c r="HF32" s="335"/>
      <c r="HG32" s="335"/>
      <c r="HH32" s="335"/>
      <c r="HI32" s="335"/>
      <c r="HJ32" s="335"/>
      <c r="HK32" s="335"/>
      <c r="HL32" s="335"/>
      <c r="HM32" s="336"/>
      <c r="HN32" s="158"/>
      <c r="HO32" s="149"/>
      <c r="HP32" s="335"/>
      <c r="HQ32" s="335"/>
      <c r="HR32" s="335"/>
      <c r="HS32" s="335"/>
      <c r="HT32" s="335"/>
      <c r="HU32" s="335"/>
      <c r="HV32" s="335"/>
      <c r="HW32" s="335"/>
      <c r="HX32" s="335"/>
      <c r="HY32" s="335"/>
      <c r="HZ32" s="336"/>
      <c r="IA32" s="158"/>
      <c r="IB32" s="149"/>
      <c r="IC32" s="335"/>
      <c r="ID32" s="335"/>
      <c r="IE32" s="335"/>
      <c r="IF32" s="335"/>
      <c r="IG32" s="335"/>
      <c r="IH32" s="335"/>
      <c r="II32" s="335"/>
      <c r="IJ32" s="335"/>
      <c r="IK32" s="335"/>
      <c r="IL32" s="335"/>
      <c r="IM32" s="336"/>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6"/>
      <c r="N38" s="152"/>
      <c r="O38" s="152"/>
      <c r="P38" s="340"/>
      <c r="Q38" s="340"/>
      <c r="R38" s="340"/>
      <c r="S38" s="340"/>
      <c r="T38" s="340"/>
      <c r="U38" s="340"/>
      <c r="V38" s="340"/>
      <c r="W38" s="340"/>
      <c r="X38" s="340"/>
      <c r="Y38" s="340"/>
      <c r="Z38" s="340"/>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6"/>
      <c r="N39" s="152"/>
      <c r="O39" s="152"/>
      <c r="P39" s="340"/>
      <c r="Q39" s="340"/>
      <c r="R39" s="340"/>
      <c r="S39" s="340"/>
      <c r="T39" s="340"/>
      <c r="U39" s="340"/>
      <c r="V39" s="340"/>
      <c r="W39" s="340"/>
      <c r="X39" s="340"/>
      <c r="Y39" s="340"/>
      <c r="Z39" s="340"/>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6"/>
      <c r="N40" s="152"/>
      <c r="O40" s="152"/>
      <c r="P40" s="340"/>
      <c r="Q40" s="340"/>
      <c r="R40" s="340"/>
      <c r="S40" s="340"/>
      <c r="T40" s="340"/>
      <c r="U40" s="340"/>
      <c r="V40" s="340"/>
      <c r="W40" s="340"/>
      <c r="X40" s="340"/>
      <c r="Y40" s="340"/>
      <c r="Z40" s="340"/>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6"/>
    </row>
    <row r="51" spans="1:256" x14ac:dyDescent="0.2">
      <c r="A51" s="158"/>
      <c r="B51" s="149"/>
      <c r="C51" s="335"/>
      <c r="D51" s="335"/>
      <c r="E51" s="335"/>
      <c r="F51" s="335"/>
      <c r="G51" s="335"/>
      <c r="H51" s="335"/>
      <c r="I51" s="335"/>
      <c r="J51" s="335"/>
      <c r="K51" s="335"/>
      <c r="L51" s="335"/>
      <c r="M51" s="336"/>
    </row>
    <row r="52" spans="1:256" x14ac:dyDescent="0.2">
      <c r="A52" s="158"/>
      <c r="B52" s="149"/>
      <c r="C52" s="335"/>
      <c r="D52" s="335"/>
      <c r="E52" s="335"/>
      <c r="F52" s="335"/>
      <c r="G52" s="335"/>
      <c r="H52" s="335"/>
      <c r="I52" s="335"/>
      <c r="J52" s="335"/>
      <c r="K52" s="335"/>
      <c r="L52" s="335"/>
      <c r="M52" s="336"/>
    </row>
    <row r="53" spans="1:256" x14ac:dyDescent="0.2">
      <c r="A53" s="158"/>
      <c r="B53" s="149"/>
      <c r="C53" s="335"/>
      <c r="D53" s="335"/>
      <c r="E53" s="335"/>
      <c r="F53" s="335"/>
      <c r="G53" s="335"/>
      <c r="H53" s="335"/>
      <c r="I53" s="335"/>
      <c r="J53" s="335"/>
      <c r="K53" s="335"/>
      <c r="L53" s="335"/>
      <c r="M53" s="336"/>
    </row>
    <row r="54" spans="1:256" x14ac:dyDescent="0.2">
      <c r="A54" s="158"/>
      <c r="B54" s="149"/>
      <c r="C54" s="335"/>
      <c r="D54" s="335"/>
      <c r="E54" s="335"/>
      <c r="F54" s="335"/>
      <c r="G54" s="335"/>
      <c r="H54" s="335"/>
      <c r="I54" s="335"/>
      <c r="J54" s="335"/>
      <c r="K54" s="335"/>
      <c r="L54" s="335"/>
      <c r="M54" s="336"/>
    </row>
    <row r="55" spans="1:256" x14ac:dyDescent="0.2">
      <c r="A55" s="158"/>
      <c r="B55" s="149"/>
      <c r="C55" s="335"/>
      <c r="D55" s="335"/>
      <c r="E55" s="335"/>
      <c r="F55" s="335"/>
      <c r="G55" s="335"/>
      <c r="H55" s="335"/>
      <c r="I55" s="335"/>
      <c r="J55" s="335"/>
      <c r="K55" s="335"/>
      <c r="L55" s="335"/>
      <c r="M55" s="336"/>
    </row>
    <row r="56" spans="1:256" x14ac:dyDescent="0.2">
      <c r="A56" s="158"/>
      <c r="B56" s="149"/>
      <c r="C56" s="335"/>
      <c r="D56" s="335"/>
      <c r="E56" s="335"/>
      <c r="F56" s="335"/>
      <c r="G56" s="335"/>
      <c r="H56" s="335"/>
      <c r="I56" s="335"/>
      <c r="J56" s="335"/>
      <c r="K56" s="335"/>
      <c r="L56" s="335"/>
      <c r="M56" s="336"/>
    </row>
    <row r="57" spans="1:256" x14ac:dyDescent="0.2">
      <c r="A57" s="158"/>
      <c r="B57" s="149"/>
      <c r="C57" s="335"/>
      <c r="D57" s="335"/>
      <c r="E57" s="335"/>
      <c r="F57" s="335"/>
      <c r="G57" s="335"/>
      <c r="H57" s="335"/>
      <c r="I57" s="335"/>
      <c r="J57" s="335"/>
      <c r="K57" s="335"/>
      <c r="L57" s="335"/>
      <c r="M57" s="336"/>
    </row>
    <row r="58" spans="1:256" x14ac:dyDescent="0.2">
      <c r="A58" s="158"/>
      <c r="B58" s="149"/>
      <c r="C58" s="335"/>
      <c r="D58" s="335"/>
      <c r="E58" s="335"/>
      <c r="F58" s="335"/>
      <c r="G58" s="335"/>
      <c r="H58" s="335"/>
      <c r="I58" s="335"/>
      <c r="J58" s="335"/>
      <c r="K58" s="335"/>
      <c r="L58" s="335"/>
      <c r="M58" s="336"/>
    </row>
    <row r="59" spans="1:256" x14ac:dyDescent="0.2">
      <c r="A59" s="158"/>
      <c r="B59" s="149"/>
      <c r="C59" s="335"/>
      <c r="D59" s="335"/>
      <c r="E59" s="335"/>
      <c r="F59" s="335"/>
      <c r="G59" s="335"/>
      <c r="H59" s="335"/>
      <c r="I59" s="335"/>
      <c r="J59" s="335"/>
      <c r="K59" s="335"/>
      <c r="L59" s="335"/>
      <c r="M59" s="336"/>
    </row>
    <row r="60" spans="1:256" x14ac:dyDescent="0.2">
      <c r="A60" s="158"/>
      <c r="B60" s="149"/>
      <c r="C60" s="335"/>
      <c r="D60" s="335"/>
      <c r="E60" s="335"/>
      <c r="F60" s="335"/>
      <c r="G60" s="335"/>
      <c r="H60" s="335"/>
      <c r="I60" s="335"/>
      <c r="J60" s="335"/>
      <c r="K60" s="335"/>
      <c r="L60" s="335"/>
      <c r="M60" s="336"/>
    </row>
    <row r="61" spans="1:256" x14ac:dyDescent="0.2">
      <c r="A61" s="158"/>
      <c r="B61" s="149"/>
      <c r="C61" s="335"/>
      <c r="D61" s="335"/>
      <c r="E61" s="335"/>
      <c r="F61" s="335"/>
      <c r="G61" s="335"/>
      <c r="H61" s="335"/>
      <c r="I61" s="335"/>
      <c r="J61" s="335"/>
      <c r="K61" s="335"/>
      <c r="L61" s="335"/>
      <c r="M61" s="336"/>
    </row>
    <row r="62" spans="1:256" x14ac:dyDescent="0.2">
      <c r="A62" s="158"/>
      <c r="B62" s="149"/>
      <c r="C62" s="335"/>
      <c r="D62" s="335"/>
      <c r="E62" s="335"/>
      <c r="F62" s="335"/>
      <c r="G62" s="335"/>
      <c r="H62" s="335"/>
      <c r="I62" s="335"/>
      <c r="J62" s="335"/>
      <c r="K62" s="335"/>
      <c r="L62" s="335"/>
      <c r="M62" s="336"/>
    </row>
    <row r="63" spans="1:256" x14ac:dyDescent="0.2">
      <c r="A63" s="158"/>
      <c r="B63" s="149"/>
      <c r="C63" s="335"/>
      <c r="D63" s="335"/>
      <c r="E63" s="335"/>
      <c r="F63" s="335"/>
      <c r="G63" s="335"/>
      <c r="H63" s="335"/>
      <c r="I63" s="335"/>
      <c r="J63" s="335"/>
      <c r="K63" s="335"/>
      <c r="L63" s="335"/>
      <c r="M63" s="336"/>
    </row>
    <row r="64" spans="1:256" x14ac:dyDescent="0.2">
      <c r="A64" s="158"/>
      <c r="B64" s="149"/>
      <c r="C64" s="335"/>
      <c r="D64" s="335"/>
      <c r="E64" s="335"/>
      <c r="F64" s="335"/>
      <c r="G64" s="335"/>
      <c r="H64" s="335"/>
      <c r="I64" s="335"/>
      <c r="J64" s="335"/>
      <c r="K64" s="335"/>
      <c r="L64" s="335"/>
      <c r="M64" s="336"/>
    </row>
    <row r="65" spans="1:13" x14ac:dyDescent="0.2">
      <c r="A65" s="158"/>
      <c r="B65" s="149"/>
      <c r="C65" s="335"/>
      <c r="D65" s="335"/>
      <c r="E65" s="335"/>
      <c r="F65" s="335"/>
      <c r="G65" s="335"/>
      <c r="H65" s="335"/>
      <c r="I65" s="335"/>
      <c r="J65" s="335"/>
      <c r="K65" s="335"/>
      <c r="L65" s="335"/>
      <c r="M65" s="336"/>
    </row>
    <row r="66" spans="1:13" x14ac:dyDescent="0.2">
      <c r="A66" s="158"/>
      <c r="B66" s="149"/>
      <c r="C66" s="335"/>
      <c r="D66" s="335"/>
      <c r="E66" s="335"/>
      <c r="F66" s="335"/>
      <c r="G66" s="335"/>
      <c r="H66" s="335"/>
      <c r="I66" s="335"/>
      <c r="J66" s="335"/>
      <c r="K66" s="335"/>
      <c r="L66" s="335"/>
      <c r="M66" s="336"/>
    </row>
    <row r="67" spans="1:13" x14ac:dyDescent="0.2">
      <c r="A67" s="158"/>
      <c r="B67" s="149"/>
      <c r="C67" s="335"/>
      <c r="D67" s="335"/>
      <c r="E67" s="335"/>
      <c r="F67" s="335"/>
      <c r="G67" s="335"/>
      <c r="H67" s="335"/>
      <c r="I67" s="335"/>
      <c r="J67" s="335"/>
      <c r="K67" s="335"/>
      <c r="L67" s="335"/>
      <c r="M67" s="336"/>
    </row>
    <row r="68" spans="1:13" x14ac:dyDescent="0.2">
      <c r="A68" s="158"/>
      <c r="B68" s="149"/>
      <c r="C68" s="335"/>
      <c r="D68" s="335"/>
      <c r="E68" s="335"/>
      <c r="F68" s="335"/>
      <c r="G68" s="335"/>
      <c r="H68" s="335"/>
      <c r="I68" s="335"/>
      <c r="J68" s="335"/>
      <c r="K68" s="335"/>
      <c r="L68" s="335"/>
      <c r="M68" s="336"/>
    </row>
    <row r="69" spans="1:13" x14ac:dyDescent="0.2">
      <c r="A69" s="158"/>
      <c r="B69" s="149"/>
      <c r="C69" s="335"/>
      <c r="D69" s="335"/>
      <c r="E69" s="335"/>
      <c r="F69" s="335"/>
      <c r="G69" s="335"/>
      <c r="H69" s="335"/>
      <c r="I69" s="335"/>
      <c r="J69" s="335"/>
      <c r="K69" s="335"/>
      <c r="L69" s="335"/>
      <c r="M69" s="336"/>
    </row>
    <row r="70" spans="1:13" ht="12" thickBot="1" x14ac:dyDescent="0.25">
      <c r="A70" s="159"/>
      <c r="B70" s="160"/>
      <c r="C70" s="337"/>
      <c r="D70" s="337"/>
      <c r="E70" s="337"/>
      <c r="F70" s="337"/>
      <c r="G70" s="337"/>
      <c r="H70" s="337"/>
      <c r="I70" s="337"/>
      <c r="J70" s="337"/>
      <c r="K70" s="337"/>
      <c r="L70" s="337"/>
      <c r="M70" s="338"/>
    </row>
    <row r="71" spans="1:13" ht="12" thickTop="1" x14ac:dyDescent="0.2">
      <c r="A71" s="150"/>
      <c r="B71" s="150"/>
      <c r="C71" s="151"/>
      <c r="D71" s="151"/>
      <c r="E71" s="151"/>
      <c r="F71" s="151"/>
      <c r="G71" s="151"/>
      <c r="H71" s="151"/>
      <c r="I71" s="151"/>
      <c r="J71" s="151"/>
      <c r="K71" s="151"/>
      <c r="L71" s="151"/>
    </row>
    <row r="72" spans="1:13" ht="12.75" x14ac:dyDescent="0.2">
      <c r="A72" s="339" t="s">
        <v>828</v>
      </c>
      <c r="B72" s="339"/>
      <c r="C72" s="339"/>
      <c r="D72" s="339"/>
      <c r="E72" s="339"/>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130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27</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32</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f>IF('School Level Expenditures'!$B$2='School Tables'!L30,'School Tables'!S30,"")</f>
        <v>27</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f>IF('School Level Expenditures'!$B$2='School Tables'!W35,'School Tables'!AD35,"")</f>
        <v>32</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f>IF('School Level Expenditures'!$B$2=A133,'School Tables'!H133,"")</f>
        <v>130</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2024-09-10T18:42:21Z</cp:lastPrinted>
  <dcterms:created xsi:type="dcterms:W3CDTF">1997-12-04T19:04:30Z</dcterms:created>
  <dcterms:modified xsi:type="dcterms:W3CDTF">2024-12-20T18:49:15Z</dcterms:modified>
</cp:coreProperties>
</file>