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35D6FEDD-DF75-4A6F-8ECA-579E056FE8E8}"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H155" i="1" l="1"/>
  <c r="H162" i="1"/>
  <c r="F50" i="1"/>
  <c r="K27" i="14" l="1"/>
  <c r="K26" i="14"/>
  <c r="D26" i="14"/>
  <c r="G583" i="1"/>
  <c r="P40" i="14" l="1"/>
  <c r="O40" i="14"/>
  <c r="P27" i="14"/>
  <c r="O27" i="14"/>
  <c r="F15" i="13"/>
  <c r="F14" i="13"/>
  <c r="F6" i="13"/>
  <c r="F5" i="13"/>
  <c r="G500" i="1" l="1"/>
  <c r="H499" i="1"/>
  <c r="G499" i="1"/>
  <c r="F499" i="1"/>
  <c r="H159" i="1"/>
  <c r="F473" i="1" l="1"/>
  <c r="H234" i="1"/>
  <c r="H22" i="1" l="1"/>
  <c r="H12" i="1"/>
  <c r="H24" i="1" l="1"/>
  <c r="H28" i="1"/>
  <c r="I299" i="1" l="1"/>
  <c r="H299" i="1"/>
  <c r="J296" i="1"/>
  <c r="H318" i="1"/>
  <c r="I318" i="1"/>
  <c r="K318" i="1"/>
  <c r="J318" i="1"/>
  <c r="I320" i="1"/>
  <c r="F318" i="1"/>
  <c r="I315" i="1"/>
  <c r="H315" i="1"/>
  <c r="F316" i="1"/>
  <c r="F321" i="1"/>
  <c r="H321" i="1"/>
  <c r="F320" i="1"/>
  <c r="F315" i="1"/>
  <c r="F302" i="1"/>
  <c r="H302" i="1"/>
  <c r="F301" i="1"/>
  <c r="F296" i="1"/>
  <c r="F297" i="1"/>
  <c r="H23" i="1" l="1"/>
  <c r="H17" i="1"/>
  <c r="H10" i="1"/>
  <c r="H369" i="1" l="1"/>
  <c r="G369" i="1"/>
  <c r="H368" i="1"/>
  <c r="G368" i="1"/>
  <c r="I360" i="1"/>
  <c r="J360" i="1"/>
  <c r="H360" i="1"/>
  <c r="G360" i="1"/>
  <c r="F360" i="1"/>
  <c r="I361" i="1"/>
  <c r="H361" i="1"/>
  <c r="G361" i="1"/>
  <c r="F361" i="1"/>
  <c r="J361" i="1"/>
  <c r="G158" i="1"/>
  <c r="G135" i="1"/>
  <c r="G97" i="1"/>
  <c r="G9" i="1"/>
  <c r="J256" i="1"/>
  <c r="F110" i="1" l="1"/>
  <c r="F96" i="1"/>
  <c r="F63" i="1"/>
  <c r="F57" i="1"/>
  <c r="F29" i="1"/>
  <c r="F28" i="1"/>
  <c r="F24" i="1"/>
  <c r="F23" i="1"/>
  <c r="F22" i="1"/>
  <c r="F17" i="1"/>
  <c r="F14" i="1"/>
  <c r="F13" i="1"/>
  <c r="F9" i="1"/>
  <c r="I524" i="1" l="1"/>
  <c r="I523" i="1"/>
  <c r="H524" i="1"/>
  <c r="H523" i="1"/>
  <c r="G534" i="1" l="1"/>
  <c r="G533" i="1"/>
  <c r="G529" i="1"/>
  <c r="G528" i="1"/>
  <c r="G523" i="1"/>
  <c r="G524" i="1"/>
  <c r="J592" i="1" l="1"/>
  <c r="J594" i="1"/>
  <c r="H245" i="1"/>
  <c r="H237" i="1"/>
  <c r="K267" i="1" l="1"/>
  <c r="K262" i="1"/>
  <c r="K261" i="1"/>
  <c r="I245" i="1"/>
  <c r="K244" i="1"/>
  <c r="I244" i="1"/>
  <c r="H244" i="1"/>
  <c r="F244" i="1"/>
  <c r="K242" i="1"/>
  <c r="I242" i="1"/>
  <c r="H242" i="1"/>
  <c r="F242" i="1"/>
  <c r="I241" i="1"/>
  <c r="H241" i="1"/>
  <c r="F241" i="1"/>
  <c r="I240" i="1"/>
  <c r="H240" i="1"/>
  <c r="F240" i="1"/>
  <c r="F239" i="1"/>
  <c r="I239" i="1"/>
  <c r="H239" i="1"/>
  <c r="J237" i="1"/>
  <c r="I237" i="1"/>
  <c r="F237" i="1"/>
  <c r="I235" i="1"/>
  <c r="H235" i="1"/>
  <c r="F235" i="1"/>
  <c r="J234" i="1" l="1"/>
  <c r="I234" i="1"/>
  <c r="F234" i="1"/>
  <c r="H227" i="1" l="1"/>
  <c r="I227" i="1"/>
  <c r="K226" i="1"/>
  <c r="I226" i="1"/>
  <c r="H226" i="1"/>
  <c r="F226" i="1"/>
  <c r="K224" i="1"/>
  <c r="I224" i="1"/>
  <c r="H224" i="1"/>
  <c r="F224" i="1"/>
  <c r="I223" i="1"/>
  <c r="H223" i="1"/>
  <c r="F223" i="1"/>
  <c r="I222" i="1"/>
  <c r="H222" i="1"/>
  <c r="F222" i="1"/>
  <c r="H221" i="1" l="1"/>
  <c r="F221" i="1"/>
  <c r="I221" i="1"/>
  <c r="J219" i="1"/>
  <c r="I219" i="1"/>
  <c r="H219" i="1"/>
  <c r="F219" i="1"/>
  <c r="F217" i="1"/>
  <c r="I217" i="1"/>
  <c r="H217" i="1"/>
  <c r="J216" i="1"/>
  <c r="I216" i="1"/>
  <c r="H216" i="1"/>
  <c r="F216"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Q45" i="14" l="1"/>
  <c r="P45" i="14"/>
  <c r="O45" i="14"/>
  <c r="N45" i="14"/>
  <c r="M45" i="14"/>
  <c r="L45" i="14"/>
  <c r="Q34" i="14"/>
  <c r="P34" i="14"/>
  <c r="O34" i="14"/>
  <c r="N34" i="14"/>
  <c r="M34" i="14"/>
  <c r="L34" i="14"/>
  <c r="K34" i="14"/>
  <c r="Q21" i="14"/>
  <c r="P21" i="14"/>
  <c r="O21" i="14"/>
  <c r="N21" i="14"/>
  <c r="M21" i="14"/>
  <c r="L21" i="14"/>
  <c r="K21" i="14"/>
  <c r="C2" i="1"/>
  <c r="B2" i="1"/>
  <c r="G42" i="13" l="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E34" i="14"/>
  <c r="E21" i="14"/>
  <c r="D21" i="14"/>
  <c r="G36" i="13" l="1"/>
  <c r="G29" i="13"/>
  <c r="F88" i="2" l="1"/>
  <c r="E88" i="2"/>
  <c r="D88" i="2"/>
  <c r="C88" i="2"/>
  <c r="I163" i="1"/>
  <c r="H163" i="1"/>
  <c r="G163" i="1"/>
  <c r="F163" i="1"/>
  <c r="H88" i="2" l="1"/>
  <c r="B31" i="16"/>
  <c r="B27" i="16"/>
  <c r="B9" i="16"/>
  <c r="B5" i="16"/>
  <c r="F44" i="14" l="1"/>
  <c r="F41" i="14" l="1"/>
  <c r="F42" i="14"/>
  <c r="F43" i="14"/>
  <c r="F39" i="14"/>
  <c r="F28" i="14"/>
  <c r="F29" i="14"/>
  <c r="F30" i="14"/>
  <c r="F31" i="14"/>
  <c r="F32" i="14"/>
  <c r="F33" i="14"/>
  <c r="F6" i="14"/>
  <c r="F7" i="14"/>
  <c r="F8" i="14"/>
  <c r="F9" i="14"/>
  <c r="F10" i="14"/>
  <c r="F11" i="14"/>
  <c r="F12" i="14"/>
  <c r="F13" i="14"/>
  <c r="F14" i="14"/>
  <c r="F15" i="14"/>
  <c r="F16" i="14"/>
  <c r="F17" i="14"/>
  <c r="F18" i="14"/>
  <c r="F19" i="14"/>
  <c r="F20" i="14"/>
  <c r="F26" i="14"/>
  <c r="F5" i="14"/>
  <c r="F4" i="14" l="1"/>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H40" i="2" s="1"/>
  <c r="D39" i="2"/>
  <c r="H39" i="2" s="1"/>
  <c r="G656" i="1"/>
  <c r="F48" i="2"/>
  <c r="E48" i="2"/>
  <c r="D48" i="2"/>
  <c r="C48" i="2"/>
  <c r="F47" i="2"/>
  <c r="E47" i="2"/>
  <c r="D47" i="2"/>
  <c r="C47" i="2"/>
  <c r="F44" i="2"/>
  <c r="E44" i="2"/>
  <c r="D44" i="2"/>
  <c r="C44" i="2"/>
  <c r="H44" i="2" s="1"/>
  <c r="F43" i="2"/>
  <c r="E43" i="2"/>
  <c r="D43" i="2"/>
  <c r="C43" i="2"/>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B27" i="12"/>
  <c r="C27" i="12"/>
  <c r="B31" i="12"/>
  <c r="C31" i="12"/>
  <c r="B9"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J111" i="1"/>
  <c r="J112" i="1" s="1"/>
  <c r="F121" i="1"/>
  <c r="F136" i="1"/>
  <c r="G121" i="1"/>
  <c r="G136" i="1"/>
  <c r="H121" i="1"/>
  <c r="H136" i="1"/>
  <c r="H140" i="1" s="1"/>
  <c r="I121" i="1"/>
  <c r="I136" i="1"/>
  <c r="J121" i="1"/>
  <c r="J136" i="1"/>
  <c r="J140" i="1" s="1"/>
  <c r="F147" i="1"/>
  <c r="F170" i="1"/>
  <c r="G147" i="1"/>
  <c r="D85" i="2" s="1"/>
  <c r="H147" i="1"/>
  <c r="H170" i="1" s="1"/>
  <c r="I147" i="1"/>
  <c r="F85" i="2"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H9" i="2" s="1"/>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H17" i="2" s="1"/>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H80" i="2" s="1"/>
  <c r="E80" i="2"/>
  <c r="C85" i="2"/>
  <c r="C87" i="2"/>
  <c r="E87" i="2"/>
  <c r="F87" i="2"/>
  <c r="C89" i="2"/>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H653" i="1"/>
  <c r="G654" i="1"/>
  <c r="H654" i="1"/>
  <c r="H655" i="1"/>
  <c r="H656" i="1"/>
  <c r="I409" i="1" l="1"/>
  <c r="H101" i="2"/>
  <c r="H98" i="2"/>
  <c r="H76" i="2"/>
  <c r="H58" i="2"/>
  <c r="D18" i="13"/>
  <c r="C18" i="13" s="1"/>
  <c r="H13" i="2"/>
  <c r="H28" i="2"/>
  <c r="H24" i="2"/>
  <c r="I112" i="1"/>
  <c r="I170" i="1"/>
  <c r="H97" i="2"/>
  <c r="H132" i="2"/>
  <c r="H36" i="2"/>
  <c r="H43" i="2"/>
  <c r="H48" i="2"/>
  <c r="H100" i="2"/>
  <c r="H79" i="2"/>
  <c r="H96" i="2"/>
  <c r="H89" i="2"/>
  <c r="H143" i="2"/>
  <c r="C21" i="12"/>
  <c r="C37" i="12"/>
  <c r="C40" i="12" s="1"/>
  <c r="C39" i="12"/>
  <c r="H30" i="2"/>
  <c r="H27" i="2"/>
  <c r="B21" i="12"/>
  <c r="B20" i="12"/>
  <c r="P2" i="14" s="1"/>
  <c r="P3" i="14" s="1"/>
  <c r="B19" i="12"/>
  <c r="B22" i="12" s="1"/>
  <c r="H99" i="2"/>
  <c r="K2" i="14"/>
  <c r="K3" i="14" s="1"/>
  <c r="H73" i="2"/>
  <c r="H102" i="2"/>
  <c r="H87" i="2"/>
  <c r="H26" i="2"/>
  <c r="C11" i="12"/>
  <c r="C12" i="12"/>
  <c r="H59" i="2"/>
  <c r="H35" i="2"/>
  <c r="H11" i="2"/>
  <c r="B12" i="12"/>
  <c r="B10" i="12"/>
  <c r="C10" i="12" s="1"/>
  <c r="C13" i="12" s="1"/>
  <c r="E124" i="2"/>
  <c r="H29" i="2"/>
  <c r="G477" i="1"/>
  <c r="H477" i="1"/>
  <c r="H625" i="1" s="1"/>
  <c r="J625" i="1" s="1"/>
  <c r="H47" i="2"/>
  <c r="H12" i="2"/>
  <c r="H61" i="2"/>
  <c r="G663" i="1"/>
  <c r="H125" i="2"/>
  <c r="H22" i="2"/>
  <c r="G662" i="1"/>
  <c r="D29" i="13"/>
  <c r="H77" i="2"/>
  <c r="H23" i="2"/>
  <c r="G62" i="2"/>
  <c r="G63" i="2" s="1"/>
  <c r="G409" i="1"/>
  <c r="H646" i="1" s="1"/>
  <c r="J652" i="1"/>
  <c r="C32" i="10"/>
  <c r="C13" i="10"/>
  <c r="C119" i="2"/>
  <c r="K36" i="14"/>
  <c r="D15" i="13"/>
  <c r="C15" i="13" s="1"/>
  <c r="E13" i="13"/>
  <c r="C13" i="13" s="1"/>
  <c r="C120" i="2"/>
  <c r="H120" i="2" s="1"/>
  <c r="C112" i="2"/>
  <c r="H112" i="2" s="1"/>
  <c r="C12" i="10"/>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J653" i="1"/>
  <c r="G572" i="1"/>
  <c r="I435" i="1"/>
  <c r="G435" i="1"/>
  <c r="I664" i="1"/>
  <c r="H114" i="2" l="1"/>
  <c r="H57" i="2"/>
  <c r="H134" i="2"/>
  <c r="H85" i="2"/>
  <c r="H42" i="2"/>
  <c r="H21" i="2"/>
  <c r="H122" i="2"/>
  <c r="H78" i="2"/>
  <c r="O2" i="14"/>
  <c r="O3" i="14" s="1"/>
  <c r="B13" i="12"/>
  <c r="A13" i="12" s="1"/>
  <c r="C20" i="12"/>
  <c r="K37" i="14"/>
  <c r="K40" i="14"/>
  <c r="K45" i="14" s="1"/>
  <c r="H16" i="2"/>
  <c r="C19" i="12"/>
  <c r="H103" i="2"/>
  <c r="H62" i="2"/>
  <c r="E51" i="2"/>
  <c r="D128" i="2"/>
  <c r="D145" i="2" s="1"/>
  <c r="H127" i="2"/>
  <c r="H91" i="2"/>
  <c r="I662" i="1"/>
  <c r="H50" i="2"/>
  <c r="D51" i="2"/>
  <c r="H31" i="2"/>
  <c r="H18" i="2"/>
  <c r="C81" i="2"/>
  <c r="H81" i="2" s="1"/>
  <c r="F194" i="1"/>
  <c r="G628" i="1" s="1"/>
  <c r="J628" i="1" s="1"/>
  <c r="I663" i="1"/>
  <c r="H119" i="2"/>
  <c r="G25" i="14"/>
  <c r="H110" i="2"/>
  <c r="H121" i="2"/>
  <c r="E128" i="2"/>
  <c r="H118" i="2"/>
  <c r="F661" i="1"/>
  <c r="F665" i="1" s="1"/>
  <c r="F670" i="1" s="1"/>
  <c r="E115" i="2"/>
  <c r="H109" i="2"/>
  <c r="F144" i="2"/>
  <c r="H130" i="2"/>
  <c r="H661" i="1"/>
  <c r="H665" i="1" s="1"/>
  <c r="H194" i="1"/>
  <c r="G630" i="1" s="1"/>
  <c r="J630" i="1" s="1"/>
  <c r="H649" i="1"/>
  <c r="J649" i="1" s="1"/>
  <c r="C141" i="2"/>
  <c r="F51" i="2"/>
  <c r="G38" i="14"/>
  <c r="D40"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D27" i="14" l="1"/>
  <c r="C22" i="12"/>
  <c r="A22" i="12" s="1"/>
  <c r="H51" i="2"/>
  <c r="C104" i="2"/>
  <c r="H104" i="2" s="1"/>
  <c r="H63" i="2"/>
  <c r="C144" i="2"/>
  <c r="H144" i="2" s="1"/>
  <c r="H14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D34" i="14" l="1"/>
  <c r="F27" i="14"/>
  <c r="F25" i="14" s="1"/>
  <c r="H25" i="14" s="1"/>
  <c r="I25" i="14" s="1"/>
  <c r="C145" i="2"/>
  <c r="H145" i="2" s="1"/>
  <c r="I670" i="1"/>
  <c r="I673" i="1" s="1"/>
  <c r="C7" i="10" s="1"/>
  <c r="F673" i="1"/>
  <c r="C4" i="10" s="1"/>
  <c r="I668" i="1"/>
  <c r="D28" i="10"/>
  <c r="D37" i="10"/>
  <c r="D36" i="10"/>
  <c r="D35" i="10"/>
  <c r="D40" i="10"/>
  <c r="D39" i="10"/>
  <c r="D41" i="10" l="1"/>
  <c r="D45" i="14"/>
  <c r="F40" i="14"/>
  <c r="F38" i="14" s="1"/>
  <c r="H38" i="14" s="1"/>
  <c r="I3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<sst xmlns="http://schemas.openxmlformats.org/spreadsheetml/2006/main" count="6645" uniqueCount="1847">
  <si>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</si>
  <si>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</si>
  <si>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</si>
  <si>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</si>
  <si>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</si>
  <si>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</si>
  <si>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</si>
  <si>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</si>
  <si>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</si>
  <si>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</si>
  <si>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</si>
  <si>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</si>
  <si>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</si>
  <si>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</si>
  <si>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</si>
  <si>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</si>
  <si>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</si>
  <si>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</si>
  <si>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</si>
  <si>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</si>
  <si>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</si>
  <si>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</si>
  <si>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</si>
  <si>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</si>
  <si>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</si>
  <si>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</si>
  <si>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</si>
  <si>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</si>
  <si>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</si>
  <si>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</si>
  <si>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</si>
  <si>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</si>
  <si>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</si>
  <si>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</si>
  <si>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</si>
  <si>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</si>
  <si>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</si>
  <si>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</si>
  <si>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</si>
  <si>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</si>
  <si>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</si>
  <si>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</si>
  <si>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</si>
  <si>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</si>
  <si>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</si>
  <si>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</si>
  <si>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</si>
  <si>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</si>
  <si>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</si>
  <si>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</si>
  <si>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</si>
  <si>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</si>
  <si>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</si>
  <si>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</si>
  <si>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</si>
  <si>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</si>
  <si>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</si>
  <si>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</si>
  <si>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</si>
  <si>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</si>
  <si>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</si>
  <si>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</si>
  <si>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</si>
  <si>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</si>
  <si>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</si>
  <si>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</si>
  <si>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</si>
  <si>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</si>
  <si>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</si>
  <si>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</si>
  <si>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</si>
  <si>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</si>
  <si>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</si>
  <si>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</si>
  <si>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</si>
  <si>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</si>
  <si>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</si>
  <si>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</si>
  <si>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</si>
  <si>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</si>
  <si>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</si>
  <si>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</si>
  <si>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</si>
  <si>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</si>
  <si>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</si>
  <si>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</si>
  <si>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</si>
  <si>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</si>
  <si>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</si>
  <si>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</si>
  <si>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</si>
  <si>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</si>
  <si>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</si>
  <si>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</si>
  <si>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</si>
  <si>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</si>
  <si>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</si>
  <si>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</si>
  <si>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</si>
  <si>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</si>
  <si>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</si>
  <si>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</si>
  <si>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</si>
  <si>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</si>
  <si>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</si>
  <si>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</si>
  <si>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</si>
  <si>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</si>
  <si>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</si>
  <si>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</si>
  <si>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</si>
  <si>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</si>
  <si>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</si>
  <si>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</si>
  <si>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</si>
  <si>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</si>
  <si>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</si>
  <si>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</si>
  <si>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</si>
  <si>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</si>
  <si>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</si>
  <si>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</si>
  <si>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</si>
  <si>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</si>
  <si>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</si>
  <si>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</si>
  <si>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</si>
  <si>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</si>
  <si>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</si>
  <si>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</si>
  <si>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</si>
  <si>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</si>
  <si>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</si>
  <si>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</si>
  <si>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</si>
  <si>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</si>
  <si>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</si>
  <si>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</si>
  <si>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</si>
  <si>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</si>
  <si>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</si>
  <si>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</si>
  <si>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</si>
  <si>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</si>
  <si>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</si>
  <si>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</si>
  <si>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</si>
  <si>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</si>
  <si>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</si>
  <si>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</si>
  <si>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</si>
  <si>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</si>
  <si>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</si>
  <si>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</si>
  <si>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</si>
  <si>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</si>
  <si>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</si>
  <si>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</si>
  <si>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</si>
  <si>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</si>
  <si>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</si>
  <si>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</si>
  <si>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</si>
  <si>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</si>
  <si>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</si>
  <si>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</si>
  <si>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</si>
  <si>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</si>
  <si>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</si>
  <si>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</si>
  <si>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</si>
  <si>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</si>
  <si>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</si>
  <si>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</si>
  <si>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</si>
  <si>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</si>
  <si>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</si>
  <si>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</si>
  <si>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</si>
  <si>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</si>
  <si>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</si>
  <si>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</si>
  <si>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</si>
  <si>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</si>
  <si>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</si>
  <si>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</si>
  <si>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</si>
  <si>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</si>
  <si>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</si>
  <si>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</si>
  <si>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</si>
  <si>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</si>
  <si>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</si>
  <si>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</si>
  <si>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</si>
  <si>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</si>
  <si>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</si>
  <si>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</si>
  <si>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</si>
  <si>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</si>
  <si>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</si>
  <si>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</si>
  <si>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</si>
  <si>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</si>
  <si>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</si>
  <si>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</si>
  <si>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</si>
  <si>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</si>
  <si>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</si>
  <si>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</si>
  <si>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</si>
  <si>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</si>
  <si>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</si>
  <si>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</si>
  <si>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</si>
  <si>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</si>
  <si>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</si>
  <si>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</si>
  <si>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</si>
  <si>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</si>
  <si>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</si>
  <si>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</si>
  <si>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</si>
  <si>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</si>
  <si>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</si>
  <si>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</si>
  <si>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</si>
  <si>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</si>
  <si>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</si>
  <si>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</si>
  <si>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</si>
  <si>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</si>
  <si>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</si>
  <si>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</si>
  <si>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</si>
  <si>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</si>
  <si>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</si>
  <si>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</si>
  <si>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</si>
  <si>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</si>
  <si>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</si>
  <si>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</si>
  <si>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</si>
  <si>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</si>
  <si>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</si>
  <si>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</si>
  <si>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</si>
  <si>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</si>
  <si>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</si>
  <si>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</si>
  <si>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</si>
  <si>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</si>
  <si>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</si>
  <si>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</si>
  <si>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</si>
  <si>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</si>
  <si>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</si>
  <si>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</si>
  <si>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</si>
  <si>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</si>
  <si>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</si>
  <si>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</si>
  <si>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</si>
  <si>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</si>
  <si>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</si>
  <si>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</si>
  <si>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</si>
  <si>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</si>
  <si>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</si>
  <si>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</si>
  <si>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</si>
  <si>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</si>
  <si>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</si>
  <si>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</si>
  <si>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</si>
  <si>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</si>
  <si>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</si>
  <si>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</si>
  <si>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</si>
  <si>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</si>
  <si>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</si>
  <si>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</si>
  <si>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</si>
  <si>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</si>
  <si>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</si>
  <si>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</si>
  <si>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</si>
  <si>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</si>
  <si>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</si>
  <si>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</si>
  <si>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</si>
  <si>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</si>
  <si>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</si>
  <si>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</si>
  <si>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</si>
  <si>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</si>
  <si>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</si>
  <si>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</si>
  <si>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</si>
  <si>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</si>
  <si>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</si>
  <si>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</si>
  <si>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</si>
  <si>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</si>
  <si>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</si>
  <si>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</si>
  <si>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</si>
  <si>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</si>
  <si>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</si>
  <si>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</si>
  <si>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</si>
  <si>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</si>
  <si>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</si>
  <si>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</si>
  <si>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</si>
  <si>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</si>
  <si>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</si>
  <si>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</si>
  <si>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</si>
  <si>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</si>
  <si>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</si>
  <si>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</si>
  <si>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</si>
  <si>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</si>
  <si>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</si>
  <si>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</si>
  <si>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</si>
  <si>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</si>
  <si>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</si>
  <si>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</si>
  <si>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</si>
  <si>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</si>
  <si>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</si>
  <si>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</si>
  <si>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</si>
  <si>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</si>
  <si>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</si>
  <si>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</si>
  <si>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</si>
  <si>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</si>
  <si>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</si>
  <si>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</si>
  <si>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</si>
  <si>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</si>
  <si>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</si>
  <si>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</si>
  <si>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</si>
  <si>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</si>
  <si>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</si>
  <si>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</si>
  <si>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</si>
  <si>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</si>
  <si>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</si>
  <si>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</si>
  <si>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</si>
  <si>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</si>
  <si>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</si>
  <si>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</si>
  <si>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</si>
  <si>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</si>
  <si>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</si>
  <si>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</si>
  <si>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</si>
  <si>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</si>
  <si>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</si>
  <si>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</si>
  <si>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</si>
  <si>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</si>
  <si>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</si>
  <si>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</si>
  <si>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</si>
  <si>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</si>
  <si>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</si>
  <si>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</si>
  <si>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</si>
  <si>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</si>
  <si>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</si>
  <si>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</si>
  <si>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</si>
  <si>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</si>
  <si>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</si>
  <si>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</si>
  <si>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</si>
  <si>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</si>
  <si>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</si>
  <si>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</si>
  <si>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</si>
  <si>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</si>
  <si>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</si>
  <si>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</si>
  <si>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</si>
  <si>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</si>
  <si>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</si>
  <si>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</si>
  <si>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</si>
  <si>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</si>
  <si>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</si>
  <si>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</si>
  <si>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</si>
  <si>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</si>
  <si>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</si>
  <si>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</si>
  <si>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</si>
  <si>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</si>
  <si>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</si>
  <si>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</si>
  <si>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</si>
  <si>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</si>
  <si>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</si>
  <si>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</si>
  <si>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</si>
  <si>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</si>
  <si>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</si>
  <si>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</si>
  <si>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</si>
  <si>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</si>
  <si>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</si>
  <si>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</si>
  <si>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</si>
  <si>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</si>
  <si>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</si>
  <si>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</si>
  <si>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</si>
  <si>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</si>
  <si>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</si>
  <si>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</si>
  <si>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</si>
  <si>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</si>
  <si>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</si>
  <si>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</si>
  <si>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</si>
  <si>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</si>
  <si>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</si>
  <si>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</si>
  <si>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</si>
  <si>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</si>
  <si>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</si>
  <si>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</si>
  <si>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</si>
  <si>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</si>
  <si>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</si>
  <si>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</si>
  <si>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</si>
  <si>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</si>
  <si>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</si>
  <si>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</si>
  <si>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</si>
  <si>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</si>
  <si>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</si>
  <si>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</si>
  <si>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</si>
  <si>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</si>
  <si>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</si>
  <si>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</si>
  <si>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</si>
  <si>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</si>
  <si>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</si>
  <si>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</si>
  <si>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</si>
  <si>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</si>
  <si>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</si>
  <si>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</si>
  <si>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</si>
  <si>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</si>
  <si>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</si>
  <si>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</si>
  <si>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</si>
  <si>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</si>
  <si>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</si>
  <si>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</si>
  <si>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</si>
  <si>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</si>
  <si>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</si>
  <si>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</si>
  <si>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</si>
  <si>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</si>
  <si>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</si>
  <si>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</si>
  <si>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</si>
  <si>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</si>
  <si>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</si>
  <si>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</si>
  <si>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</si>
  <si>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</si>
  <si>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</si>
  <si>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</si>
  <si>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</si>
  <si>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</si>
  <si>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</si>
  <si>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</si>
  <si>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</si>
  <si>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</si>
  <si>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</si>
  <si>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</si>
  <si>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</si>
  <si>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</si>
  <si>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</si>
  <si>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</si>
  <si>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</si>
  <si>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</si>
  <si>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</si>
  <si>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</si>
  <si>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</si>
  <si>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</si>
  <si>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</si>
  <si>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</si>
  <si>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</si>
  <si>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</si>
  <si>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</si>
  <si>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</si>
  <si>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</si>
  <si>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</si>
  <si>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</si>
  <si>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</si>
  <si>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</si>
  <si>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</si>
  <si>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</si>
  <si>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</si>
  <si>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</si>
  <si>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</si>
  <si>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</si>
  <si>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</si>
  <si>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</si>
  <si>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</si>
  <si>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</si>
  <si>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</si>
  <si>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</si>
  <si>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</si>
  <si>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</si>
  <si>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</si>
  <si>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</si>
  <si>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</si>
  <si>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</si>
  <si>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</si>
  <si>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</si>
  <si>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</si>
  <si>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</si>
  <si>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</si>
  <si>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</si>
  <si>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</si>
  <si>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</si>
  <si>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</si>
  <si>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</si>
  <si>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</si>
  <si>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</si>
  <si>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</si>
  <si>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</si>
  <si>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</si>
  <si>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</si>
  <si>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</si>
  <si>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</si>
  <si>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</si>
  <si>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</si>
  <si>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</si>
  <si>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</si>
  <si>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</si>
  <si>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</si>
  <si>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</si>
  <si>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</si>
  <si>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</si>
  <si>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</si>
  <si>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</si>
  <si>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</si>
  <si>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</si>
  <si>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</si>
  <si>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</si>
  <si>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</si>
  <si>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</si>
  <si>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</si>
  <si>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</si>
  <si>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</si>
  <si>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</si>
  <si>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</si>
  <si>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</si>
  <si>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</si>
  <si>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</si>
  <si>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</si>
  <si>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</si>
  <si>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</si>
  <si>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</si>
  <si>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</si>
  <si>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</si>
  <si>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</si>
  <si>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</si>
  <si>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</si>
  <si>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</si>
  <si>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</si>
  <si>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</si>
  <si>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</si>
  <si>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</si>
  <si>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</si>
  <si>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</si>
  <si>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</si>
  <si>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</si>
  <si>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</si>
  <si>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</si>
  <si>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</si>
  <si>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</si>
  <si>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</si>
  <si>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</si>
  <si>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</si>
  <si>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</si>
  <si>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</si>
  <si>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</si>
  <si>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</si>
  <si>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</si>
  <si>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</si>
  <si>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</si>
  <si>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</si>
  <si>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</si>
  <si>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</si>
  <si>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</si>
  <si>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</si>
  <si>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</si>
  <si>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</si>
  <si>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</si>
  <si>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</si>
  <si>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</si>
  <si>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</si>
  <si>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</si>
  <si>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</si>
  <si>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</si>
  <si>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</si>
  <si>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</si>
  <si>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</si>
  <si>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</si>
  <si>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</si>
  <si>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</si>
  <si>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</si>
  <si>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</si>
  <si>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</si>
  <si>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</si>
  <si>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</si>
  <si>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</si>
  <si>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</si>
  <si>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</si>
  <si>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</si>
  <si>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</si>
  <si>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</si>
  <si>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</si>
  <si>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</si>
  <si>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</si>
  <si>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</si>
  <si>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</si>
  <si>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</si>
  <si>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</si>
  <si>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</si>
  <si>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</si>
  <si>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</si>
  <si>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</si>
  <si>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</si>
  <si>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</si>
  <si>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</si>
  <si>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</si>
  <si>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</si>
  <si>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</si>
  <si>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</si>
  <si>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</si>
  <si>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</si>
  <si>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</si>
  <si>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</si>
  <si>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</si>
  <si>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</si>
  <si>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</si>
  <si>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</si>
  <si>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</si>
  <si>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</si>
  <si>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</si>
  <si>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</si>
  <si>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</si>
  <si>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</si>
  <si>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</si>
  <si>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</si>
  <si>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</si>
  <si>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</si>
  <si>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</si>
  <si>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</si>
  <si>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</si>
  <si>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</si>
  <si>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</si>
  <si>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</si>
  <si>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</si>
  <si>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</si>
  <si>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</si>
  <si>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</si>
  <si>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</si>
  <si>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</si>
  <si>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</si>
  <si>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</si>
  <si>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</si>
  <si>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</si>
  <si>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</si>
  <si>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</si>
  <si>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</si>
  <si>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</si>
  <si>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</si>
  <si>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</si>
  <si>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</si>
  <si>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</si>
  <si>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</si>
  <si>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</si>
  <si>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</si>
  <si>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</si>
  <si>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</si>
  <si>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</si>
  <si>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</si>
  <si>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</si>
  <si>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</si>
  <si>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</si>
  <si>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</si>
  <si>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</si>
  <si>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</si>
  <si>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</si>
  <si>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</si>
  <si>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</si>
  <si>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</si>
  <si>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</si>
  <si>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</si>
  <si>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</si>
  <si>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</si>
  <si>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</si>
  <si>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</si>
  <si>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</si>
  <si>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</si>
  <si>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</si>
  <si>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</si>
  <si>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</si>
  <si>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</si>
  <si>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</si>
  <si>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</si>
  <si>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</si>
  <si>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</si>
  <si>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</si>
  <si>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</si>
  <si>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</si>
  <si>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</si>
  <si>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</si>
  <si>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</si>
  <si>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</si>
  <si>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</si>
  <si>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</si>
  <si>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</si>
  <si>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</si>
  <si>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</si>
  <si>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</si>
  <si>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</si>
  <si>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</si>
  <si>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</si>
  <si>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</si>
  <si>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</si>
  <si>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</si>
  <si>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</si>
  <si>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</si>
  <si>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</si>
  <si>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</si>
  <si>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</si>
  <si>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</si>
  <si>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</si>
  <si>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</si>
  <si>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</si>
  <si>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</si>
  <si>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</si>
  <si>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</si>
  <si>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</si>
  <si>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</si>
  <si>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</si>
  <si>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</si>
  <si>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</si>
  <si>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</si>
  <si>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</si>
  <si>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</si>
  <si>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</si>
  <si>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</si>
  <si>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</si>
  <si>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</si>
  <si>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</si>
  <si>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</si>
  <si>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</si>
  <si>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</si>
  <si>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</si>
  <si>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</si>
  <si>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</si>
  <si>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</si>
  <si>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</si>
  <si>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</si>
  <si>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</si>
  <si>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</si>
  <si>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</si>
  <si>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</si>
  <si>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</si>
  <si>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</si>
  <si>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</si>
  <si>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</si>
  <si>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</si>
  <si>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</si>
  <si>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</si>
  <si>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</si>
  <si>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</si>
  <si>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</si>
  <si>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</si>
  <si>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</si>
  <si>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</si>
  <si>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</si>
  <si>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</si>
  <si>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</si>
  <si>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</si>
  <si>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</si>
  <si>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</si>
  <si>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</si>
  <si>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</si>
  <si>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</si>
  <si>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</si>
  <si>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</si>
  <si>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</si>
  <si>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</si>
  <si>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</si>
  <si>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</si>
  <si>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</si>
  <si>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</si>
  <si>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</si>
  <si>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</si>
  <si>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</si>
  <si>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</si>
  <si>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</si>
  <si>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</si>
  <si>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</si>
  <si>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</si>
  <si>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</si>
  <si>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</si>
  <si>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</si>
  <si>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</si>
  <si>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</si>
  <si>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</si>
  <si>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</si>
  <si>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</si>
  <si>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</si>
  <si>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</si>
  <si>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</si>
  <si>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</si>
  <si>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</si>
  <si>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</si>
  <si>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</si>
  <si>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</si>
  <si>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</si>
  <si>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</si>
  <si>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</si>
  <si>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</si>
  <si>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</si>
  <si>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</si>
  <si>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</si>
  <si>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</si>
  <si>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</si>
  <si>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</si>
  <si>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</si>
  <si>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</si>
  <si>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</si>
  <si>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</si>
  <si>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</si>
  <si>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</si>
  <si>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</si>
  <si>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</si>
  <si>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</si>
  <si>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</si>
  <si>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</si>
  <si>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</si>
  <si>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</si>
  <si>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</si>
  <si>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</si>
  <si>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</si>
  <si>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</si>
  <si>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</si>
  <si>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</si>
  <si>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</si>
  <si>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</si>
  <si>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</si>
  <si>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</si>
  <si>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</si>
  <si>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</si>
  <si>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</si>
  <si>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</si>
  <si>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</si>
  <si>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</si>
  <si>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</si>
  <si>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</si>
  <si>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</si>
  <si>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</si>
  <si>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</si>
  <si>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</si>
  <si>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</si>
  <si>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</si>
  <si>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</si>
  <si>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</si>
  <si>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</si>
  <si>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</si>
  <si>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</si>
  <si>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</si>
  <si>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</si>
  <si>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</si>
  <si>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</si>
  <si>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</si>
  <si>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</si>
  <si>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</si>
  <si>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</si>
  <si>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</si>
  <si>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</si>
  <si>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</si>
  <si>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</si>
  <si>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</si>
  <si>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</si>
  <si>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</si>
  <si>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</si>
  <si>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</si>
  <si>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</si>
  <si>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</si>
  <si>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</si>
  <si>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</si>
  <si>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</si>
  <si>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</si>
  <si>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</si>
  <si>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</si>
  <si>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</si>
  <si>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</si>
  <si>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</si>
  <si>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</si>
  <si>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</si>
  <si>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</si>
  <si>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</si>
  <si>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</si>
  <si>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</si>
  <si>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</si>
  <si>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</si>
  <si>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</si>
  <si>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</si>
  <si>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</si>
  <si>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</si>
  <si>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</si>
  <si>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</si>
  <si>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</si>
  <si>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</si>
  <si>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</si>
  <si>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</si>
  <si>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</si>
  <si>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</si>
  <si>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</si>
  <si>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</si>
  <si>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</si>
  <si>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</si>
  <si>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</si>
  <si>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</si>
  <si>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</si>
  <si>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</si>
  <si>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</si>
  <si>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</si>
  <si>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</si>
  <si>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</si>
  <si>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</si>
  <si>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</si>
  <si>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</si>
  <si>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</si>
  <si>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</si>
  <si>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</si>
  <si>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</si>
  <si>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</si>
  <si>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</si>
  <si>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</si>
  <si>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</si>
  <si>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</si>
  <si>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</si>
  <si>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</si>
  <si>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</si>
  <si>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</si>
  <si>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</si>
  <si>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</si>
  <si>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</si>
  <si>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</si>
  <si>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</si>
  <si>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</si>
  <si>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</si>
  <si>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</si>
  <si>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</si>
  <si>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</si>
  <si>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</si>
  <si>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</si>
  <si>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</si>
  <si>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</si>
  <si>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</si>
  <si>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</si>
  <si>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</si>
  <si>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</si>
  <si>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</si>
  <si>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</si>
  <si>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</si>
  <si>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</si>
  <si>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</si>
  <si>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</si>
  <si>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</si>
  <si>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</si>
  <si>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</si>
  <si>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</si>
  <si>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</si>
  <si>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</si>
  <si>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</si>
  <si>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</si>
  <si>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</si>
  <si>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</si>
  <si>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</si>
  <si>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</si>
  <si>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</si>
  <si>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</si>
  <si>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</si>
  <si>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</si>
  <si>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</si>
  <si>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</si>
  <si>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</si>
  <si>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</si>
  <si>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</si>
  <si>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</si>
  <si>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</si>
  <si>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</si>
  <si>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</si>
  <si>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</si>
  <si>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</si>
  <si>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</si>
  <si>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</si>
  <si>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</si>
  <si>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</si>
  <si>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</si>
  <si>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</si>
  <si>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</si>
  <si>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</si>
  <si>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</si>
  <si>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</si>
  <si>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</si>
  <si>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</si>
  <si>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</si>
  <si>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</si>
  <si>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</si>
  <si>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</si>
  <si>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</si>
  <si>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</si>
  <si>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</si>
  <si>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</si>
  <si>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</si>
  <si>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</si>
  <si>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</si>
  <si>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</si>
  <si>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</si>
  <si>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</si>
  <si>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</si>
  <si>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</si>
  <si>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</si>
  <si>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</si>
  <si>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</si>
  <si>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</si>
  <si>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</si>
  <si>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</si>
  <si>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</si>
  <si>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</si>
  <si>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</si>
  <si>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</si>
  <si>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</si>
  <si>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</si>
  <si>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</si>
  <si>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</si>
  <si>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</si>
  <si>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</si>
  <si>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</si>
  <si>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</si>
  <si>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</si>
  <si>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</si>
  <si>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</si>
  <si>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</si>
  <si>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</si>
  <si>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</si>
  <si>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</si>
  <si>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</si>
  <si>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</si>
  <si>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</si>
  <si>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</si>
  <si>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</si>
  <si>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</si>
  <si>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</si>
  <si>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</si>
  <si>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</si>
  <si>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</si>
  <si>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</si>
  <si>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</si>
  <si>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</si>
  <si>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</si>
  <si>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</si>
  <si>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</si>
  <si>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</si>
  <si>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</si>
  <si>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</si>
  <si>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</si>
  <si>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</si>
  <si>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</si>
  <si>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</si>
  <si>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</si>
  <si>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</si>
  <si>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</si>
  <si>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</si>
  <si>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</si>
  <si>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</si>
  <si>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</si>
  <si>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</si>
  <si>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</si>
  <si>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</si>
  <si>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</si>
  <si>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</si>
  <si>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</si>
  <si>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</si>
  <si>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</si>
  <si>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</si>
  <si>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</si>
  <si>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</si>
  <si>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</si>
  <si>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</si>
  <si>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</si>
  <si>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</si>
  <si>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</si>
  <si>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</si>
  <si>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</si>
  <si>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</si>
  <si>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</si>
  <si>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</si>
  <si>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</si>
  <si>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</si>
  <si>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</si>
  <si>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</si>
  <si>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</si>
  <si>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</si>
  <si>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</si>
  <si>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</si>
  <si>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</si>
  <si>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</si>
  <si>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</si>
  <si>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</si>
  <si>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</si>
  <si>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</si>
  <si>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</si>
  <si>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</si>
  <si>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</si>
  <si>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</si>
  <si>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</si>
  <si>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</si>
  <si>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</si>
  <si>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</si>
  <si>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</si>
  <si>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</si>
  <si>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</si>
  <si>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</si>
  <si>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</si>
  <si>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</si>
  <si>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</si>
  <si>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</si>
  <si>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</si>
  <si>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</si>
  <si>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</si>
  <si>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</si>
  <si>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</si>
  <si>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</si>
  <si>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</si>
  <si>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</si>
  <si>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</si>
  <si>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</si>
  <si>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</si>
  <si>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</si>
  <si>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</si>
  <si>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</si>
  <si>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</si>
  <si>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</si>
  <si>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</si>
  <si>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</si>
  <si>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</si>
  <si>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</si>
  <si>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</si>
  <si>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</si>
  <si>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</si>
  <si>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</si>
  <si>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</si>
  <si>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</si>
  <si>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</si>
  <si>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</si>
  <si>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</si>
  <si>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</si>
  <si>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</si>
  <si>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</si>
  <si>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</si>
  <si>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</si>
  <si>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</si>
  <si>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</si>
  <si>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</si>
  <si>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</si>
  <si>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</si>
  <si>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</si>
  <si>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</si>
  <si>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</si>
  <si>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</si>
  <si>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</si>
  <si>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</si>
  <si>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</si>
  <si>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</si>
  <si>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</si>
  <si>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</si>
  <si>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</si>
  <si>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</si>
  <si>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</si>
  <si>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</si>
  <si>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</si>
  <si>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</si>
  <si>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</si>
  <si>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</si>
  <si>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</si>
  <si>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</si>
  <si>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</si>
  <si>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</si>
  <si>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</si>
  <si>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</si>
  <si>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</si>
  <si>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</si>
  <si>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</si>
  <si>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</si>
  <si>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</si>
  <si>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</si>
  <si>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</si>
  <si>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</si>
  <si>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</si>
  <si>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</si>
  <si>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</si>
  <si>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</si>
  <si>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</si>
  <si>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</si>
  <si>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</si>
  <si>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</si>
  <si>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</si>
  <si>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</si>
  <si>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</si>
  <si>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</si>
  <si>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</si>
  <si>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</si>
  <si>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</si>
  <si>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</si>
  <si>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</si>
  <si>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</si>
  <si>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</si>
  <si>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</si>
  <si>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</si>
  <si>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</si>
  <si>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</si>
  <si>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</si>
  <si>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</si>
  <si>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</si>
  <si>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</si>
  <si>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</si>
  <si>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</si>
  <si>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</si>
  <si>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</si>
  <si>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</si>
  <si>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</si>
  <si>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</si>
  <si>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</si>
  <si>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</si>
  <si>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</si>
  <si>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</si>
  <si>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</si>
  <si>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</si>
  <si>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</si>
  <si>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</si>
  <si>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</si>
  <si>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</si>
  <si>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</si>
  <si>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</si>
  <si>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</si>
  <si>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</si>
  <si>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</si>
  <si>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</si>
  <si>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</si>
  <si>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</si>
  <si>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</si>
  <si>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</si>
  <si>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</si>
  <si>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</si>
  <si>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</si>
  <si>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</si>
  <si>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</si>
  <si>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</si>
  <si>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</si>
  <si>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</si>
  <si>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</si>
  <si>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</si>
  <si>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</si>
  <si>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</si>
  <si>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</si>
  <si>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</si>
  <si>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</si>
  <si>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</si>
  <si>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</si>
  <si>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</si>
  <si>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</si>
  <si>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</si>
  <si>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</si>
  <si>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</si>
  <si>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</si>
  <si>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</si>
  <si>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</si>
  <si>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</si>
  <si>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</si>
  <si>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</si>
  <si>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</si>
  <si>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</si>
  <si>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</si>
  <si>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</si>
  <si>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</si>
  <si>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</si>
  <si>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</si>
  <si>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</si>
  <si>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</si>
  <si>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</si>
  <si>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</si>
  <si>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</si>
  <si>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</si>
  <si>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</si>
  <si>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</si>
  <si>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</si>
  <si>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</si>
  <si>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</si>
  <si>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</si>
  <si>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</si>
  <si>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</si>
  <si>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</si>
  <si>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</si>
  <si>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</si>
  <si>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</si>
  <si>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</si>
  <si>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</si>
  <si>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</si>
  <si>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</si>
  <si>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</si>
  <si>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</si>
  <si>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</si>
  <si>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</si>
  <si>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</si>
  <si>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</si>
  <si>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</si>
  <si>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</si>
  <si>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</si>
  <si>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</si>
  <si>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</si>
  <si>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</si>
  <si>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</si>
  <si>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</si>
  <si>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</si>
  <si>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</si>
  <si>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</si>
  <si>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</si>
  <si>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</si>
  <si>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</si>
  <si>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</si>
  <si>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</si>
  <si>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</si>
  <si>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</si>
  <si>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</si>
  <si>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</si>
  <si>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</si>
  <si>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</si>
  <si>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</si>
  <si>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</si>
  <si>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</si>
  <si>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</si>
  <si>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</si>
  <si>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</si>
  <si>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</si>
  <si>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</si>
  <si>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</si>
  <si>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</si>
  <si>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</si>
  <si>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</si>
  <si>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</si>
  <si>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</si>
  <si>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</si>
  <si>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</si>
  <si>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</si>
  <si>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</si>
  <si>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</si>
  <si>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</si>
  <si>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</si>
  <si>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</si>
  <si>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</si>
  <si>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</si>
  <si>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</si>
  <si>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</si>
  <si>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</si>
  <si>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</si>
  <si>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</si>
  <si>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</si>
  <si>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</si>
  <si>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</si>
  <si>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</si>
  <si>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</si>
  <si>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</si>
  <si>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</si>
  <si>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</si>
  <si>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</si>
  <si>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</si>
  <si>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</si>
  <si>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</si>
  <si>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</si>
  <si>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</si>
  <si>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</si>
  <si>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</si>
  <si>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</si>
  <si>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</si>
  <si>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</si>
  <si>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</si>
  <si>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</si>
  <si>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</si>
  <si>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</si>
  <si>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</si>
  <si>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</si>
  <si>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</si>
  <si>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</si>
  <si>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</si>
  <si>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</si>
  <si>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</si>
  <si>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</si>
  <si>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</si>
  <si>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</si>
  <si>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</si>
  <si>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</si>
  <si>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</si>
  <si>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</si>
  <si>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</si>
  <si>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</si>
  <si>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</si>
  <si>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</si>
  <si>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</si>
  <si>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</si>
  <si>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</si>
  <si>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</si>
  <si>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</si>
  <si>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</si>
  <si>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</si>
  <si>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</si>
  <si>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</si>
  <si>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</si>
  <si>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</si>
  <si>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</si>
  <si>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</si>
  <si>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</si>
  <si>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</si>
  <si>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</si>
  <si>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</si>
  <si>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</si>
  <si>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</si>
  <si>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</si>
  <si>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</si>
  <si>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</si>
  <si>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</si>
  <si>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</si>
  <si>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</si>
  <si>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</si>
  <si>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</si>
  <si>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</si>
  <si>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</si>
  <si>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</si>
  <si>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</si>
  <si>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</si>
  <si>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</si>
  <si>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</si>
  <si>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</si>
  <si>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</si>
  <si>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</si>
  <si>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</si>
  <si>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</si>
  <si>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</si>
  <si>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</si>
  <si>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</si>
  <si>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</si>
  <si>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</si>
  <si>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</si>
  <si>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</si>
  <si>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</si>
  <si>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</si>
  <si>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</si>
  <si>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</si>
  <si>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</si>
  <si>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</si>
  <si>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</si>
  <si>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</si>
  <si>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</si>
  <si>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</si>
  <si>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</si>
  <si>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</si>
  <si>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</si>
  <si>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</si>
  <si>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</si>
  <si>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</si>
  <si>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</si>
  <si>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</si>
  <si>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</si>
  <si>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</si>
  <si>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</si>
  <si>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</si>
  <si>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</si>
  <si>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</si>
  <si>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</si>
  <si>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</si>
  <si>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</si>
  <si>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</si>
  <si>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</si>
  <si>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</si>
  <si>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</si>
  <si>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</si>
  <si>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</si>
  <si>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</si>
  <si>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</si>
  <si>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</si>
  <si>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</si>
  <si>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</si>
  <si>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</si>
  <si>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</si>
  <si>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</si>
  <si>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</si>
  <si>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</si>
  <si>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</si>
  <si>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</si>
  <si>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</si>
  <si>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</si>
  <si>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</si>
  <si>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</si>
  <si>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</si>
  <si>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</si>
  <si>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</si>
  <si>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</si>
  <si>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</si>
  <si>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</si>
  <si>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</si>
  <si>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</si>
  <si>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</si>
  <si>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</si>
  <si>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</si>
  <si>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</si>
  <si>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</si>
  <si>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</si>
  <si>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</si>
  <si>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</si>
  <si>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</si>
  <si>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</si>
  <si>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</si>
  <si>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</si>
  <si>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</si>
  <si>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</si>
  <si>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</si>
  <si>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</si>
  <si>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</si>
  <si>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</si>
  <si>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</si>
  <si>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</si>
  <si>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</si>
  <si>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</si>
  <si>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</si>
  <si>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</si>
  <si>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</si>
  <si>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</si>
  <si>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</si>
  <si>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</si>
  <si>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</si>
  <si>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</si>
  <si>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</si>
  <si>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</si>
  <si>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</si>
  <si>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</si>
  <si>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</si>
  <si>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</si>
  <si>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</si>
  <si>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</si>
  <si>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</si>
  <si>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</si>
  <si>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</si>
  <si>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</si>
  <si>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</si>
  <si>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</si>
  <si>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</si>
  <si>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</si>
  <si>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</si>
  <si>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</si>
  <si>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</si>
  <si>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</si>
  <si>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</si>
  <si>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</si>
  <si>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</si>
  <si>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</si>
  <si>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</si>
  <si>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</si>
  <si>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</si>
  <si>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</si>
  <si>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</si>
  <si>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</si>
  <si>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</si>
  <si>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</si>
  <si>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</si>
  <si>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</si>
  <si>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</si>
  <si>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</si>
  <si>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</si>
  <si>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</si>
  <si>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</si>
  <si>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</si>
  <si>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</si>
  <si>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</si>
  <si>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</si>
  <si>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</si>
  <si>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</si>
  <si>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</si>
  <si>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</si>
  <si>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</si>
  <si>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</si>
  <si>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</si>
  <si>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</si>
  <si>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</si>
  <si>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</si>
  <si>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</si>
  <si>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</si>
  <si>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</si>
  <si>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</si>
  <si>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</si>
  <si>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</si>
  <si>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</si>
  <si>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</si>
  <si>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</si>
  <si>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</si>
  <si>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</si>
  <si>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</si>
  <si>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</si>
  <si>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</si>
  <si>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</si>
  <si>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</si>
  <si>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</si>
  <si>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</si>
  <si>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</si>
  <si>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</si>
  <si>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</si>
  <si>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</si>
  <si>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</si>
  <si>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</si>
  <si>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</si>
  <si>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</si>
  <si>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</si>
  <si>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</si>
  <si>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</si>
  <si>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</si>
  <si>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</si>
  <si>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</si>
  <si>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</si>
  <si>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</si>
  <si>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</si>
  <si>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</si>
  <si>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</si>
  <si>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</si>
  <si>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</si>
  <si>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</si>
  <si>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</si>
  <si>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</si>
  <si>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</si>
  <si>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</si>
  <si>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</si>
  <si>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</si>
  <si>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</si>
  <si>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</si>
  <si>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</si>
  <si>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</si>
  <si>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</si>
  <si>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</si>
  <si>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</si>
  <si>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</si>
  <si>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</si>
  <si>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</si>
  <si>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</si>
  <si>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</si>
  <si>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</si>
  <si>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</si>
  <si>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</si>
  <si>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</si>
  <si>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</si>
  <si>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</si>
  <si>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</si>
  <si>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</si>
  <si>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</si>
  <si>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</si>
  <si>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</si>
  <si>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</si>
  <si>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</si>
  <si>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</si>
  <si>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</si>
  <si>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</si>
  <si>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</si>
  <si>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</si>
  <si>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</si>
  <si>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</si>
  <si>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</si>
  <si>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</si>
  <si>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</si>
  <si>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</si>
  <si>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</si>
  <si>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</si>
  <si>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</si>
  <si>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</si>
  <si>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</si>
  <si>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</si>
  <si>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</si>
  <si>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</si>
  <si>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</si>
  <si>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</si>
  <si>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</si>
  <si>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</si>
  <si>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</si>
  <si>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</si>
  <si>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</si>
  <si>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</si>
  <si>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</si>
  <si>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</si>
  <si>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</si>
  <si>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</si>
  <si>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</si>
  <si>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</si>
  <si>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</si>
  <si>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</si>
  <si>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</si>
  <si>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</si>
  <si>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</si>
  <si>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</si>
  <si>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</si>
  <si>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</si>
  <si>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</si>
  <si>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</si>
  <si>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</si>
  <si>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</si>
  <si>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</si>
  <si>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</si>
  <si>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</si>
  <si>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</si>
  <si>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</si>
  <si>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</si>
  <si>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</si>
  <si>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</si>
  <si>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</si>
  <si>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</si>
  <si>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</si>
  <si>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</si>
  <si>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</si>
  <si>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</si>
  <si>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</si>
  <si>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</si>
  <si>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</si>
  <si>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</si>
  <si>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</si>
  <si>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</si>
  <si>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</si>
  <si>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</si>
  <si>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</si>
  <si>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</si>
  <si>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</si>
  <si>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</si>
  <si>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</si>
  <si>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</si>
  <si>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</si>
  <si>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</si>
  <si>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</si>
  <si>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</si>
  <si>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</si>
  <si>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</si>
  <si>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</si>
  <si>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</si>
  <si>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</si>
  <si>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</si>
  <si>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</si>
  <si>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</si>
  <si>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</si>
  <si>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</si>
  <si>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</si>
  <si>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</si>
  <si>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</si>
  <si>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</si>
  <si>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</si>
  <si>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</si>
  <si>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</si>
  <si>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</si>
  <si>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</si>
  <si>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</si>
  <si>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</si>
  <si>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</si>
  <si>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</si>
  <si>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</si>
  <si>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</si>
  <si>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</si>
  <si>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</si>
  <si>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</si>
  <si>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</si>
  <si>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</si>
  <si>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</si>
  <si>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</si>
  <si>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</si>
  <si>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</si>
  <si>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</si>
  <si>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</si>
  <si>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</si>
  <si>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</si>
  <si>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</si>
  <si>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</si>
  <si>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</si>
  <si>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</si>
  <si>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</si>
  <si>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</si>
  <si>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</si>
  <si>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</si>
  <si>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</si>
  <si>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</si>
  <si>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</si>
  <si>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</si>
  <si>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</si>
  <si>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</si>
  <si>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</si>
  <si>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</si>
  <si>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</si>
  <si>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</si>
  <si>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</si>
  <si>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</si>
  <si>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</si>
  <si>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</si>
  <si>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</si>
  <si>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</si>
  <si>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</si>
  <si>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</si>
  <si>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</si>
  <si>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</si>
  <si>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</si>
  <si>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</si>
  <si>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</si>
  <si>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</si>
  <si>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</si>
  <si>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8/2004</t>
  </si>
  <si>
    <t>8/2024</t>
  </si>
  <si>
    <t>7/2020</t>
  </si>
  <si>
    <t>8/2028</t>
  </si>
  <si>
    <t>7/2022</t>
  </si>
  <si>
    <t>8/2036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</si>
</sst>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61"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1105</v>
      </c>
      <c r="B2">
        <f>INDEX('School Tables'!$AH$3:$AH$213,MATCH('DOE25'!A2,'School Tables'!$AJ$3:$AJ$213,0))</f>
        <v>260</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2923015.4+500+500+4264.15</f>
        <v>2928279.55</v>
      </c>
      <c r="G9" s="18">
        <f>274+10763.87+20246.98</f>
        <v>31284.85</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f>32748.59</f>
        <v>32748.59</v>
      </c>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f>236667.75+40695.62</f>
        <v>277363.37</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f>111154.88+14670.18</f>
        <v>125825.06</v>
      </c>
      <c r="G13" s="18">
        <v>11962.58</v>
      </c>
      <c r="H13" s="18">
        <v>285.33999999999997</v>
      </c>
      <c r="I13" s="18"/>
      <c r="J13" s="13">
        <f>SUM(I443)</f>
        <v>466540.54</v>
      </c>
      <c r="K13" s="23" t="s">
        <v>288</v>
      </c>
      <c r="L13" s="23" t="s">
        <v>288</v>
      </c>
      <c r="M13" s="8"/>
      <c r="N13" s="164"/>
    </row>
    <row r="14" spans="1:14" s="3" customFormat="1" ht="12.2" customHeight="1" x14ac:dyDescent="0.15">
      <c r="A14" s="1" t="s">
        <v>565</v>
      </c>
      <c r="B14" s="2" t="s">
        <v>289</v>
      </c>
      <c r="C14" s="6">
        <v>6</v>
      </c>
      <c r="D14" s="2" t="s">
        <v>428</v>
      </c>
      <c r="E14" s="6">
        <v>150</v>
      </c>
      <c r="F14" s="18">
        <f>240.04+6254.25-6004.25</f>
        <v>490.03999999999996</v>
      </c>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8482.7199999999993</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f>74195.3+8620.64+144766.79</f>
        <v>227582.73</v>
      </c>
      <c r="G17" s="18"/>
      <c r="H17" s="18">
        <f>6000</f>
        <v>6000</v>
      </c>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3282177.38</v>
      </c>
      <c r="G19" s="38">
        <f>SUM(G9:G18)</f>
        <v>51730.15</v>
      </c>
      <c r="H19" s="38">
        <f>SUM(H9:H18)</f>
        <v>316397.30000000005</v>
      </c>
      <c r="I19" s="38">
        <f>SUM(I9:I18)</f>
        <v>0</v>
      </c>
      <c r="J19" s="38">
        <f>SUM(J9:J18)</f>
        <v>466540.54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719772.06</f>
        <v>719772.06</v>
      </c>
      <c r="G22" s="18">
        <v>-477912.28</v>
      </c>
      <c r="H22" s="18">
        <f>-55036.36</f>
        <v>-55036.36</v>
      </c>
      <c r="I22" s="18"/>
      <c r="J22" s="13">
        <f>SUM(I449)</f>
        <v>-5</v>
      </c>
      <c r="K22" s="23" t="s">
        <v>288</v>
      </c>
      <c r="L22" s="23" t="s">
        <v>288</v>
      </c>
      <c r="M22" s="8"/>
      <c r="N22" s="164"/>
    </row>
    <row r="23" spans="1:14" s="3" customFormat="1" ht="12.2" customHeight="1" x14ac:dyDescent="0.15">
      <c r="A23" s="1" t="s">
        <v>607</v>
      </c>
      <c r="B23" s="2" t="s">
        <v>289</v>
      </c>
      <c r="C23" s="6">
        <v>13</v>
      </c>
      <c r="D23" s="2" t="s">
        <v>429</v>
      </c>
      <c r="E23" s="6">
        <v>410</v>
      </c>
      <c r="F23" s="18">
        <f>141861.36</f>
        <v>141861.35999999999</v>
      </c>
      <c r="G23" s="18"/>
      <c r="H23" s="18">
        <f>3000+90544.95</f>
        <v>93544.95</v>
      </c>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121357.17</f>
        <v>121357.17</v>
      </c>
      <c r="G24" s="18">
        <v>1020</v>
      </c>
      <c r="H24" s="18">
        <f>3322.8+613.36</f>
        <v>3936.1600000000003</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77798.45</f>
        <v>77798.45</v>
      </c>
      <c r="G28" s="18">
        <v>5168.9399999999996</v>
      </c>
      <c r="H28" s="18">
        <f>240+384.93</f>
        <v>624.93000000000006</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6288.69+7048.63+8714.39-6.31</f>
        <v>22045.399999999998</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31342.720000000001</v>
      </c>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1082834.44</v>
      </c>
      <c r="G32" s="38">
        <f>SUM(G22:G31)</f>
        <v>-440380.62</v>
      </c>
      <c r="H32" s="38">
        <f>SUM(H22:H31)</f>
        <v>43069.68</v>
      </c>
      <c r="I32" s="38">
        <f>SUM(I22:I31)</f>
        <v>0</v>
      </c>
      <c r="J32" s="38">
        <f>SUM(J22:J31)</f>
        <v>-5</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8482.7199999999993</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227582.73</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v>483628.05</v>
      </c>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425000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v>428456.46</v>
      </c>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460000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273327.62</v>
      </c>
      <c r="I48" s="18"/>
      <c r="J48" s="13">
        <f>SUM(I460)</f>
        <v>466545.54</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f>722743.43+395560.32-460000</f>
        <v>658303.75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2199342.94</v>
      </c>
      <c r="G51" s="38">
        <f>SUM(G35:G50)</f>
        <v>492110.76999999996</v>
      </c>
      <c r="H51" s="38">
        <f>SUM(H35:H50)</f>
        <v>273327.62</v>
      </c>
      <c r="I51" s="38">
        <f>SUM(I35:I50)</f>
        <v>0</v>
      </c>
      <c r="J51" s="38">
        <f>SUM(J35:J50)</f>
        <v>466545.54</v>
      </c>
      <c r="K51" s="42" t="s">
        <v>288</v>
      </c>
      <c r="L51" s="42" t="s">
        <v>288</v>
      </c>
      <c r="N51" s="130"/>
    </row>
    <row r="52" spans="1:14" s="3" customFormat="1" ht="12.2" customHeight="1" thickTop="1" x14ac:dyDescent="0.15">
      <c r="A52" s="35" t="s">
        <v>455</v>
      </c>
      <c r="B52" s="36" t="s">
        <v>289</v>
      </c>
      <c r="C52" s="6">
        <v>37</v>
      </c>
      <c r="D52" s="36" t="s">
        <v>653</v>
      </c>
      <c r="E52" s="36"/>
      <c r="F52" s="38">
        <f>F51+F32</f>
        <v>3282177.38</v>
      </c>
      <c r="G52" s="38">
        <f>G51+G32</f>
        <v>51730.149999999965</v>
      </c>
      <c r="H52" s="38">
        <f>H51+H32</f>
        <v>316397.3</v>
      </c>
      <c r="I52" s="38">
        <f>I51+I32</f>
        <v>0</v>
      </c>
      <c r="J52" s="38">
        <f>J51+J32</f>
        <v>466540.54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9050812.56+11666310.24</f>
        <v>20717122.800000001</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20717122.800000001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f>34592.71</f>
        <v>34592.71</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34592.71</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f>84854.1</f>
        <v>84854.1</v>
      </c>
      <c r="G96" s="18"/>
      <c r="H96" s="18"/>
      <c r="I96" s="18"/>
      <c r="J96" s="18">
        <v>34628.29</v>
      </c>
      <c r="K96" s="23" t="s">
        <v>288</v>
      </c>
      <c r="L96" s="23" t="s">
        <v>288</v>
      </c>
      <c r="M96" s="8"/>
      <c r="N96" s="164"/>
    </row>
    <row r="97" spans="1:14" s="3" customFormat="1" ht="12.2" customHeight="1" x14ac:dyDescent="0.15">
      <c r="A97" s="1" t="s">
        <v>503</v>
      </c>
      <c r="B97" s="2" t="s">
        <v>315</v>
      </c>
      <c r="C97" s="6">
        <v>12</v>
      </c>
      <c r="D97" s="2" t="s">
        <v>430</v>
      </c>
      <c r="E97" s="6">
        <v>1600</v>
      </c>
      <c r="F97" s="23" t="s">
        <v>288</v>
      </c>
      <c r="G97" s="18">
        <f>179294.39+292286.5+15184.54+42075.98+3608.96+4789.58</f>
        <v>537239.94999999995</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v>84937.18</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v>146049.46</v>
      </c>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24678.17+337.25</f>
        <v>25015.42</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109869.52</v>
      </c>
      <c r="G111" s="38">
        <f>SUM(G96:G110)</f>
        <v>537239.94999999995</v>
      </c>
      <c r="H111" s="38">
        <f>SUM(H96:H110)</f>
        <v>230986.63999999998</v>
      </c>
      <c r="I111" s="38">
        <f>SUM(I96:I110)</f>
        <v>0</v>
      </c>
      <c r="J111" s="38">
        <f>SUM(J96:J110)</f>
        <v>34628.29</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20861585.030000001</v>
      </c>
      <c r="G112" s="38">
        <f>G60+G111</f>
        <v>537239.94999999995</v>
      </c>
      <c r="H112" s="38">
        <f>H60+H79+H94+H111</f>
        <v>230986.63999999998</v>
      </c>
      <c r="I112" s="38">
        <f>I60+I111</f>
        <v>0</v>
      </c>
      <c r="J112" s="38">
        <f>J60+J111</f>
        <v>34628.29</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3394723.2</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1973551.2</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1889.22+6143.33</f>
        <v>8032.55</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5376306.9500000002</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231361.95</v>
      </c>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311030.18</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9126.4</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5683.37</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f>3265.85+7291.4</f>
        <v>10557.25</v>
      </c>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551518.53</v>
      </c>
      <c r="G136" s="38">
        <f>SUM(G123:G135)</f>
        <v>16240.619999999999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5927825.4800000004</v>
      </c>
      <c r="G140" s="38">
        <f>G121+SUM(G136:G137)</f>
        <v>16240.619999999999</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v>35625.480000000003</v>
      </c>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35625.480000000003</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9220+17029.21+12198.46+3259.33+11000</f>
        <v>52707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28821.81+34280.72</f>
        <v>63102.53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28681.5+258366.55</f>
        <v>287048.05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4234.45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1190+30714.91</f>
        <v>31904.91</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4234.45</v>
      </c>
      <c r="G163" s="38">
        <f>SUM(G150:G162)</f>
        <v>63102.53</v>
      </c>
      <c r="H163" s="38">
        <f>SUM(H150:H162)</f>
        <v>371659.95999999996</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4234.45</v>
      </c>
      <c r="G170" s="38">
        <f>G147+G163+SUM(G164:G169)</f>
        <v>98728.010000000009</v>
      </c>
      <c r="H170" s="38">
        <f>H147+H163+SUM(H164:H169)</f>
        <v>371659.95999999996</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325000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325000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v>7192.4</v>
      </c>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7192.4</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7192.4</v>
      </c>
      <c r="G193" s="38">
        <f>G184+SUM(G189:G192)</f>
        <v>0</v>
      </c>
      <c r="H193" s="38">
        <f>+H184+SUM(H189:H192)</f>
        <v>0</v>
      </c>
      <c r="I193" s="38">
        <f>I178+I184+SUM(I189:I192)</f>
        <v>0</v>
      </c>
      <c r="J193" s="38">
        <f>J184</f>
        <v>325000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26800837.359999999</v>
      </c>
      <c r="G194" s="38">
        <f>G112+G140+G170+G193</f>
        <v>652208.57999999996</v>
      </c>
      <c r="H194" s="38">
        <f>H112+H140+H170+H193</f>
        <v>602646.6</v>
      </c>
      <c r="I194" s="38">
        <f>I112+I140+I170+I193</f>
        <v>0</v>
      </c>
      <c r="J194" s="38">
        <f>J112+J140+J193</f>
        <v>359628.29</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c r="I198" s="18"/>
      <c r="J198" s="18"/>
      <c r="K198" s="18"/>
      <c r="L198" s="13">
        <f>SUM(F198:K198)</f>
        <v>0</v>
      </c>
      <c r="M198" s="8"/>
      <c r="N198" s="164"/>
    </row>
    <row r="199" spans="1:14" s="3" customFormat="1" ht="12.2" customHeight="1" x14ac:dyDescent="0.15">
      <c r="A199" s="1" t="s">
        <v>439</v>
      </c>
      <c r="B199" s="2" t="s">
        <v>341</v>
      </c>
      <c r="C199" s="2" t="s">
        <v>291</v>
      </c>
      <c r="D199" s="2" t="s">
        <v>431</v>
      </c>
      <c r="E199" s="6">
        <v>1200</v>
      </c>
      <c r="F199" s="18"/>
      <c r="G199" s="18"/>
      <c r="H199" s="18"/>
      <c r="I199" s="18"/>
      <c r="J199" s="18"/>
      <c r="K199" s="18"/>
      <c r="L199" s="13">
        <f>SUM(F199:K199)</f>
        <v>0</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c r="I203" s="18"/>
      <c r="J203" s="18"/>
      <c r="K203" s="18"/>
      <c r="L203" s="13">
        <f t="shared" ref="L203:L209" si="0">SUM(F203:K203)</f>
        <v>0</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c r="G205" s="18"/>
      <c r="H205" s="18"/>
      <c r="I205" s="18"/>
      <c r="J205" s="18"/>
      <c r="K205" s="18"/>
      <c r="L205" s="13">
        <f t="shared" si="0"/>
        <v>0</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c r="I209" s="18"/>
      <c r="J209" s="18"/>
      <c r="K209" s="18"/>
      <c r="L209" s="13">
        <f t="shared" si="0"/>
        <v>0</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0</v>
      </c>
      <c r="G212" s="38">
        <f t="shared" si="1"/>
        <v>0</v>
      </c>
      <c r="H212" s="38">
        <f t="shared" si="1"/>
        <v>0</v>
      </c>
      <c r="I212" s="38">
        <f t="shared" si="1"/>
        <v>0</v>
      </c>
      <c r="J212" s="38">
        <f t="shared" si="1"/>
        <v>0</v>
      </c>
      <c r="K212" s="38">
        <f t="shared" si="1"/>
        <v>0</v>
      </c>
      <c r="L212" s="38">
        <f t="shared" si="1"/>
        <v>0</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f>2218714.53+4074.7+596.4</f>
        <v>2223385.63</v>
      </c>
      <c r="G216" s="18">
        <v>1071976.98</v>
      </c>
      <c r="H216" s="18">
        <f>5570.58+1650+2059.2</f>
        <v>9279.7799999999988</v>
      </c>
      <c r="I216" s="18">
        <f>100646.46+1055.27+1893.94+734.96+293.12+1312+1602.37+1036.8</f>
        <v>108574.92000000001</v>
      </c>
      <c r="J216" s="18">
        <f>13859.61+640</f>
        <v>14499.61</v>
      </c>
      <c r="K216" s="18">
        <v>273.5</v>
      </c>
      <c r="L216" s="13">
        <f>SUM(F216:K216)</f>
        <v>3427990.4199999995</v>
      </c>
      <c r="M216" s="8"/>
      <c r="N216" s="164"/>
    </row>
    <row r="217" spans="1:14" s="3" customFormat="1" ht="12.2" customHeight="1" x14ac:dyDescent="0.15">
      <c r="A217" s="1" t="s">
        <v>439</v>
      </c>
      <c r="B217" s="2" t="s">
        <v>346</v>
      </c>
      <c r="C217" s="2" t="s">
        <v>291</v>
      </c>
      <c r="D217" s="2" t="s">
        <v>431</v>
      </c>
      <c r="E217" s="6">
        <v>1200</v>
      </c>
      <c r="F217" s="18">
        <f>593898.56+18711.36+1612.58+1007.06+3775.58+15581.38+21214.4</f>
        <v>655800.92000000004</v>
      </c>
      <c r="G217" s="18">
        <v>316186.03999999998</v>
      </c>
      <c r="H217" s="18">
        <f>252790.92+7847.47+1583.37</f>
        <v>262221.76</v>
      </c>
      <c r="I217" s="18">
        <f>10381.3+8078.34+12.54</f>
        <v>18472.18</v>
      </c>
      <c r="J217" s="18">
        <v>3734.64</v>
      </c>
      <c r="K217" s="18">
        <v>888</v>
      </c>
      <c r="L217" s="13">
        <f>SUM(F217:K217)</f>
        <v>1257303.5399999998</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f>81965+50778.88</f>
        <v>132743.88</v>
      </c>
      <c r="G219" s="18">
        <v>64000.77</v>
      </c>
      <c r="H219" s="18">
        <f>5828+1040</f>
        <v>6868</v>
      </c>
      <c r="I219" s="18">
        <f>5850+33.42</f>
        <v>5883.42</v>
      </c>
      <c r="J219" s="18">
        <f>1915+2802.12</f>
        <v>4717.12</v>
      </c>
      <c r="K219" s="18">
        <v>2232.88</v>
      </c>
      <c r="L219" s="13">
        <f>SUM(F219:K219)</f>
        <v>216446.07</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f>224000.94+10347.4+101.22+4911.03</f>
        <v>239360.59</v>
      </c>
      <c r="G221" s="18">
        <v>115404.65</v>
      </c>
      <c r="H221" s="18">
        <f>111556.93+25486.6+6843.2+229.37+1444.78</f>
        <v>145560.88</v>
      </c>
      <c r="I221" s="18">
        <f>8377.54+160+1164+192+48</f>
        <v>9941.5400000000009</v>
      </c>
      <c r="J221" s="18">
        <v>610.98</v>
      </c>
      <c r="K221" s="18">
        <v>0</v>
      </c>
      <c r="L221" s="13">
        <f t="shared" ref="L221:L227" si="2">SUM(F221:K221)</f>
        <v>510878.63999999996</v>
      </c>
      <c r="M221" s="8"/>
      <c r="N221" s="164"/>
    </row>
    <row r="222" spans="1:14" s="3" customFormat="1" ht="12.2" customHeight="1" x14ac:dyDescent="0.15">
      <c r="A222" s="1" t="s">
        <v>443</v>
      </c>
      <c r="B222" s="2" t="s">
        <v>346</v>
      </c>
      <c r="C222" s="2" t="s">
        <v>295</v>
      </c>
      <c r="D222" s="2" t="s">
        <v>431</v>
      </c>
      <c r="E222" s="6">
        <v>2200</v>
      </c>
      <c r="F222" s="18">
        <f>102648+592-88+38.4+554.67+2507.49+14457.6</f>
        <v>120710.16</v>
      </c>
      <c r="G222" s="18">
        <v>58198.86</v>
      </c>
      <c r="H222" s="18">
        <f>5073.13+192+192+34</f>
        <v>5491.13</v>
      </c>
      <c r="I222" s="18">
        <f>7833.64+574.23+20.05+6144.73+535.36+130.46</f>
        <v>15238.47</v>
      </c>
      <c r="J222" s="18">
        <v>158241.89000000001</v>
      </c>
      <c r="K222" s="18">
        <v>0</v>
      </c>
      <c r="L222" s="13">
        <f t="shared" si="2"/>
        <v>357880.51</v>
      </c>
      <c r="M222" s="8"/>
      <c r="N222" s="164"/>
    </row>
    <row r="223" spans="1:14" s="3" customFormat="1" ht="12.2" customHeight="1" x14ac:dyDescent="0.15">
      <c r="A223" s="1" t="s">
        <v>444</v>
      </c>
      <c r="B223" s="2" t="s">
        <v>346</v>
      </c>
      <c r="C223" s="2" t="s">
        <v>296</v>
      </c>
      <c r="D223" s="2" t="s">
        <v>431</v>
      </c>
      <c r="E223" s="6">
        <v>2300</v>
      </c>
      <c r="F223" s="18">
        <f>1056+413.34</f>
        <v>1469.34</v>
      </c>
      <c r="G223" s="18">
        <v>708.42</v>
      </c>
      <c r="H223" s="18">
        <f>382.76+4160.67+1850.92+856.44+4294.4+4032+6813.59+365063.04</f>
        <v>387453.81999999995</v>
      </c>
      <c r="I223" s="18">
        <f>116.14</f>
        <v>116.14</v>
      </c>
      <c r="J223" s="18">
        <v>60.16</v>
      </c>
      <c r="K223" s="18">
        <v>1587.88</v>
      </c>
      <c r="L223" s="13">
        <f t="shared" si="2"/>
        <v>391395.75999999995</v>
      </c>
      <c r="M223" s="8"/>
      <c r="N223" s="164"/>
    </row>
    <row r="224" spans="1:14" s="3" customFormat="1" ht="12.2" customHeight="1" x14ac:dyDescent="0.15">
      <c r="A224" s="1" t="s">
        <v>445</v>
      </c>
      <c r="B224" s="2" t="s">
        <v>346</v>
      </c>
      <c r="C224" s="2" t="s">
        <v>297</v>
      </c>
      <c r="D224" s="2" t="s">
        <v>431</v>
      </c>
      <c r="E224" s="6">
        <v>2400</v>
      </c>
      <c r="F224" s="18">
        <f>312587.62+320</f>
        <v>312907.62</v>
      </c>
      <c r="G224" s="18">
        <v>150864.41</v>
      </c>
      <c r="H224" s="18">
        <f>18013.75+800.01+154.56+6038.08+2977.75+10230.52</f>
        <v>38214.67</v>
      </c>
      <c r="I224" s="18">
        <f>1333.08+255.92+57553.82+7713.44+3202.1</f>
        <v>70058.36</v>
      </c>
      <c r="J224" s="18">
        <v>0</v>
      </c>
      <c r="K224" s="18">
        <f>810+36.27</f>
        <v>846.27</v>
      </c>
      <c r="L224" s="13">
        <f t="shared" si="2"/>
        <v>572891.33000000007</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1921.36</v>
      </c>
      <c r="L225" s="13">
        <f t="shared" si="2"/>
        <v>1921.36</v>
      </c>
      <c r="M225" s="8"/>
      <c r="N225" s="164"/>
    </row>
    <row r="226" spans="1:14" s="3" customFormat="1" ht="12.2" customHeight="1" x14ac:dyDescent="0.15">
      <c r="A226" s="1" t="s">
        <v>447</v>
      </c>
      <c r="B226" s="2" t="s">
        <v>346</v>
      </c>
      <c r="C226" s="2" t="s">
        <v>299</v>
      </c>
      <c r="D226" s="2" t="s">
        <v>431</v>
      </c>
      <c r="E226" s="6">
        <v>2600</v>
      </c>
      <c r="F226" s="18">
        <f>237580.39+10153.52+2099.2</f>
        <v>249833.11000000002</v>
      </c>
      <c r="G226" s="18">
        <v>120453.84</v>
      </c>
      <c r="H226" s="18">
        <f>103639.53+25181.76+192+96</f>
        <v>129109.29</v>
      </c>
      <c r="I226" s="18">
        <f>178174.96+418.9</f>
        <v>178593.86</v>
      </c>
      <c r="J226" s="18">
        <v>9345.52</v>
      </c>
      <c r="K226" s="18">
        <f>4563.94+19938.47+1328.18</f>
        <v>25830.59</v>
      </c>
      <c r="L226" s="13">
        <f t="shared" si="2"/>
        <v>713166.21</v>
      </c>
      <c r="M226" s="8"/>
      <c r="N226" s="164"/>
    </row>
    <row r="227" spans="1:14" s="3" customFormat="1" ht="12.2" customHeight="1" x14ac:dyDescent="0.15">
      <c r="A227" s="1" t="s">
        <v>448</v>
      </c>
      <c r="B227" s="2" t="s">
        <v>346</v>
      </c>
      <c r="C227" s="2" t="s">
        <v>300</v>
      </c>
      <c r="D227" s="2" t="s">
        <v>431</v>
      </c>
      <c r="E227" s="6">
        <v>2700</v>
      </c>
      <c r="F227" s="18">
        <v>0</v>
      </c>
      <c r="G227" s="18">
        <v>0</v>
      </c>
      <c r="H227" s="18">
        <f>512561.38+98+738.37+43.2+31.93+14.4</f>
        <v>513487.28</v>
      </c>
      <c r="I227" s="18">
        <f>37343.18+407.65</f>
        <v>37750.83</v>
      </c>
      <c r="J227" s="18">
        <v>0</v>
      </c>
      <c r="K227" s="18">
        <v>0</v>
      </c>
      <c r="L227" s="13">
        <f t="shared" si="2"/>
        <v>551238.11</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3936211.2499999995</v>
      </c>
      <c r="G230" s="38">
        <f>SUM(G216:G229)</f>
        <v>1897793.97</v>
      </c>
      <c r="H230" s="38">
        <f>SUM(H216:H229)</f>
        <v>1497686.61</v>
      </c>
      <c r="I230" s="38">
        <f>SUM(I216:I229)</f>
        <v>444629.72000000003</v>
      </c>
      <c r="J230" s="38">
        <f>SUM(J216:J229)</f>
        <v>191209.92</v>
      </c>
      <c r="K230" s="38">
        <f t="shared" si="3"/>
        <v>33580.480000000003</v>
      </c>
      <c r="L230" s="38">
        <f t="shared" si="3"/>
        <v>8001111.9499999993</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f>4060094.51+8658.74+1267.34</f>
        <v>4070020.59</v>
      </c>
      <c r="G234" s="18">
        <v>2047230.17</v>
      </c>
      <c r="H234" s="18">
        <f>16200.48+4375.8+15209.03</f>
        <v>35785.31</v>
      </c>
      <c r="I234" s="18">
        <f>141421.91+2242.45+4024.61+1561.79+622.88+2788+3405.04+2203.2</f>
        <v>158269.88000000003</v>
      </c>
      <c r="J234" s="18">
        <f>20367.03+1360</f>
        <v>21727.03</v>
      </c>
      <c r="K234" s="18">
        <v>4148</v>
      </c>
      <c r="L234" s="13">
        <f>SUM(F234:K234)</f>
        <v>6337180.9799999995</v>
      </c>
      <c r="M234" s="8"/>
      <c r="N234" s="164"/>
    </row>
    <row r="235" spans="1:14" s="3" customFormat="1" ht="12.2" customHeight="1" x14ac:dyDescent="0.15">
      <c r="A235" s="1" t="s">
        <v>439</v>
      </c>
      <c r="B235" s="2" t="s">
        <v>350</v>
      </c>
      <c r="C235" s="2" t="s">
        <v>291</v>
      </c>
      <c r="D235" s="2" t="s">
        <v>431</v>
      </c>
      <c r="E235" s="6">
        <v>1200</v>
      </c>
      <c r="F235" s="18">
        <f>1186010.12+39761.64+3426.72+2140+8023.1+33110.44+45080.6</f>
        <v>1317552.6200000001</v>
      </c>
      <c r="G235" s="18">
        <v>662732.15</v>
      </c>
      <c r="H235" s="18">
        <f>1285337.53+16675.87+3364.65</f>
        <v>1305378.05</v>
      </c>
      <c r="I235" s="18">
        <f>17718.28+17166.47+26.65</f>
        <v>34911.4</v>
      </c>
      <c r="J235" s="18">
        <v>3301.77</v>
      </c>
      <c r="K235" s="18">
        <v>630</v>
      </c>
      <c r="L235" s="13">
        <f>SUM(F235:K235)</f>
        <v>3324505.99</v>
      </c>
      <c r="M235" s="8"/>
      <c r="N235" s="164"/>
    </row>
    <row r="236" spans="1:14" s="3" customFormat="1" ht="12.2" customHeight="1" x14ac:dyDescent="0.15">
      <c r="A236" s="1" t="s">
        <v>440</v>
      </c>
      <c r="B236" s="2" t="s">
        <v>350</v>
      </c>
      <c r="C236" s="2" t="s">
        <v>292</v>
      </c>
      <c r="D236" s="2" t="s">
        <v>431</v>
      </c>
      <c r="E236" s="6">
        <v>1300</v>
      </c>
      <c r="F236" s="18">
        <v>0</v>
      </c>
      <c r="G236" s="18">
        <v>0</v>
      </c>
      <c r="H236" s="18">
        <v>64780.18</v>
      </c>
      <c r="I236" s="18">
        <v>0</v>
      </c>
      <c r="J236" s="18">
        <v>0</v>
      </c>
      <c r="K236" s="18">
        <v>0</v>
      </c>
      <c r="L236" s="13">
        <f>SUM(F236:K236)</f>
        <v>64780.18</v>
      </c>
      <c r="M236" s="8"/>
      <c r="N236" s="164"/>
    </row>
    <row r="237" spans="1:14" s="3" customFormat="1" ht="12.2" customHeight="1" x14ac:dyDescent="0.15">
      <c r="A237" s="1" t="s">
        <v>441</v>
      </c>
      <c r="B237" s="2" t="s">
        <v>350</v>
      </c>
      <c r="C237" s="2" t="s">
        <v>293</v>
      </c>
      <c r="D237" s="2" t="s">
        <v>431</v>
      </c>
      <c r="E237" s="6">
        <v>1400</v>
      </c>
      <c r="F237" s="18">
        <f>340634.25+107905.12</f>
        <v>448539.37</v>
      </c>
      <c r="G237" s="18">
        <v>225616.38</v>
      </c>
      <c r="H237" s="18">
        <f>83484.86+2210-2470.2</f>
        <v>83224.66</v>
      </c>
      <c r="I237" s="18">
        <f>45363.34+71.03</f>
        <v>45434.369999999995</v>
      </c>
      <c r="J237" s="18">
        <f>6509.51+5954.5</f>
        <v>12464.01</v>
      </c>
      <c r="K237" s="18">
        <v>22609.5</v>
      </c>
      <c r="L237" s="13">
        <f>SUM(F237:K237)</f>
        <v>837888.29</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f>969474.6+21988.21+215.08+10435.94</f>
        <v>1002113.8299999998</v>
      </c>
      <c r="G239" s="18">
        <v>504065.67</v>
      </c>
      <c r="H239" s="18">
        <f>226923.9+54159.02+14541.8+487.4+3070.17</f>
        <v>299182.28999999998</v>
      </c>
      <c r="I239" s="18">
        <f>14376.02+340+2473.5+407.99+102</f>
        <v>17699.510000000002</v>
      </c>
      <c r="J239" s="18">
        <v>139.97999999999999</v>
      </c>
      <c r="K239" s="18">
        <v>400</v>
      </c>
      <c r="L239" s="13">
        <f t="shared" ref="L239:L245" si="4">SUM(F239:K239)</f>
        <v>1823601.2799999998</v>
      </c>
      <c r="M239" s="8"/>
      <c r="N239" s="164"/>
    </row>
    <row r="240" spans="1:14" s="3" customFormat="1" ht="12.2" customHeight="1" x14ac:dyDescent="0.15">
      <c r="A240" s="1" t="s">
        <v>443</v>
      </c>
      <c r="B240" s="2" t="s">
        <v>350</v>
      </c>
      <c r="C240" s="2" t="s">
        <v>295</v>
      </c>
      <c r="D240" s="2" t="s">
        <v>431</v>
      </c>
      <c r="E240" s="6">
        <v>2200</v>
      </c>
      <c r="F240" s="18">
        <f>234778.26+1258-187+81.6+1178.66+5328.43+30722.4</f>
        <v>273160.35000000003</v>
      </c>
      <c r="G240" s="18">
        <v>137400.31</v>
      </c>
      <c r="H240" s="18">
        <f>1804.9+408+408+72.26</f>
        <v>2693.1600000000003</v>
      </c>
      <c r="I240" s="18">
        <f>15786.94+1220.25+42.61+13057.54+1137.64+277.22</f>
        <v>31522.200000000004</v>
      </c>
      <c r="J240" s="18">
        <v>123206.72</v>
      </c>
      <c r="K240" s="18">
        <v>0</v>
      </c>
      <c r="L240" s="13">
        <f t="shared" si="4"/>
        <v>567982.74</v>
      </c>
      <c r="M240" s="8"/>
      <c r="N240" s="164"/>
    </row>
    <row r="241" spans="1:14" s="3" customFormat="1" ht="12.2" customHeight="1" x14ac:dyDescent="0.15">
      <c r="A241" s="1" t="s">
        <v>444</v>
      </c>
      <c r="B241" s="2" t="s">
        <v>350</v>
      </c>
      <c r="C241" s="2" t="s">
        <v>296</v>
      </c>
      <c r="D241" s="2" t="s">
        <v>431</v>
      </c>
      <c r="E241" s="6">
        <v>2300</v>
      </c>
      <c r="F241" s="18">
        <f>2244+878.34</f>
        <v>3122.34</v>
      </c>
      <c r="G241" s="18">
        <v>1570.54</v>
      </c>
      <c r="H241" s="18">
        <f>813.36+8841.42+3933.19+1819.94+9125.6+8568+14478.89+775758.96</f>
        <v>823339.36</v>
      </c>
      <c r="I241" s="18">
        <f>246.79</f>
        <v>246.79</v>
      </c>
      <c r="J241" s="18">
        <v>127.84</v>
      </c>
      <c r="K241" s="18">
        <v>3374.24</v>
      </c>
      <c r="L241" s="13">
        <f t="shared" si="4"/>
        <v>831781.11</v>
      </c>
      <c r="M241" s="8"/>
      <c r="N241" s="164"/>
    </row>
    <row r="242" spans="1:14" s="3" customFormat="1" ht="12.2" customHeight="1" x14ac:dyDescent="0.15">
      <c r="A242" s="1" t="s">
        <v>445</v>
      </c>
      <c r="B242" s="2" t="s">
        <v>350</v>
      </c>
      <c r="C242" s="2" t="s">
        <v>297</v>
      </c>
      <c r="D242" s="2" t="s">
        <v>431</v>
      </c>
      <c r="E242" s="6">
        <v>2400</v>
      </c>
      <c r="F242" s="18">
        <f>476963.08+680</f>
        <v>477643.08</v>
      </c>
      <c r="G242" s="18">
        <v>240255.62</v>
      </c>
      <c r="H242" s="18">
        <f>25166.88+1700.03+328.44+12830.92+6327.73+21739.86</f>
        <v>68093.86</v>
      </c>
      <c r="I242" s="18">
        <f>4833.94+543.82+122301.87+16391.06+6804.45</f>
        <v>150875.14000000001</v>
      </c>
      <c r="J242" s="18">
        <v>0</v>
      </c>
      <c r="K242" s="18">
        <f>20352.34+77.07</f>
        <v>20429.41</v>
      </c>
      <c r="L242" s="13">
        <f t="shared" si="4"/>
        <v>957297.11</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4082.89</v>
      </c>
      <c r="L243" s="13">
        <f t="shared" si="4"/>
        <v>4082.89</v>
      </c>
      <c r="M243" s="8"/>
      <c r="N243" s="164"/>
    </row>
    <row r="244" spans="1:14" s="3" customFormat="1" ht="12.2" customHeight="1" x14ac:dyDescent="0.15">
      <c r="A244" s="1" t="s">
        <v>447</v>
      </c>
      <c r="B244" s="2" t="s">
        <v>350</v>
      </c>
      <c r="C244" s="2" t="s">
        <v>299</v>
      </c>
      <c r="D244" s="2" t="s">
        <v>431</v>
      </c>
      <c r="E244" s="6">
        <v>2600</v>
      </c>
      <c r="F244" s="18">
        <f>369644.91+21576.24+4460.8</f>
        <v>395681.94999999995</v>
      </c>
      <c r="G244" s="18">
        <v>199028.98</v>
      </c>
      <c r="H244" s="18">
        <f>196088.32+53511.24+408+204</f>
        <v>250211.56</v>
      </c>
      <c r="I244" s="18">
        <f>264733.47+890.16</f>
        <v>265623.62999999995</v>
      </c>
      <c r="J244" s="18">
        <v>3093.9</v>
      </c>
      <c r="K244" s="18">
        <f>9698.36+178363.64+27875.28</f>
        <v>215937.28</v>
      </c>
      <c r="L244" s="13">
        <f t="shared" si="4"/>
        <v>1329577.2999999998</v>
      </c>
      <c r="M244" s="8"/>
      <c r="N244" s="164"/>
    </row>
    <row r="245" spans="1:14" s="3" customFormat="1" ht="12.2" customHeight="1" x14ac:dyDescent="0.15">
      <c r="A245" s="1" t="s">
        <v>448</v>
      </c>
      <c r="B245" s="2" t="s">
        <v>350</v>
      </c>
      <c r="C245" s="2" t="s">
        <v>300</v>
      </c>
      <c r="D245" s="2" t="s">
        <v>431</v>
      </c>
      <c r="E245" s="6">
        <v>2700</v>
      </c>
      <c r="F245" s="18">
        <v>54023.58</v>
      </c>
      <c r="G245" s="18">
        <v>27173.99</v>
      </c>
      <c r="H245" s="18">
        <f>724396.58+208.25+1569.03+91.8+67.85+30.6+2470.2</f>
        <v>728834.30999999994</v>
      </c>
      <c r="I245" s="18">
        <f>37331.26+866.25+4917.88</f>
        <v>43115.39</v>
      </c>
      <c r="J245" s="18">
        <v>0</v>
      </c>
      <c r="K245" s="18">
        <v>0</v>
      </c>
      <c r="L245" s="13">
        <f t="shared" si="4"/>
        <v>853147.2699999999</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8041857.71</v>
      </c>
      <c r="G248" s="38">
        <f t="shared" si="5"/>
        <v>4045073.81</v>
      </c>
      <c r="H248" s="38">
        <f t="shared" si="5"/>
        <v>3661522.7399999998</v>
      </c>
      <c r="I248" s="38">
        <f t="shared" si="5"/>
        <v>747698.30999999994</v>
      </c>
      <c r="J248" s="38">
        <f t="shared" si="5"/>
        <v>164061.25</v>
      </c>
      <c r="K248" s="38">
        <f t="shared" si="5"/>
        <v>271611.32</v>
      </c>
      <c r="L248" s="38">
        <f t="shared" si="5"/>
        <v>16931825.139999997</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144.75</v>
      </c>
      <c r="I256" s="18"/>
      <c r="J256" s="18">
        <f>7766+121275</f>
        <v>129041</v>
      </c>
      <c r="K256" s="18"/>
      <c r="L256" s="13">
        <f t="shared" si="6"/>
        <v>129185.75</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144.75</v>
      </c>
      <c r="I257" s="38">
        <f t="shared" si="7"/>
        <v>0</v>
      </c>
      <c r="J257" s="38">
        <f t="shared" si="7"/>
        <v>129041</v>
      </c>
      <c r="K257" s="38">
        <f t="shared" si="7"/>
        <v>0</v>
      </c>
      <c r="L257" s="38">
        <f>SUM(F257:K257)</f>
        <v>129185.75</v>
      </c>
      <c r="M257" s="8"/>
      <c r="N257" s="164"/>
    </row>
    <row r="258" spans="1:14" s="3" customFormat="1" ht="12.2" customHeight="1" thickTop="1" x14ac:dyDescent="0.15">
      <c r="A258" s="35" t="s">
        <v>462</v>
      </c>
      <c r="B258" s="37">
        <v>10</v>
      </c>
      <c r="C258" s="37">
        <v>8</v>
      </c>
      <c r="D258" s="36" t="s">
        <v>431</v>
      </c>
      <c r="E258" s="37"/>
      <c r="F258" s="38">
        <f t="shared" ref="F258:L258" si="8">F212+F230+F248+F257</f>
        <v>11978068.959999999</v>
      </c>
      <c r="G258" s="38">
        <f t="shared" si="8"/>
        <v>5942867.7800000003</v>
      </c>
      <c r="H258" s="38">
        <f t="shared" si="8"/>
        <v>5159354.0999999996</v>
      </c>
      <c r="I258" s="38">
        <f t="shared" si="8"/>
        <v>1192328.03</v>
      </c>
      <c r="J258" s="38">
        <f t="shared" si="8"/>
        <v>484312.17000000004</v>
      </c>
      <c r="K258" s="38">
        <f t="shared" si="8"/>
        <v>305191.8</v>
      </c>
      <c r="L258" s="38">
        <f t="shared" si="8"/>
        <v>25062122.839999996</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f>731028.1+156358.46</f>
        <v>887386.55999999994</v>
      </c>
      <c r="L261" s="13">
        <f>SUM(F261:K261)</f>
        <v>887386.55999999994</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f>53019.51+77748.13</f>
        <v>130767.64000000001</v>
      </c>
      <c r="L262" s="13">
        <f>SUM(F262:K262)</f>
        <v>130767.64000000001</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f>300000+25000</f>
        <v>325000</v>
      </c>
      <c r="L267" s="13">
        <f t="shared" si="9"/>
        <v>325000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1343154.2</v>
      </c>
      <c r="L271" s="38">
        <f t="shared" si="9"/>
        <v>1343154.2</v>
      </c>
      <c r="M271" s="8"/>
      <c r="N271" s="164"/>
    </row>
    <row r="272" spans="1:14" s="33" customFormat="1" ht="12.2" customHeight="1" thickTop="1" x14ac:dyDescent="0.2">
      <c r="A272" s="40" t="s">
        <v>464</v>
      </c>
      <c r="B272" s="37">
        <v>10</v>
      </c>
      <c r="C272" s="37">
        <v>18</v>
      </c>
      <c r="D272" s="36" t="s">
        <v>431</v>
      </c>
      <c r="E272" s="37"/>
      <c r="F272" s="39">
        <f t="shared" ref="F272:L272" si="11">F258+F271</f>
        <v>11978068.959999999</v>
      </c>
      <c r="G272" s="39">
        <f t="shared" si="11"/>
        <v>5942867.7800000003</v>
      </c>
      <c r="H272" s="39">
        <f t="shared" si="11"/>
        <v>5159354.0999999996</v>
      </c>
      <c r="I272" s="39">
        <f t="shared" si="11"/>
        <v>1192328.03</v>
      </c>
      <c r="J272" s="39">
        <f t="shared" si="11"/>
        <v>484312.17000000004</v>
      </c>
      <c r="K272" s="39">
        <f t="shared" si="11"/>
        <v>1648346</v>
      </c>
      <c r="L272" s="39">
        <f t="shared" si="11"/>
        <v>26405277.039999995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c r="I278" s="18"/>
      <c r="J278" s="18"/>
      <c r="K278" s="18"/>
      <c r="L278" s="13">
        <f>SUM(F278:K278)</f>
        <v>0</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0</v>
      </c>
      <c r="I291" s="39">
        <f t="shared" si="13"/>
        <v>0</v>
      </c>
      <c r="J291" s="39">
        <f t="shared" si="13"/>
        <v>0</v>
      </c>
      <c r="K291" s="39">
        <f t="shared" si="13"/>
        <v>0</v>
      </c>
      <c r="L291" s="38">
        <f t="shared" si="13"/>
        <v>0</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f>1937.41+346.99</f>
        <v>2284.4</v>
      </c>
      <c r="G296" s="18"/>
      <c r="H296" s="18">
        <v>3040</v>
      </c>
      <c r="I296" s="18"/>
      <c r="J296" s="18">
        <f>1210.17</f>
        <v>1210.17</v>
      </c>
      <c r="K296" s="18"/>
      <c r="L296" s="13">
        <f>SUM(F296:K296)</f>
        <v>6534.57</v>
      </c>
      <c r="M296" s="8"/>
      <c r="N296" s="164"/>
    </row>
    <row r="297" spans="1:14" s="3" customFormat="1" ht="12.2" customHeight="1" x14ac:dyDescent="0.15">
      <c r="A297" s="1" t="s">
        <v>439</v>
      </c>
      <c r="B297" s="2" t="s">
        <v>358</v>
      </c>
      <c r="C297" s="2" t="s">
        <v>291</v>
      </c>
      <c r="D297" s="2" t="s">
        <v>431</v>
      </c>
      <c r="E297" s="6">
        <v>1200</v>
      </c>
      <c r="F297" s="18">
        <f>9898.65+55818.65+16000</f>
        <v>81717.3</v>
      </c>
      <c r="G297" s="18"/>
      <c r="H297" s="18"/>
      <c r="I297" s="18"/>
      <c r="J297" s="18"/>
      <c r="K297" s="18"/>
      <c r="L297" s="13">
        <f>SUM(F297:K297)</f>
        <v>81717.3</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f>1169.53+9977.45</f>
        <v>11146.980000000001</v>
      </c>
      <c r="I299" s="18">
        <f>1590.69+54.28+56.94+14373+2371.9+178.32+1024.19+1883.62+7090+478.4</f>
        <v>29101.34</v>
      </c>
      <c r="J299" s="18">
        <v>7424</v>
      </c>
      <c r="K299" s="18"/>
      <c r="L299" s="13">
        <f>SUM(F299:K299)</f>
        <v>47672.32</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f>588.8+1280+613.01</f>
        <v>2481.81</v>
      </c>
      <c r="G301" s="18"/>
      <c r="H301" s="18"/>
      <c r="I301" s="18"/>
      <c r="J301" s="18"/>
      <c r="K301" s="18"/>
      <c r="L301" s="13">
        <f t="shared" ref="L301:L307" si="14">SUM(F301:K301)</f>
        <v>2481.81</v>
      </c>
      <c r="M301" s="8"/>
      <c r="N301" s="164"/>
    </row>
    <row r="302" spans="1:14" s="3" customFormat="1" ht="12.2" customHeight="1" x14ac:dyDescent="0.15">
      <c r="A302" s="1" t="s">
        <v>443</v>
      </c>
      <c r="B302" s="2" t="s">
        <v>358</v>
      </c>
      <c r="C302" s="2" t="s">
        <v>295</v>
      </c>
      <c r="D302" s="2" t="s">
        <v>431</v>
      </c>
      <c r="E302" s="6">
        <v>2200</v>
      </c>
      <c r="F302" s="18">
        <f>2560+480+320+2640</f>
        <v>6000</v>
      </c>
      <c r="G302" s="18"/>
      <c r="H302" s="18">
        <f>1881.6+1289.35+650.49</f>
        <v>3821.4399999999996</v>
      </c>
      <c r="I302" s="18"/>
      <c r="J302" s="18"/>
      <c r="K302" s="18"/>
      <c r="L302" s="13">
        <f t="shared" si="14"/>
        <v>9821.4399999999987</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v>3927.13</v>
      </c>
      <c r="I307" s="18"/>
      <c r="J307" s="18"/>
      <c r="K307" s="18"/>
      <c r="L307" s="13">
        <f t="shared" si="14"/>
        <v>3927.13</v>
      </c>
      <c r="M307" s="8"/>
      <c r="N307" s="164"/>
    </row>
    <row r="308" spans="1:14" s="3" customFormat="1" ht="12.2" customHeight="1" x14ac:dyDescent="0.15">
      <c r="A308" s="1" t="s">
        <v>449</v>
      </c>
      <c r="B308" s="2" t="s">
        <v>358</v>
      </c>
      <c r="C308" s="2" t="s">
        <v>343</v>
      </c>
      <c r="D308" s="2" t="s">
        <v>431</v>
      </c>
      <c r="E308" s="6">
        <v>2800</v>
      </c>
      <c r="F308" s="18"/>
      <c r="G308" s="18"/>
      <c r="H308" s="18"/>
      <c r="I308" s="18">
        <v>271.39999999999998</v>
      </c>
      <c r="J308" s="18"/>
      <c r="K308" s="18"/>
      <c r="L308" s="13">
        <f>SUM(F308:K308)</f>
        <v>271.39999999999998</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92483.51</v>
      </c>
      <c r="G310" s="39">
        <f t="shared" si="15"/>
        <v>0</v>
      </c>
      <c r="H310" s="39">
        <f t="shared" si="15"/>
        <v>21935.550000000003</v>
      </c>
      <c r="I310" s="39">
        <f t="shared" si="15"/>
        <v>29372.74</v>
      </c>
      <c r="J310" s="39">
        <f t="shared" si="15"/>
        <v>8634.17</v>
      </c>
      <c r="K310" s="39">
        <f t="shared" si="15"/>
        <v>0</v>
      </c>
      <c r="L310" s="38">
        <f t="shared" si="15"/>
        <v>152425.97</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f>4117+737.34</f>
        <v>4854.34</v>
      </c>
      <c r="G315" s="18"/>
      <c r="H315" s="18">
        <f>6460+7497.61</f>
        <v>13957.61</v>
      </c>
      <c r="I315" s="18">
        <f>205.1+134.14</f>
        <v>339.24</v>
      </c>
      <c r="J315" s="18"/>
      <c r="K315" s="18"/>
      <c r="L315" s="13">
        <f>SUM(F315:K315)</f>
        <v>19151.190000000002</v>
      </c>
      <c r="M315" s="8"/>
      <c r="N315" s="164"/>
    </row>
    <row r="316" spans="1:14" s="3" customFormat="1" ht="12.2" customHeight="1" x14ac:dyDescent="0.15">
      <c r="A316" s="1" t="s">
        <v>439</v>
      </c>
      <c r="B316" s="2" t="s">
        <v>359</v>
      </c>
      <c r="C316" s="2" t="s">
        <v>291</v>
      </c>
      <c r="D316" s="2" t="s">
        <v>431</v>
      </c>
      <c r="E316" s="6">
        <v>1200</v>
      </c>
      <c r="F316" s="18">
        <f>21034.62+118614.63+34000</f>
        <v>173649.25</v>
      </c>
      <c r="G316" s="18"/>
      <c r="H316" s="18"/>
      <c r="I316" s="18"/>
      <c r="J316" s="18"/>
      <c r="K316" s="18"/>
      <c r="L316" s="13">
        <f>SUM(F316:K316)</f>
        <v>173649.25</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f>350</f>
        <v>350</v>
      </c>
      <c r="G318" s="18"/>
      <c r="H318" s="18">
        <f>875+894.94+21202.09+15000</f>
        <v>37972.03</v>
      </c>
      <c r="I318" s="18">
        <f>1369.46+3061.54+20.47+1111.12+1000+18.36+28377.57+10421.07+29432.25+258.44+3529.87+4134.25+194.8+443.73+636+2316.41+313.29+2047.82+2840+750+1174.1+18212.93+1737.26+3090+2176.41+8320.4+3123+1016.6+11253.26</f>
        <v>142380.41</v>
      </c>
      <c r="J318" s="18">
        <f>15776+1683</f>
        <v>17459</v>
      </c>
      <c r="K318" s="18">
        <f>2516.25</f>
        <v>2516.25</v>
      </c>
      <c r="L318" s="13">
        <f>SUM(F318:K318)</f>
        <v>200677.69</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f>1251.2+2720+1302.66</f>
        <v>5273.86</v>
      </c>
      <c r="G320" s="18"/>
      <c r="H320" s="18"/>
      <c r="I320" s="18">
        <f>558</f>
        <v>558</v>
      </c>
      <c r="J320" s="18"/>
      <c r="K320" s="18"/>
      <c r="L320" s="13">
        <f t="shared" ref="L320:L326" si="16">SUM(F320:K320)</f>
        <v>5831.86</v>
      </c>
      <c r="M320" s="8"/>
      <c r="N320" s="164"/>
    </row>
    <row r="321" spans="1:14" s="3" customFormat="1" ht="12.2" customHeight="1" x14ac:dyDescent="0.15">
      <c r="A321" s="1" t="s">
        <v>443</v>
      </c>
      <c r="B321" s="2" t="s">
        <v>359</v>
      </c>
      <c r="C321" s="2" t="s">
        <v>295</v>
      </c>
      <c r="D321" s="2" t="s">
        <v>431</v>
      </c>
      <c r="E321" s="6">
        <v>2200</v>
      </c>
      <c r="F321" s="18">
        <f>5440+1020+680+5610</f>
        <v>12750</v>
      </c>
      <c r="G321" s="18"/>
      <c r="H321" s="18">
        <f>3998.4+2739.86+1382.3</f>
        <v>8120.56</v>
      </c>
      <c r="I321" s="18"/>
      <c r="J321" s="18"/>
      <c r="K321" s="18"/>
      <c r="L321" s="13">
        <f t="shared" si="16"/>
        <v>20870.560000000001</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196877.44999999998</v>
      </c>
      <c r="G329" s="39">
        <f t="shared" si="17"/>
        <v>0</v>
      </c>
      <c r="H329" s="39">
        <f t="shared" si="17"/>
        <v>60050.2</v>
      </c>
      <c r="I329" s="39">
        <f t="shared" si="17"/>
        <v>143277.65</v>
      </c>
      <c r="J329" s="39">
        <f t="shared" si="17"/>
        <v>17459</v>
      </c>
      <c r="K329" s="39">
        <f t="shared" si="17"/>
        <v>2516.25</v>
      </c>
      <c r="L329" s="38">
        <f t="shared" si="17"/>
        <v>420180.55</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289360.95999999996</v>
      </c>
      <c r="G339" s="38">
        <f t="shared" si="20"/>
        <v>0</v>
      </c>
      <c r="H339" s="38">
        <f t="shared" si="20"/>
        <v>81985.75</v>
      </c>
      <c r="I339" s="38">
        <f t="shared" si="20"/>
        <v>172650.38999999998</v>
      </c>
      <c r="J339" s="38">
        <f t="shared" si="20"/>
        <v>26093.17</v>
      </c>
      <c r="K339" s="38">
        <f t="shared" si="20"/>
        <v>2516.25</v>
      </c>
      <c r="L339" s="38">
        <f t="shared" si="20"/>
        <v>572606.52</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3000</v>
      </c>
      <c r="L345" s="13">
        <f t="shared" ref="L345:L351" si="21">SUM(F345:K345)</f>
        <v>3000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3000</v>
      </c>
      <c r="L352" s="38">
        <f>SUM(L342:L351)</f>
        <v>3000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289360.95999999996</v>
      </c>
      <c r="G353" s="38">
        <f>G339</f>
        <v>0</v>
      </c>
      <c r="H353" s="38">
        <f>H339</f>
        <v>81985.75</v>
      </c>
      <c r="I353" s="38">
        <f>I339</f>
        <v>172650.38999999998</v>
      </c>
      <c r="J353" s="38">
        <f>J339</f>
        <v>26093.17</v>
      </c>
      <c r="K353" s="38">
        <f>K339+K352</f>
        <v>5516.25</v>
      </c>
      <c r="L353" s="38">
        <f>L339+L352</f>
        <v>575606.52</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f>62079.49+5023.23+12782.05+974.29</f>
        <v>80859.06</v>
      </c>
      <c r="G360" s="18">
        <f>8416.01+1258.73+6421.82+5872.54+273.42</f>
        <v>22242.519999999997</v>
      </c>
      <c r="H360" s="18">
        <f>942.5+787.5+27.93+192+10.04+192</f>
        <v>2151.9700000000003</v>
      </c>
      <c r="I360" s="18">
        <f>9201.09+2950.16+53236.28+32596.86+263.2+11400.15+1526.1</f>
        <v>111173.84</v>
      </c>
      <c r="J360" s="18">
        <f>1200</f>
        <v>1200</v>
      </c>
      <c r="K360" s="18">
        <v>115.2</v>
      </c>
      <c r="L360" s="13">
        <f>SUM(F360:K360)</f>
        <v>217742.59</v>
      </c>
      <c r="M360" s="8"/>
      <c r="N360" s="164"/>
    </row>
    <row r="361" spans="1:22" s="3" customFormat="1" ht="12.2" customHeight="1" x14ac:dyDescent="0.15">
      <c r="A361" s="3" t="s">
        <v>543</v>
      </c>
      <c r="B361" s="2" t="s">
        <v>366</v>
      </c>
      <c r="C361" s="6">
        <v>3</v>
      </c>
      <c r="D361" s="2" t="s">
        <v>431</v>
      </c>
      <c r="E361" s="6"/>
      <c r="F361" s="18">
        <f>106355.21+7208.83+27161.85+2070.36</f>
        <v>142796.25</v>
      </c>
      <c r="G361" s="18">
        <f>17884.02+2674.81+13646.37+12479.14+581.02</f>
        <v>47265.36</v>
      </c>
      <c r="H361" s="18">
        <f>1136+2386.58+59.35+408+21.32+408</f>
        <v>4419.25</v>
      </c>
      <c r="I361" s="18">
        <f>15321.98+4222.01+90664.47+57327+559.29+24225.33+3242.95</f>
        <v>195563.03000000003</v>
      </c>
      <c r="J361" s="18">
        <f>212297+2400+9794</f>
        <v>224491</v>
      </c>
      <c r="K361" s="18">
        <v>244.8</v>
      </c>
      <c r="L361" s="13">
        <f>SUM(F361:K361)</f>
        <v>614779.69000000006</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223655.31</v>
      </c>
      <c r="G363" s="38">
        <f t="shared" si="22"/>
        <v>69507.88</v>
      </c>
      <c r="H363" s="38">
        <f t="shared" si="22"/>
        <v>6571.22</v>
      </c>
      <c r="I363" s="38">
        <f t="shared" si="22"/>
        <v>306736.87</v>
      </c>
      <c r="J363" s="38">
        <f t="shared" si="22"/>
        <v>225691</v>
      </c>
      <c r="K363" s="38">
        <f t="shared" si="22"/>
        <v>360</v>
      </c>
      <c r="L363" s="38">
        <f t="shared" si="22"/>
        <v>832522.28</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f>53236.28+32596.86+11400.15</f>
        <v>97233.29</v>
      </c>
      <c r="H368" s="18">
        <f>90664.47+57327+24225.33</f>
        <v>172216.8</v>
      </c>
      <c r="I368" s="13">
        <f>SUM(F368:H368)</f>
        <v>269450.08999999997</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f>9201.09+2950.16+263.2+1526.1</f>
        <v>13940.550000000001</v>
      </c>
      <c r="H369" s="53">
        <f>15321.98+4222.01+559.29+3242.95</f>
        <v>23346.23</v>
      </c>
      <c r="I369" s="13">
        <f>SUM(F369:H369)</f>
        <v>37286.78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111173.84</v>
      </c>
      <c r="H370" s="38">
        <f>SUM(H368:H369)</f>
        <v>195563.03</v>
      </c>
      <c r="I370" s="38">
        <f>SUM(I368:I369)</f>
        <v>306736.87</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v>6499.6</v>
      </c>
      <c r="I381" s="18"/>
      <c r="J381" s="18"/>
      <c r="K381" s="18"/>
      <c r="L381" s="13">
        <f t="shared" si="23"/>
        <v>6499.6</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6499.6</v>
      </c>
      <c r="I383" s="38">
        <f t="shared" si="24"/>
        <v>0</v>
      </c>
      <c r="J383" s="38">
        <f t="shared" si="24"/>
        <v>0</v>
      </c>
      <c r="K383" s="38">
        <f t="shared" si="24"/>
        <v>0</v>
      </c>
      <c r="L383" s="38">
        <f t="shared" si="24"/>
        <v>6499.6</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300000</v>
      </c>
      <c r="H397" s="18"/>
      <c r="I397" s="18"/>
      <c r="J397" s="23" t="s">
        <v>288</v>
      </c>
      <c r="K397" s="23" t="s">
        <v>288</v>
      </c>
      <c r="L397" s="13">
        <f t="shared" si="26"/>
        <v>300000</v>
      </c>
      <c r="M397" s="8"/>
      <c r="N397" s="164"/>
    </row>
    <row r="398" spans="1:14" s="3" customFormat="1" ht="12.2" customHeight="1" x14ac:dyDescent="0.15">
      <c r="A398" s="62" t="s">
        <v>515</v>
      </c>
      <c r="B398" s="2" t="s">
        <v>381</v>
      </c>
      <c r="C398" s="6">
        <v>10</v>
      </c>
      <c r="D398" s="2" t="s">
        <v>432</v>
      </c>
      <c r="E398" s="6"/>
      <c r="F398" s="18"/>
      <c r="G398" s="18">
        <v>25000</v>
      </c>
      <c r="H398" s="18"/>
      <c r="I398" s="18"/>
      <c r="J398" s="23" t="s">
        <v>288</v>
      </c>
      <c r="K398" s="23" t="s">
        <v>288</v>
      </c>
      <c r="L398" s="13">
        <f t="shared" si="26"/>
        <v>25000</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v>34628.29</v>
      </c>
      <c r="I401" s="18"/>
      <c r="J401" s="23" t="s">
        <v>288</v>
      </c>
      <c r="K401" s="23" t="s">
        <v>288</v>
      </c>
      <c r="L401" s="13">
        <f t="shared" si="26"/>
        <v>34628.29</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325000</v>
      </c>
      <c r="H402" s="38">
        <f>SUM(H396:H401)</f>
        <v>34628.29</v>
      </c>
      <c r="I402" s="38">
        <f>SUM(I396:I401)</f>
        <v>0</v>
      </c>
      <c r="J402" s="42" t="s">
        <v>288</v>
      </c>
      <c r="K402" s="42" t="s">
        <v>288</v>
      </c>
      <c r="L402" s="38">
        <f>SUM(L396:L401)</f>
        <v>359628.29</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325000</v>
      </c>
      <c r="H409" s="38">
        <f>H394+H402+H408</f>
        <v>34628.29</v>
      </c>
      <c r="I409" s="38">
        <f>I394+I402+I408</f>
        <v>0</v>
      </c>
      <c r="J409" s="23" t="s">
        <v>288</v>
      </c>
      <c r="K409" s="23" t="s">
        <v>288</v>
      </c>
      <c r="L409" s="38">
        <f>L394+L402+L408</f>
        <v>359628.29</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v>340888.29</v>
      </c>
      <c r="K423" s="18"/>
      <c r="L423" s="13">
        <f t="shared" si="29"/>
        <v>340888.29</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340888.29</v>
      </c>
      <c r="K428" s="38">
        <f t="shared" si="30"/>
        <v>0</v>
      </c>
      <c r="L428" s="38">
        <f t="shared" si="30"/>
        <v>340888.29</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340888.29</v>
      </c>
      <c r="K435" s="38">
        <f t="shared" si="32"/>
        <v>0</v>
      </c>
      <c r="L435" s="38">
        <f t="shared" si="32"/>
        <v>340888.29</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466540.54</v>
      </c>
      <c r="H443" s="18"/>
      <c r="I443" s="13">
        <f t="shared" si="33"/>
        <v>466540.54</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466540.54</v>
      </c>
      <c r="H447" s="13">
        <f>SUM(H440:H446)</f>
        <v>0</v>
      </c>
      <c r="I447" s="13">
        <f>SUM(I440:I446)</f>
        <v>466540.54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v>-5</v>
      </c>
      <c r="H449" s="18"/>
      <c r="I449" s="13">
        <f>SUM(F449:H449)</f>
        <v>-5</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-5</v>
      </c>
      <c r="H453" s="57">
        <f>SUM(H449:H452)</f>
        <v>0</v>
      </c>
      <c r="I453" s="57">
        <f>SUM(I449:I452)</f>
        <v>-5</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466545.54</v>
      </c>
      <c r="H460" s="18"/>
      <c r="I460" s="13">
        <f t="shared" si="34"/>
        <v>466545.54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466545.54</v>
      </c>
      <c r="H461" s="65">
        <f>SUM(H455:H460)</f>
        <v>0</v>
      </c>
      <c r="I461" s="65">
        <f>SUM(I455:I460)</f>
        <v>466545.54</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466540.54</v>
      </c>
      <c r="H462" s="39">
        <f>H453+H461</f>
        <v>0</v>
      </c>
      <c r="I462" s="39">
        <f>I453+I461</f>
        <v>466540.54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1803782.62</v>
      </c>
      <c r="G466" s="18">
        <v>672424.47</v>
      </c>
      <c r="H466" s="18">
        <v>246287.54</v>
      </c>
      <c r="I466" s="18">
        <v>6499.6</v>
      </c>
      <c r="J466" s="18">
        <v>447805.54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26800837.359999999</v>
      </c>
      <c r="G469" s="18">
        <v>652208.57999999996</v>
      </c>
      <c r="H469" s="18">
        <v>602646.6</v>
      </c>
      <c r="I469" s="18">
        <v>0</v>
      </c>
      <c r="J469" s="18">
        <v>359628.29</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26800837.359999999</v>
      </c>
      <c r="G471" s="19">
        <f>SUM(G469:G470)</f>
        <v>652208.57999999996</v>
      </c>
      <c r="H471" s="19">
        <f>SUM(H469:H470)</f>
        <v>602646.6</v>
      </c>
      <c r="I471" s="19">
        <f>SUM(I469:I470)</f>
        <v>0</v>
      </c>
      <c r="J471" s="19">
        <f>SUM(J469:J470)</f>
        <v>359628.29</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f>26390068.01+15209.03</f>
        <v>26405277.040000003</v>
      </c>
      <c r="G473" s="18">
        <v>832522.28</v>
      </c>
      <c r="H473" s="18">
        <v>575606.52</v>
      </c>
      <c r="I473" s="18">
        <v>6499.6</v>
      </c>
      <c r="J473" s="18">
        <v>340888.29</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26405277.040000003</v>
      </c>
      <c r="G475" s="19">
        <f>SUM(G473:G474)</f>
        <v>832522.28</v>
      </c>
      <c r="H475" s="19">
        <f>SUM(H473:H474)</f>
        <v>575606.52</v>
      </c>
      <c r="I475" s="19">
        <f>SUM(I473:I474)</f>
        <v>6499.6</v>
      </c>
      <c r="J475" s="19">
        <f>SUM(J473:J474)</f>
        <v>340888.29</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2199342.9399999976</v>
      </c>
      <c r="G477" s="19">
        <f>(G466+G471)- G475</f>
        <v>492110.76999999979</v>
      </c>
      <c r="H477" s="19">
        <f>(H466+H471)- H475</f>
        <v>273327.62</v>
      </c>
      <c r="I477" s="19">
        <f>(I466+I471)- I475</f>
        <v>0</v>
      </c>
      <c r="J477" s="19">
        <f>(J466+J471)- J475</f>
        <v>466545.54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v>10</v>
      </c>
      <c r="H491" s="111">
        <v>15</v>
      </c>
      <c r="I491" s="111"/>
      <c r="J491" s="111"/>
      <c r="K491" s="23" t="s">
        <v>288</v>
      </c>
      <c r="L491" s="23" t="s">
        <v>288</v>
      </c>
      <c r="N491" s="130"/>
    </row>
    <row r="492" spans="1:14" ht="12.2" customHeight="1" x14ac:dyDescent="0.2">
      <c r="A492" s="21" t="s">
        <v>615</v>
      </c>
      <c r="B492" s="22">
        <v>20</v>
      </c>
      <c r="C492" s="22">
        <v>2</v>
      </c>
      <c r="D492" s="2" t="s">
        <v>432</v>
      </c>
      <c r="E492" s="22"/>
      <c r="F492" s="112" t="s">
        <v>1841</v>
      </c>
      <c r="G492" s="112" t="s">
        <v>1843</v>
      </c>
      <c r="H492" s="112" t="s">
        <v>1845</v>
      </c>
      <c r="I492" s="111"/>
      <c r="J492" s="111"/>
      <c r="K492" s="23" t="s">
        <v>288</v>
      </c>
      <c r="L492" s="23" t="s">
        <v>288</v>
      </c>
      <c r="N492" s="130"/>
    </row>
    <row r="493" spans="1:14" ht="12.2" customHeight="1" x14ac:dyDescent="0.2">
      <c r="A493" s="21" t="s">
        <v>616</v>
      </c>
      <c r="B493" s="22">
        <v>20</v>
      </c>
      <c r="C493" s="22">
        <v>3</v>
      </c>
      <c r="D493" s="2" t="s">
        <v>432</v>
      </c>
      <c r="E493" s="22"/>
      <c r="F493" s="112" t="s">
        <v>1842</v>
      </c>
      <c r="G493" s="112" t="s">
        <v>1844</v>
      </c>
      <c r="H493" s="112" t="s">
        <v>1846</v>
      </c>
      <c r="I493" s="111"/>
      <c r="J493" s="111"/>
      <c r="K493" s="23" t="s">
        <v>288</v>
      </c>
      <c r="L493" s="23" t="s">
        <v>288</v>
      </c>
      <c r="N493" s="130"/>
    </row>
    <row r="494" spans="1:14" ht="12.2" customHeight="1" x14ac:dyDescent="0.2">
      <c r="A494" s="21" t="s">
        <v>617</v>
      </c>
      <c r="B494" s="22">
        <v>20</v>
      </c>
      <c r="C494" s="22">
        <v>4</v>
      </c>
      <c r="D494" s="2" t="s">
        <v>432</v>
      </c>
      <c r="E494" s="22"/>
      <c r="F494" s="18">
        <v>7703400</v>
      </c>
      <c r="G494" s="18">
        <v>1553374.28</v>
      </c>
      <c r="H494" s="18">
        <v>2886491</v>
      </c>
      <c r="I494" s="18"/>
      <c r="J494" s="18"/>
      <c r="K494" s="23" t="s">
        <v>288</v>
      </c>
      <c r="L494" s="23" t="s">
        <v>288</v>
      </c>
      <c r="N494" s="130"/>
    </row>
    <row r="495" spans="1:14" ht="12.2" customHeight="1" x14ac:dyDescent="0.2">
      <c r="A495" s="21" t="s">
        <v>618</v>
      </c>
      <c r="B495" s="22">
        <v>20</v>
      </c>
      <c r="C495" s="22">
        <v>5</v>
      </c>
      <c r="D495" s="2" t="s">
        <v>432</v>
      </c>
      <c r="E495" s="22"/>
      <c r="F495" s="18">
        <v>4.54</v>
      </c>
      <c r="G495" s="18">
        <v>2</v>
      </c>
      <c r="H495" s="18">
        <v>2.93</v>
      </c>
      <c r="I495" s="18"/>
      <c r="J495" s="18"/>
      <c r="K495" s="23" t="s">
        <v>288</v>
      </c>
      <c r="L495" s="23" t="s">
        <v>288</v>
      </c>
      <c r="N495" s="130"/>
    </row>
    <row r="496" spans="1:14" ht="12.2" customHeight="1" x14ac:dyDescent="0.2">
      <c r="A496" s="21" t="s">
        <v>619</v>
      </c>
      <c r="B496" s="22">
        <v>20</v>
      </c>
      <c r="C496" s="22">
        <v>6</v>
      </c>
      <c r="D496" s="2" t="s">
        <v>432</v>
      </c>
      <c r="E496" s="22"/>
      <c r="F496" s="18">
        <v>1155000</v>
      </c>
      <c r="G496" s="18">
        <v>1047325.34</v>
      </c>
      <c r="H496" s="18">
        <v>2658055.8199999998</v>
      </c>
      <c r="I496" s="18"/>
      <c r="J496" s="18"/>
      <c r="K496" s="19">
        <f>SUM(F496:J496)</f>
        <v>4860381.16</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565000</v>
      </c>
      <c r="G498" s="18">
        <v>166028.1</v>
      </c>
      <c r="H498" s="18">
        <v>156358.46</v>
      </c>
      <c r="I498" s="18"/>
      <c r="J498" s="18"/>
      <c r="K498" s="19">
        <f t="shared" si="35"/>
        <v>887386.55999999994</v>
      </c>
      <c r="L498" s="23" t="s">
        <v>288</v>
      </c>
      <c r="N498" s="130"/>
    </row>
    <row r="499" spans="1:14" ht="12.2" customHeight="1" x14ac:dyDescent="0.2">
      <c r="A499" s="143" t="s">
        <v>622</v>
      </c>
      <c r="B499" s="144">
        <v>20</v>
      </c>
      <c r="C499" s="144">
        <v>9</v>
      </c>
      <c r="D499" s="145" t="s">
        <v>432</v>
      </c>
      <c r="E499" s="144"/>
      <c r="F499" s="146">
        <f>F496-F498</f>
        <v>590000</v>
      </c>
      <c r="G499" s="146">
        <f>G496-G498</f>
        <v>881297.24</v>
      </c>
      <c r="H499" s="146">
        <f>H496-H498</f>
        <v>2501697.36</v>
      </c>
      <c r="I499" s="146"/>
      <c r="J499" s="146"/>
      <c r="K499" s="147">
        <f t="shared" si="35"/>
        <v>3972994.5999999996</v>
      </c>
      <c r="L499" s="148" t="s">
        <v>288</v>
      </c>
      <c r="N499" s="130"/>
    </row>
    <row r="500" spans="1:14" ht="12.2" customHeight="1" thickBot="1" x14ac:dyDescent="0.25">
      <c r="A500" s="21" t="s">
        <v>623</v>
      </c>
      <c r="B500" s="22">
        <v>20</v>
      </c>
      <c r="C500" s="22">
        <v>10</v>
      </c>
      <c r="D500" s="2" t="s">
        <v>432</v>
      </c>
      <c r="E500" s="22"/>
      <c r="F500" s="18">
        <v>7781</v>
      </c>
      <c r="G500" s="18">
        <f>17625.94+14238.97+10784.26+7260.45+3666.17</f>
        <v>53575.789999999994</v>
      </c>
      <c r="H500" s="18">
        <v>541688.37</v>
      </c>
      <c r="I500" s="18"/>
      <c r="J500" s="18"/>
      <c r="K500" s="19">
        <f t="shared" si="35"/>
        <v>603045.16</v>
      </c>
      <c r="L500" s="23" t="s">
        <v>288</v>
      </c>
      <c r="N500" s="130"/>
    </row>
    <row r="501" spans="1:14" ht="12.2" customHeight="1" thickTop="1" x14ac:dyDescent="0.2">
      <c r="A501" s="97" t="s">
        <v>624</v>
      </c>
      <c r="B501" s="41">
        <v>20</v>
      </c>
      <c r="C501" s="41">
        <v>11</v>
      </c>
      <c r="D501" s="36" t="s">
        <v>432</v>
      </c>
      <c r="E501" s="41"/>
      <c r="F501" s="39">
        <f>SUM(F499:F500)</f>
        <v>597781</v>
      </c>
      <c r="G501" s="39">
        <f>SUM(G499:G500)</f>
        <v>934873.03</v>
      </c>
      <c r="H501" s="39">
        <f>SUM(H499:H500)</f>
        <v>3043385.73</v>
      </c>
      <c r="I501" s="39">
        <f>SUM(I499:I500)</f>
        <v>0</v>
      </c>
      <c r="J501" s="39">
        <f>SUM(J499:J500)</f>
        <v>0</v>
      </c>
      <c r="K501" s="39">
        <f t="shared" si="35"/>
        <v>4576039.76</v>
      </c>
      <c r="L501" s="42" t="s">
        <v>288</v>
      </c>
      <c r="N501" s="130"/>
    </row>
    <row r="502" spans="1:14" ht="12.2" customHeight="1" x14ac:dyDescent="0.2">
      <c r="A502" s="143" t="s">
        <v>651</v>
      </c>
      <c r="B502" s="144">
        <v>20</v>
      </c>
      <c r="C502" s="144">
        <v>12</v>
      </c>
      <c r="D502" s="145" t="s">
        <v>432</v>
      </c>
      <c r="E502" s="144"/>
      <c r="F502" s="146">
        <v>590000</v>
      </c>
      <c r="G502" s="146">
        <v>169348.66</v>
      </c>
      <c r="H502" s="146">
        <v>160931.94</v>
      </c>
      <c r="I502" s="146"/>
      <c r="J502" s="146"/>
      <c r="K502" s="147">
        <f t="shared" si="35"/>
        <v>920280.60000000009</v>
      </c>
      <c r="L502" s="148" t="s">
        <v>288</v>
      </c>
      <c r="N502" s="130"/>
    </row>
    <row r="503" spans="1:14" ht="12.2" customHeight="1" thickBot="1" x14ac:dyDescent="0.25">
      <c r="A503" s="21" t="s">
        <v>625</v>
      </c>
      <c r="B503" s="22">
        <v>20</v>
      </c>
      <c r="C503" s="22">
        <v>13</v>
      </c>
      <c r="D503" s="2" t="s">
        <v>432</v>
      </c>
      <c r="E503" s="22"/>
      <c r="F503" s="18">
        <v>7781</v>
      </c>
      <c r="G503" s="18">
        <v>17625.939999999999</v>
      </c>
      <c r="H503" s="18">
        <v>73174.649999999994</v>
      </c>
      <c r="I503" s="18"/>
      <c r="J503" s="18"/>
      <c r="K503" s="19">
        <f t="shared" si="35"/>
        <v>98581.59</v>
      </c>
      <c r="L503" s="23" t="s">
        <v>288</v>
      </c>
      <c r="N503" s="130"/>
    </row>
    <row r="504" spans="1:14" ht="12.2" customHeight="1" thickTop="1" x14ac:dyDescent="0.2">
      <c r="A504" s="97" t="s">
        <v>626</v>
      </c>
      <c r="B504" s="41">
        <v>20</v>
      </c>
      <c r="C504" s="41">
        <v>14</v>
      </c>
      <c r="D504" s="36" t="s">
        <v>432</v>
      </c>
      <c r="E504" s="41"/>
      <c r="F504" s="39">
        <f>SUM(F502:F503)</f>
        <v>597781</v>
      </c>
      <c r="G504" s="39">
        <f>SUM(G502:G503)</f>
        <v>186974.6</v>
      </c>
      <c r="H504" s="39">
        <f>SUM(H502:H503)</f>
        <v>234106.59</v>
      </c>
      <c r="I504" s="39">
        <f>SUM(I502:I503)</f>
        <v>0</v>
      </c>
      <c r="J504" s="39">
        <f>SUM(J502:J503)</f>
        <v>0</v>
      </c>
      <c r="K504" s="39">
        <f t="shared" si="35"/>
        <v>1018862.19</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c r="I522" s="18"/>
      <c r="J522" s="18"/>
      <c r="K522" s="18"/>
      <c r="L522" s="69">
        <f>SUM(F522:K522)</f>
        <v>0</v>
      </c>
      <c r="N522" s="130"/>
    </row>
    <row r="523" spans="1:14" ht="12.2" customHeight="1" x14ac:dyDescent="0.2">
      <c r="A523" s="21" t="s">
        <v>634</v>
      </c>
      <c r="B523" s="22">
        <v>21</v>
      </c>
      <c r="C523" s="22">
        <v>2</v>
      </c>
      <c r="D523" s="2" t="s">
        <v>432</v>
      </c>
      <c r="E523" s="22"/>
      <c r="F523" s="18">
        <v>511300.02</v>
      </c>
      <c r="G523" s="18">
        <f>F523*0.5</f>
        <v>255650.01</v>
      </c>
      <c r="H523" s="18">
        <f>569526.26-7847.47-513487.28</f>
        <v>48191.510000000009</v>
      </c>
      <c r="I523" s="18">
        <f>23491.96-407.65</f>
        <v>23084.309999999998</v>
      </c>
      <c r="J523" s="18">
        <v>3734.64</v>
      </c>
      <c r="K523" s="18">
        <v>888</v>
      </c>
      <c r="L523" s="69">
        <f>SUM(F523:K523)</f>
        <v>842848.49000000011</v>
      </c>
      <c r="N523" s="130"/>
    </row>
    <row r="524" spans="1:14" ht="12.2" customHeight="1" thickBot="1" x14ac:dyDescent="0.25">
      <c r="A524" s="21" t="s">
        <v>635</v>
      </c>
      <c r="B524" s="22">
        <v>21</v>
      </c>
      <c r="C524" s="22">
        <v>3</v>
      </c>
      <c r="D524" s="2" t="s">
        <v>432</v>
      </c>
      <c r="E524" s="22"/>
      <c r="F524" s="18">
        <v>1104032.49</v>
      </c>
      <c r="G524" s="18">
        <f>F524*0.5</f>
        <v>552016.245</v>
      </c>
      <c r="H524" s="18">
        <f>1816432.22-87533.8-16675.87-728834.31</f>
        <v>983388.23999999976</v>
      </c>
      <c r="I524" s="18">
        <f>44990.03-866.25</f>
        <v>44123.78</v>
      </c>
      <c r="J524" s="18">
        <v>3301.77</v>
      </c>
      <c r="K524" s="18">
        <v>630</v>
      </c>
      <c r="L524" s="69">
        <f>SUM(F524:K524)</f>
        <v>2687492.5249999994</v>
      </c>
      <c r="N524" s="130"/>
    </row>
    <row r="525" spans="1:14" ht="12.2" customHeight="1" thickTop="1" x14ac:dyDescent="0.2">
      <c r="A525" s="97" t="s">
        <v>63</v>
      </c>
      <c r="B525" s="41">
        <v>21</v>
      </c>
      <c r="C525" s="41">
        <v>4</v>
      </c>
      <c r="D525" s="115" t="s">
        <v>432</v>
      </c>
      <c r="E525" s="41"/>
      <c r="F525" s="81">
        <f>SUM(F522:F524)</f>
        <v>1615332.51</v>
      </c>
      <c r="G525" s="81">
        <f t="shared" ref="G525:L525" si="36">SUM(G522:G524)</f>
        <v>807666.255</v>
      </c>
      <c r="H525" s="81">
        <f t="shared" si="36"/>
        <v>1031579.7499999998</v>
      </c>
      <c r="I525" s="81">
        <f t="shared" si="36"/>
        <v>67208.09</v>
      </c>
      <c r="J525" s="81">
        <f t="shared" si="36"/>
        <v>7036.41</v>
      </c>
      <c r="K525" s="81">
        <f t="shared" si="36"/>
        <v>1518</v>
      </c>
      <c r="L525" s="70">
        <f t="shared" si="36"/>
        <v>3530341.0149999997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c r="I527" s="18"/>
      <c r="J527" s="18"/>
      <c r="K527" s="18"/>
      <c r="L527" s="69">
        <f>SUM(F527:K527)</f>
        <v>0</v>
      </c>
      <c r="M527" s="8"/>
      <c r="N527" s="164"/>
    </row>
    <row r="528" spans="1:14" s="3" customFormat="1" ht="12.2" customHeight="1" x14ac:dyDescent="0.15">
      <c r="A528" s="21" t="s">
        <v>634</v>
      </c>
      <c r="B528" s="22">
        <v>21</v>
      </c>
      <c r="C528" s="22">
        <v>6</v>
      </c>
      <c r="D528" s="2" t="s">
        <v>432</v>
      </c>
      <c r="E528" s="22"/>
      <c r="F528" s="18">
        <v>53866.68</v>
      </c>
      <c r="G528" s="18">
        <f>F528*0.5</f>
        <v>26933.34</v>
      </c>
      <c r="H528" s="18"/>
      <c r="I528" s="18"/>
      <c r="J528" s="18"/>
      <c r="K528" s="18"/>
      <c r="L528" s="69">
        <f>SUM(F528:K528)</f>
        <v>80800.02</v>
      </c>
      <c r="M528" s="8"/>
      <c r="N528" s="164"/>
    </row>
    <row r="529" spans="1:14" s="3" customFormat="1" ht="12.2" customHeight="1" thickBot="1" x14ac:dyDescent="0.2">
      <c r="A529" s="21" t="s">
        <v>635</v>
      </c>
      <c r="B529" s="22">
        <v>21</v>
      </c>
      <c r="C529" s="22">
        <v>7</v>
      </c>
      <c r="D529" s="2" t="s">
        <v>432</v>
      </c>
      <c r="E529" s="22"/>
      <c r="F529" s="18">
        <v>308665.21000000002</v>
      </c>
      <c r="G529" s="18">
        <f>F529*0.5</f>
        <v>154332.60500000001</v>
      </c>
      <c r="H529" s="18">
        <v>87533.8</v>
      </c>
      <c r="I529" s="18"/>
      <c r="J529" s="18"/>
      <c r="K529" s="18"/>
      <c r="L529" s="69">
        <f>SUM(F529:K529)</f>
        <v>550531.61500000011</v>
      </c>
      <c r="M529" s="8"/>
      <c r="N529" s="164"/>
    </row>
    <row r="530" spans="1:14" s="3" customFormat="1" ht="12.2" customHeight="1" thickTop="1" x14ac:dyDescent="0.15">
      <c r="A530" s="97" t="s">
        <v>65</v>
      </c>
      <c r="B530" s="41">
        <v>21</v>
      </c>
      <c r="C530" s="41">
        <v>8</v>
      </c>
      <c r="D530" s="115" t="s">
        <v>432</v>
      </c>
      <c r="E530" s="41"/>
      <c r="F530" s="70">
        <f>SUM(F527:F529)</f>
        <v>362531.89</v>
      </c>
      <c r="G530" s="70">
        <f t="shared" ref="G530:L530" si="37">SUM(G527:G529)</f>
        <v>181265.94500000001</v>
      </c>
      <c r="H530" s="70">
        <f t="shared" si="37"/>
        <v>87533.8</v>
      </c>
      <c r="I530" s="70">
        <f t="shared" si="37"/>
        <v>0</v>
      </c>
      <c r="J530" s="70">
        <f t="shared" si="37"/>
        <v>0</v>
      </c>
      <c r="K530" s="70">
        <f t="shared" si="37"/>
        <v>0</v>
      </c>
      <c r="L530" s="70">
        <f t="shared" si="37"/>
        <v>631331.63500000013</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v>95000</v>
      </c>
      <c r="G533" s="18">
        <f>F533*0.5</f>
        <v>47500</v>
      </c>
      <c r="H533" s="18"/>
      <c r="I533" s="18"/>
      <c r="J533" s="18"/>
      <c r="K533" s="18"/>
      <c r="L533" s="69">
        <f>SUM(F533:K533)</f>
        <v>142500</v>
      </c>
      <c r="M533" s="8"/>
      <c r="N533" s="164"/>
    </row>
    <row r="534" spans="1:14" s="3" customFormat="1" ht="12.2" customHeight="1" thickBot="1" x14ac:dyDescent="0.2">
      <c r="A534" s="21" t="s">
        <v>635</v>
      </c>
      <c r="B534" s="22">
        <v>21</v>
      </c>
      <c r="C534" s="22">
        <v>11</v>
      </c>
      <c r="D534" s="2" t="s">
        <v>432</v>
      </c>
      <c r="E534" s="22"/>
      <c r="F534" s="18">
        <v>50940</v>
      </c>
      <c r="G534" s="18">
        <f>F534*0.5</f>
        <v>25470</v>
      </c>
      <c r="H534" s="18"/>
      <c r="I534" s="18"/>
      <c r="J534" s="18"/>
      <c r="K534" s="18"/>
      <c r="L534" s="69">
        <f>SUM(F534:K534)</f>
        <v>76410</v>
      </c>
      <c r="M534" s="8"/>
      <c r="N534" s="164"/>
    </row>
    <row r="535" spans="1:14" s="3" customFormat="1" ht="12.2" customHeight="1" thickTop="1" x14ac:dyDescent="0.15">
      <c r="A535" s="97" t="s">
        <v>67</v>
      </c>
      <c r="B535" s="41">
        <v>21</v>
      </c>
      <c r="C535" s="41">
        <v>12</v>
      </c>
      <c r="D535" s="115" t="s">
        <v>432</v>
      </c>
      <c r="E535" s="41"/>
      <c r="F535" s="70">
        <f>SUM(F532:F534)</f>
        <v>145940</v>
      </c>
      <c r="G535" s="70">
        <f t="shared" ref="G535:L535" si="38">SUM(G532:G534)</f>
        <v>72970</v>
      </c>
      <c r="H535" s="70">
        <f t="shared" si="38"/>
        <v>0</v>
      </c>
      <c r="I535" s="70">
        <f t="shared" si="38"/>
        <v>0</v>
      </c>
      <c r="J535" s="70">
        <f t="shared" si="38"/>
        <v>0</v>
      </c>
      <c r="K535" s="70">
        <f t="shared" si="38"/>
        <v>0</v>
      </c>
      <c r="L535" s="70">
        <f t="shared" si="38"/>
        <v>218910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v>7847.47</v>
      </c>
      <c r="I538" s="18"/>
      <c r="J538" s="18"/>
      <c r="K538" s="18"/>
      <c r="L538" s="69">
        <f>SUM(F538:K538)</f>
        <v>7847.47</v>
      </c>
      <c r="M538" s="8"/>
      <c r="N538" s="164"/>
    </row>
    <row r="539" spans="1:14" s="3" customFormat="1" ht="12.2" customHeight="1" thickBot="1" x14ac:dyDescent="0.2">
      <c r="A539" s="21" t="s">
        <v>635</v>
      </c>
      <c r="B539" s="22">
        <v>21</v>
      </c>
      <c r="C539" s="22">
        <v>15</v>
      </c>
      <c r="D539" s="2" t="s">
        <v>432</v>
      </c>
      <c r="E539" s="22"/>
      <c r="F539" s="18"/>
      <c r="G539" s="18"/>
      <c r="H539" s="18">
        <v>16675.87</v>
      </c>
      <c r="I539" s="18"/>
      <c r="J539" s="18"/>
      <c r="K539" s="18"/>
      <c r="L539" s="69">
        <f>SUM(F539:K539)</f>
        <v>16675.87</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24523.34</v>
      </c>
      <c r="I540" s="70">
        <f t="shared" si="39"/>
        <v>0</v>
      </c>
      <c r="J540" s="70">
        <f t="shared" si="39"/>
        <v>0</v>
      </c>
      <c r="K540" s="70">
        <f t="shared" si="39"/>
        <v>0</v>
      </c>
      <c r="L540" s="70">
        <f t="shared" si="39"/>
        <v>24523.34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v>187545.23</v>
      </c>
      <c r="I543" s="18"/>
      <c r="J543" s="18"/>
      <c r="K543" s="18"/>
      <c r="L543" s="69">
        <f>SUM(F543:K543)</f>
        <v>187545.23</v>
      </c>
      <c r="M543" s="8"/>
      <c r="N543" s="164"/>
    </row>
    <row r="544" spans="1:14" s="3" customFormat="1" ht="12.2" customHeight="1" thickBot="1" x14ac:dyDescent="0.2">
      <c r="A544" s="21" t="s">
        <v>635</v>
      </c>
      <c r="B544" s="22">
        <v>21</v>
      </c>
      <c r="C544" s="22">
        <v>19</v>
      </c>
      <c r="D544" s="2" t="s">
        <v>432</v>
      </c>
      <c r="E544" s="22"/>
      <c r="F544" s="18"/>
      <c r="G544" s="18"/>
      <c r="H544" s="18">
        <v>272453.06</v>
      </c>
      <c r="I544" s="18"/>
      <c r="J544" s="18"/>
      <c r="K544" s="18"/>
      <c r="L544" s="69">
        <f>SUM(F544:K544)</f>
        <v>272453.06</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459998.29000000004</v>
      </c>
      <c r="I545" s="140">
        <f t="shared" si="40"/>
        <v>0</v>
      </c>
      <c r="J545" s="140">
        <f t="shared" si="40"/>
        <v>0</v>
      </c>
      <c r="K545" s="140">
        <f t="shared" si="40"/>
        <v>0</v>
      </c>
      <c r="L545" s="140">
        <f t="shared" si="40"/>
        <v>459998.29000000004</v>
      </c>
      <c r="M545" s="8"/>
      <c r="N545" s="164"/>
    </row>
    <row r="546" spans="1:14" s="3" customFormat="1" ht="12.2" customHeight="1" thickTop="1" x14ac:dyDescent="0.15">
      <c r="A546" s="75" t="s">
        <v>72</v>
      </c>
      <c r="B546" s="41">
        <v>21</v>
      </c>
      <c r="C546" s="41">
        <v>21</v>
      </c>
      <c r="D546" s="115" t="s">
        <v>432</v>
      </c>
      <c r="E546" s="41"/>
      <c r="F546" s="70">
        <f>F525+F530+F535+F540+F545</f>
        <v>2123804.4</v>
      </c>
      <c r="G546" s="70">
        <f t="shared" ref="G546:L546" si="41">G525+G530+G535+G540+G545</f>
        <v>1061902.2</v>
      </c>
      <c r="H546" s="70">
        <f t="shared" si="41"/>
        <v>1603635.18</v>
      </c>
      <c r="I546" s="70">
        <f t="shared" si="41"/>
        <v>67208.09</v>
      </c>
      <c r="J546" s="70">
        <f t="shared" si="41"/>
        <v>7036.41</v>
      </c>
      <c r="K546" s="70">
        <f t="shared" si="41"/>
        <v>1518</v>
      </c>
      <c r="L546" s="70">
        <f t="shared" si="41"/>
        <v>4865104.28</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0</v>
      </c>
      <c r="G550" s="69">
        <f>L527</f>
        <v>0</v>
      </c>
      <c r="H550" s="69">
        <f>L532</f>
        <v>0</v>
      </c>
      <c r="I550" s="69">
        <f>L537</f>
        <v>0</v>
      </c>
      <c r="J550" s="69">
        <f>L542</f>
        <v>0</v>
      </c>
      <c r="K550" s="69">
        <f>SUM(F550:J550)</f>
        <v>0</v>
      </c>
      <c r="L550" s="23" t="s">
        <v>288</v>
      </c>
      <c r="M550" s="8"/>
      <c r="N550" s="164"/>
    </row>
    <row r="551" spans="1:14" s="3" customFormat="1" ht="12.2" customHeight="1" x14ac:dyDescent="0.15">
      <c r="A551" s="21" t="s">
        <v>634</v>
      </c>
      <c r="B551" s="22">
        <v>21</v>
      </c>
      <c r="C551" s="22">
        <v>23</v>
      </c>
      <c r="D551" s="2" t="s">
        <v>432</v>
      </c>
      <c r="E551" s="22"/>
      <c r="F551" s="69">
        <f>L523</f>
        <v>842848.49000000011</v>
      </c>
      <c r="G551" s="69">
        <f>L528</f>
        <v>80800.02</v>
      </c>
      <c r="H551" s="69">
        <f>L533</f>
        <v>142500</v>
      </c>
      <c r="I551" s="69">
        <f>L538</f>
        <v>7847.47</v>
      </c>
      <c r="J551" s="69">
        <f>L543</f>
        <v>187545.23</v>
      </c>
      <c r="K551" s="69">
        <f>SUM(F551:J551)</f>
        <v>1261541.2100000002</v>
      </c>
      <c r="L551" s="23" t="s">
        <v>288</v>
      </c>
      <c r="M551" s="8"/>
      <c r="N551" s="164"/>
    </row>
    <row r="552" spans="1:14" s="3" customFormat="1" ht="12.2" customHeight="1" thickBot="1" x14ac:dyDescent="0.2">
      <c r="A552" s="21" t="s">
        <v>635</v>
      </c>
      <c r="B552" s="22">
        <v>21</v>
      </c>
      <c r="C552" s="22">
        <v>24</v>
      </c>
      <c r="D552" s="2" t="s">
        <v>432</v>
      </c>
      <c r="E552" s="22"/>
      <c r="F552" s="69">
        <f>L524</f>
        <v>2687492.5249999994</v>
      </c>
      <c r="G552" s="69">
        <f>L529</f>
        <v>550531.61500000011</v>
      </c>
      <c r="H552" s="69">
        <f>L534</f>
        <v>76410</v>
      </c>
      <c r="I552" s="69">
        <f>L539</f>
        <v>16675.87</v>
      </c>
      <c r="J552" s="69">
        <f>L544</f>
        <v>272453.06</v>
      </c>
      <c r="K552" s="69">
        <f>SUM(F552:J552)</f>
        <v>3603563.07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3530341.0149999997</v>
      </c>
      <c r="G553" s="70">
        <f t="shared" si="42"/>
        <v>631331.63500000013</v>
      </c>
      <c r="H553" s="70">
        <f t="shared" si="42"/>
        <v>218910</v>
      </c>
      <c r="I553" s="70">
        <f t="shared" si="42"/>
        <v>24523.34</v>
      </c>
      <c r="J553" s="70">
        <f t="shared" si="42"/>
        <v>459998.29000000004</v>
      </c>
      <c r="K553" s="70">
        <f t="shared" si="42"/>
        <v>4865104.28</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f>69824.76+86715</f>
        <v>156539.76</v>
      </c>
      <c r="H583" s="18">
        <v>54982.53</v>
      </c>
      <c r="I583" s="69">
        <f t="shared" si="47"/>
        <v>211522.29</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v>680109.6</v>
      </c>
      <c r="I584" s="69">
        <f t="shared" si="47"/>
        <v>680109.6</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64780.18</v>
      </c>
      <c r="I585" s="69">
        <f t="shared" si="47"/>
        <v>64780.18</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0</v>
      </c>
      <c r="G589" s="79">
        <f t="shared" ref="G589:I589" si="48">SUM(G576:G588)</f>
        <v>156539.76</v>
      </c>
      <c r="H589" s="79">
        <f t="shared" si="48"/>
        <v>799872.31</v>
      </c>
      <c r="I589" s="79">
        <f t="shared" si="48"/>
        <v>956412.07000000007</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c r="I592" s="18">
        <v>351749.68</v>
      </c>
      <c r="J592" s="18">
        <f>351848.01+2470.2</f>
        <v>354318.21</v>
      </c>
      <c r="K592" s="80">
        <f t="shared" ref="K592:K598" si="49">SUM(H592:J592)</f>
        <v>706067.89</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v>187545.23</v>
      </c>
      <c r="J593" s="18">
        <v>272453.06</v>
      </c>
      <c r="K593" s="80">
        <f t="shared" si="49"/>
        <v>459998.29000000004</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v>0</v>
      </c>
      <c r="J594" s="18">
        <f>119913.86+27173.99</f>
        <v>147087.85</v>
      </c>
      <c r="K594" s="80">
        <f t="shared" si="49"/>
        <v>147087.85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11896.87</v>
      </c>
      <c r="J595" s="18">
        <v>79189.7</v>
      </c>
      <c r="K595" s="80">
        <f t="shared" si="49"/>
        <v>91086.569999999992</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v>0</v>
      </c>
      <c r="J596" s="18">
        <v>0</v>
      </c>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v>46.33</v>
      </c>
      <c r="J597" s="18">
        <v>98.45</v>
      </c>
      <c r="K597" s="80">
        <f t="shared" si="49"/>
        <v>144.78</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0</v>
      </c>
      <c r="I599" s="81">
        <f>SUM(I592:I598)</f>
        <v>551238.11</v>
      </c>
      <c r="J599" s="81">
        <f>SUM(J592:J598)</f>
        <v>853147.2699999999</v>
      </c>
      <c r="K599" s="81">
        <f>SUM(K592:K598)</f>
        <v>1404385.3800000004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v>23200</v>
      </c>
      <c r="K604" s="80">
        <f>SUM(H604:J604)</f>
        <v>23200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c r="I605" s="18">
        <v>192420.09</v>
      </c>
      <c r="J605" s="18">
        <v>165744.25</v>
      </c>
      <c r="K605" s="80">
        <f>SUM(H605:J605)</f>
        <v>358164.33999999997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0</v>
      </c>
      <c r="I606" s="81">
        <f>SUM(I603:I605)</f>
        <v>192420.09</v>
      </c>
      <c r="J606" s="81">
        <f>SUM(J603:J605)</f>
        <v>188944.25</v>
      </c>
      <c r="K606" s="81">
        <f>SUM(K603:K605)</f>
        <v>381364.33999999997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3282177.38</v>
      </c>
      <c r="H618" s="80">
        <f>SUM(F52)</f>
        <v>3282177.38</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51730.15</v>
      </c>
      <c r="H619" s="80">
        <f>SUM(G52)</f>
        <v>51730.149999999965</v>
      </c>
      <c r="I619" s="87" t="s">
        <v>872</v>
      </c>
      <c r="J619" s="80">
        <f>G619-H619</f>
        <v>0</v>
      </c>
      <c r="K619" s="80"/>
      <c r="L619" s="80"/>
      <c r="M619" s="8"/>
    </row>
    <row r="620" spans="1:14" s="3" customFormat="1" ht="12.2" customHeight="1" x14ac:dyDescent="0.15">
      <c r="A620" s="74"/>
      <c r="B620" s="22"/>
      <c r="C620" s="22"/>
      <c r="D620" s="22"/>
      <c r="E620" s="22"/>
      <c r="F620" s="87" t="s">
        <v>685</v>
      </c>
      <c r="G620" s="80">
        <f>SUM(H19)</f>
        <v>316397.30000000005</v>
      </c>
      <c r="H620" s="80">
        <f>SUM(H52)</f>
        <v>316397.3</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466540.54</v>
      </c>
      <c r="H622" s="80">
        <f>SUM(J52)</f>
        <v>466540.54</v>
      </c>
      <c r="I622" s="87" t="s">
        <v>875</v>
      </c>
      <c r="J622" s="80">
        <f>G622-H622</f>
        <v>0</v>
      </c>
      <c r="K622" s="80"/>
      <c r="L622" s="80"/>
      <c r="M622" s="8"/>
    </row>
    <row r="623" spans="1:14" s="3" customFormat="1" ht="12.2" customHeight="1" x14ac:dyDescent="0.15">
      <c r="A623" s="74"/>
      <c r="B623" s="22"/>
      <c r="C623" s="22"/>
      <c r="D623" s="22"/>
      <c r="E623" s="22"/>
      <c r="F623" s="87" t="s">
        <v>861</v>
      </c>
      <c r="G623" s="80">
        <f>F51</f>
        <v>2199342.94</v>
      </c>
      <c r="H623" s="80">
        <f>F477</f>
        <v>2199342.9399999976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492110.76999999996</v>
      </c>
      <c r="H624" s="80">
        <f>G477</f>
        <v>492110.76999999979</v>
      </c>
      <c r="I624" s="87" t="s">
        <v>102</v>
      </c>
      <c r="J624" s="80">
        <f t="shared" si="51"/>
        <v>0</v>
      </c>
      <c r="K624" s="80"/>
      <c r="L624" s="80"/>
      <c r="M624" s="8"/>
    </row>
    <row r="625" spans="1:13" s="3" customFormat="1" ht="12.2" customHeight="1" x14ac:dyDescent="0.15">
      <c r="A625" s="74"/>
      <c r="B625" s="22"/>
      <c r="C625" s="22"/>
      <c r="D625" s="22"/>
      <c r="E625" s="22"/>
      <c r="F625" s="86" t="s">
        <v>863</v>
      </c>
      <c r="G625" s="80">
        <f>H51</f>
        <v>273327.62</v>
      </c>
      <c r="H625" s="80">
        <f>H477</f>
        <v>273327.62</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466545.54</v>
      </c>
      <c r="H627" s="80">
        <f>J477</f>
        <v>466545.54</v>
      </c>
      <c r="I627" s="87" t="s">
        <v>105</v>
      </c>
      <c r="J627" s="80">
        <f t="shared" si="51"/>
        <v>0</v>
      </c>
      <c r="K627" s="67"/>
      <c r="L627" s="69"/>
      <c r="M627" s="8"/>
    </row>
    <row r="628" spans="1:13" s="3" customFormat="1" ht="12.2" customHeight="1" x14ac:dyDescent="0.15">
      <c r="A628" s="21"/>
      <c r="B628" s="22"/>
      <c r="C628" s="22"/>
      <c r="D628" s="22"/>
      <c r="E628" s="22"/>
      <c r="F628" s="86" t="s">
        <v>658</v>
      </c>
      <c r="G628" s="80">
        <f>F194</f>
        <v>26800837.359999999</v>
      </c>
      <c r="H628" s="80">
        <f>SUM(F469)</f>
        <v>26800837.359999999</v>
      </c>
      <c r="I628" s="87" t="s">
        <v>106</v>
      </c>
      <c r="J628" s="80">
        <f>G628-H628</f>
        <v>0</v>
      </c>
      <c r="K628" s="67"/>
      <c r="L628" s="69"/>
      <c r="M628" s="8"/>
    </row>
    <row r="629" spans="1:13" s="3" customFormat="1" ht="12.2" customHeight="1" x14ac:dyDescent="0.15">
      <c r="A629" s="21"/>
      <c r="B629" s="22"/>
      <c r="C629" s="22"/>
      <c r="D629" s="22"/>
      <c r="E629" s="22"/>
      <c r="F629" s="86" t="s">
        <v>659</v>
      </c>
      <c r="G629" s="80">
        <f>G194</f>
        <v>652208.57999999996</v>
      </c>
      <c r="H629" s="80">
        <f>SUM(G469)</f>
        <v>652208.57999999996</v>
      </c>
      <c r="I629" s="87" t="s">
        <v>107</v>
      </c>
      <c r="J629" s="80">
        <f>G629-H629</f>
        <v>0</v>
      </c>
      <c r="K629" s="67"/>
      <c r="L629" s="69"/>
      <c r="M629" s="8"/>
    </row>
    <row r="630" spans="1:13" s="3" customFormat="1" ht="12.2" customHeight="1" x14ac:dyDescent="0.15">
      <c r="A630" s="21"/>
      <c r="B630" s="22"/>
      <c r="C630" s="22"/>
      <c r="D630" s="22"/>
      <c r="E630" s="22"/>
      <c r="F630" s="86" t="s">
        <v>660</v>
      </c>
      <c r="G630" s="80">
        <f>H194</f>
        <v>602646.6</v>
      </c>
      <c r="H630" s="80">
        <f>SUM(H469)</f>
        <v>602646.6</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359628.29</v>
      </c>
      <c r="H632" s="80">
        <f>SUM(J469)</f>
        <v>359628.29</v>
      </c>
      <c r="I632" s="87" t="s">
        <v>110</v>
      </c>
      <c r="J632" s="80">
        <f>G632-H632</f>
        <v>0</v>
      </c>
      <c r="K632" s="67"/>
      <c r="L632" s="69"/>
      <c r="M632" s="8"/>
    </row>
    <row r="633" spans="1:13" s="3" customFormat="1" ht="12.2" customHeight="1" x14ac:dyDescent="0.15">
      <c r="A633" s="21"/>
      <c r="B633" s="22"/>
      <c r="C633" s="22"/>
      <c r="D633" s="22"/>
      <c r="E633" s="22"/>
      <c r="F633" s="86" t="s">
        <v>394</v>
      </c>
      <c r="G633" s="80">
        <f>SUM(L272)</f>
        <v>26405277.039999995</v>
      </c>
      <c r="H633" s="80">
        <f>SUM(F473)</f>
        <v>26405277.040000003</v>
      </c>
      <c r="I633" s="87" t="s">
        <v>111</v>
      </c>
      <c r="J633" s="80">
        <f t="shared" si="51"/>
        <v>0</v>
      </c>
      <c r="K633" s="67"/>
      <c r="L633" s="69"/>
      <c r="M633" s="8"/>
    </row>
    <row r="634" spans="1:13" s="3" customFormat="1" ht="12.2" customHeight="1" x14ac:dyDescent="0.15">
      <c r="A634" s="21"/>
      <c r="B634" s="22"/>
      <c r="C634" s="22"/>
      <c r="D634" s="22"/>
      <c r="E634" s="22"/>
      <c r="F634" s="86" t="s">
        <v>395</v>
      </c>
      <c r="G634" s="80">
        <f>SUM(L353)</f>
        <v>575606.52</v>
      </c>
      <c r="H634" s="80">
        <f>SUM(H473)</f>
        <v>575606.52</v>
      </c>
      <c r="I634" s="87" t="s">
        <v>112</v>
      </c>
      <c r="J634" s="80">
        <f>G634-H634</f>
        <v>0</v>
      </c>
      <c r="K634" s="67"/>
      <c r="L634" s="69"/>
      <c r="M634" s="8"/>
    </row>
    <row r="635" spans="1:13" s="124" customFormat="1" ht="12.2" customHeight="1" x14ac:dyDescent="0.15">
      <c r="A635" s="21"/>
      <c r="B635" s="22"/>
      <c r="C635" s="22"/>
      <c r="D635" s="22"/>
      <c r="E635" s="22"/>
      <c r="F635" s="99" t="s">
        <v>247</v>
      </c>
      <c r="G635" s="80">
        <f>I363</f>
        <v>306736.87</v>
      </c>
      <c r="H635" s="80">
        <f>I370</f>
        <v>306736.87</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832522.28</v>
      </c>
      <c r="H636" s="80">
        <f>SUM(G473)</f>
        <v>832522.28</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6499.6</v>
      </c>
      <c r="H637" s="80">
        <f>SUM(I473)</f>
        <v>6499.6</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359628.29</v>
      </c>
      <c r="H638" s="108">
        <f>SUM(J469)</f>
        <v>359628.29</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340888.29</v>
      </c>
      <c r="H639" s="108">
        <f>SUM(J473)</f>
        <v>340888.29</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466540.54</v>
      </c>
      <c r="H641" s="80">
        <f>SUM(G462)</f>
        <v>466540.54</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466540.54</v>
      </c>
      <c r="H643" s="80">
        <f>SUM(I462)</f>
        <v>466540.54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34628.29</v>
      </c>
      <c r="H645" s="80">
        <f>H409</f>
        <v>34628.29</v>
      </c>
      <c r="I645" s="87" t="s">
        <v>480</v>
      </c>
      <c r="J645" s="80">
        <f t="shared" si="51"/>
        <v>0</v>
      </c>
      <c r="K645" s="67"/>
      <c r="L645" s="69"/>
      <c r="M645" s="8"/>
    </row>
    <row r="646" spans="1:13" s="3" customFormat="1" ht="12.2" customHeight="1" x14ac:dyDescent="0.15">
      <c r="A646" s="21"/>
      <c r="B646" s="22"/>
      <c r="C646" s="22"/>
      <c r="D646" s="22"/>
      <c r="E646" s="22"/>
      <c r="F646" s="86" t="s">
        <v>664</v>
      </c>
      <c r="G646" s="80">
        <f>J184</f>
        <v>325000</v>
      </c>
      <c r="H646" s="80">
        <f>G409</f>
        <v>325000</v>
      </c>
      <c r="I646" s="87" t="s">
        <v>481</v>
      </c>
      <c r="J646" s="80">
        <f t="shared" si="51"/>
        <v>0</v>
      </c>
      <c r="K646" s="67"/>
      <c r="L646" s="69"/>
      <c r="M646" s="8"/>
    </row>
    <row r="647" spans="1:13" s="3" customFormat="1" ht="12.2" customHeight="1" x14ac:dyDescent="0.15">
      <c r="A647" s="21"/>
      <c r="B647" s="22"/>
      <c r="C647" s="22"/>
      <c r="D647" s="22"/>
      <c r="E647" s="22"/>
      <c r="F647" s="86" t="s">
        <v>662</v>
      </c>
      <c r="G647" s="80">
        <f>J194</f>
        <v>359628.29</v>
      </c>
      <c r="H647" s="80">
        <f>L409</f>
        <v>359628.29</v>
      </c>
      <c r="I647" s="87" t="s">
        <v>477</v>
      </c>
      <c r="J647" s="80">
        <f t="shared" si="51"/>
        <v>0</v>
      </c>
      <c r="K647" s="67"/>
      <c r="L647" s="69"/>
      <c r="M647" s="8"/>
    </row>
    <row r="648" spans="1:13" s="3" customFormat="1" ht="12.2" customHeight="1" x14ac:dyDescent="0.15">
      <c r="A648" s="21"/>
      <c r="B648" s="22"/>
      <c r="C648" s="22"/>
      <c r="D648" s="22"/>
      <c r="E648" s="22"/>
      <c r="F648" s="86" t="s">
        <v>51</v>
      </c>
      <c r="G648" s="80">
        <f>K599</f>
        <v>1404385.3800000004</v>
      </c>
      <c r="H648" s="80">
        <f>L209+L227+L245</f>
        <v>1404385.38</v>
      </c>
      <c r="I648" s="87" t="s">
        <v>396</v>
      </c>
      <c r="J648" s="80">
        <f t="shared" si="51"/>
        <v>0</v>
      </c>
      <c r="K648" s="67"/>
      <c r="L648" s="69"/>
      <c r="M648" s="8"/>
    </row>
    <row r="649" spans="1:13" s="3" customFormat="1" ht="12.2" customHeight="1" x14ac:dyDescent="0.15">
      <c r="A649" s="21"/>
      <c r="B649" s="22"/>
      <c r="C649" s="22"/>
      <c r="D649" s="22"/>
      <c r="E649" s="22"/>
      <c r="F649" s="86" t="s">
        <v>52</v>
      </c>
      <c r="G649" s="80">
        <f>K606</f>
        <v>381364.33999999997</v>
      </c>
      <c r="H649" s="80">
        <f>(J258+J339)-(J256+J337)</f>
        <v>381364.34</v>
      </c>
      <c r="I649" s="87" t="s">
        <v>699</v>
      </c>
      <c r="J649" s="80">
        <f t="shared" si="51"/>
        <v>0</v>
      </c>
      <c r="K649" s="67"/>
      <c r="L649" s="69"/>
      <c r="M649" s="8"/>
    </row>
    <row r="650" spans="1:13" s="3" customFormat="1" ht="12.2" customHeight="1" x14ac:dyDescent="0.15">
      <c r="A650" s="21"/>
      <c r="B650" s="22"/>
      <c r="C650" s="22"/>
      <c r="D650" s="22"/>
      <c r="E650" s="22"/>
      <c r="F650" s="86" t="s">
        <v>387</v>
      </c>
      <c r="G650" s="80">
        <f>L209</f>
        <v>0</v>
      </c>
      <c r="H650" s="80">
        <f>H599</f>
        <v>0</v>
      </c>
      <c r="I650" s="87" t="s">
        <v>388</v>
      </c>
      <c r="J650" s="80">
        <f t="shared" si="51"/>
        <v>0</v>
      </c>
      <c r="K650" s="67"/>
      <c r="L650" s="69"/>
      <c r="M650" s="8"/>
    </row>
    <row r="651" spans="1:13" s="3" customFormat="1" ht="12.2" customHeight="1" x14ac:dyDescent="0.15">
      <c r="A651" s="21"/>
      <c r="B651" s="22"/>
      <c r="C651" s="22"/>
      <c r="D651" s="22"/>
      <c r="E651" s="22"/>
      <c r="F651" s="86" t="s">
        <v>392</v>
      </c>
      <c r="G651" s="80">
        <f>L227</f>
        <v>551238.11</v>
      </c>
      <c r="H651" s="80">
        <f>I599</f>
        <v>551238.11</v>
      </c>
      <c r="I651" s="87" t="s">
        <v>389</v>
      </c>
      <c r="J651" s="80">
        <f t="shared" si="51"/>
        <v>0</v>
      </c>
      <c r="K651" s="67"/>
      <c r="L651" s="69"/>
      <c r="M651" s="8"/>
    </row>
    <row r="652" spans="1:13" s="3" customFormat="1" ht="12.2" customHeight="1" x14ac:dyDescent="0.15">
      <c r="A652" s="21"/>
      <c r="B652" s="22"/>
      <c r="C652" s="22"/>
      <c r="D652" s="22"/>
      <c r="E652" s="22"/>
      <c r="F652" s="86" t="s">
        <v>393</v>
      </c>
      <c r="G652" s="80">
        <f>L245</f>
        <v>853147.2699999999</v>
      </c>
      <c r="H652" s="80">
        <f>J599</f>
        <v>853147.2699999999</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325000</v>
      </c>
      <c r="H656" s="80">
        <f>K267+K348</f>
        <v>325000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0</v>
      </c>
      <c r="G661" s="13">
        <f>(L230+L310+L360)</f>
        <v>8371280.5099999988</v>
      </c>
      <c r="H661" s="13">
        <f>(L248+L329+L361)</f>
        <v>17966785.379999999</v>
      </c>
      <c r="I661" s="13">
        <f>SUM(F661:H661)</f>
        <v>26338065.889999997</v>
      </c>
      <c r="J661" s="13"/>
      <c r="K661" s="13"/>
      <c r="L661" s="13"/>
      <c r="M661" s="9"/>
    </row>
    <row r="662" spans="1:13" s="3" customFormat="1" ht="12.2" customHeight="1" x14ac:dyDescent="0.2">
      <c r="A662" s="1" t="s">
        <v>127</v>
      </c>
      <c r="F662" s="13">
        <f>(L359/IF(SUM(L359:L361)=0,1,SUM(L359:L361))*(SUM(G97:G110)))</f>
        <v>0</v>
      </c>
      <c r="G662" s="13">
        <f>(L360/IF(SUM(L359:L361)=0,1,SUM(L359:L361))*(SUM(G97:G110)))</f>
        <v>140512.7778255622</v>
      </c>
      <c r="H662" s="13">
        <f>(L361/IF(SUM(L359:L361)=0,1,SUM(L359:L361))*(SUM(G97:G110)))</f>
        <v>396727.17217443779</v>
      </c>
      <c r="I662" s="13">
        <f>SUM(F662:H662)</f>
        <v>537239.94999999995</v>
      </c>
      <c r="J662"/>
      <c r="K662" s="13"/>
      <c r="L662" s="13"/>
      <c r="M662" s="8"/>
    </row>
    <row r="663" spans="1:13" s="3" customFormat="1" ht="12.2" customHeight="1" x14ac:dyDescent="0.2">
      <c r="A663" s="1" t="s">
        <v>128</v>
      </c>
      <c r="F663" s="13">
        <f>(L209+L288)-(J209+J288)</f>
        <v>0</v>
      </c>
      <c r="G663" s="13">
        <f>(L227+L307)-(J227+J307)</f>
        <v>555165.24</v>
      </c>
      <c r="H663" s="13">
        <f>(L245+L326)-(J245+J326)</f>
        <v>853147.2699999999</v>
      </c>
      <c r="I663" s="13">
        <f>SUM(F663:H663)</f>
        <v>1408312.5099999998</v>
      </c>
      <c r="J663"/>
      <c r="K663" s="13"/>
      <c r="L663" s="13"/>
      <c r="M663" s="9"/>
    </row>
    <row r="664" spans="1:13" s="3" customFormat="1" ht="12.2" customHeight="1" x14ac:dyDescent="0.15">
      <c r="A664" s="141" t="s">
        <v>129</v>
      </c>
      <c r="B664" s="124"/>
      <c r="C664" s="124"/>
      <c r="D664" s="124"/>
      <c r="E664" s="124"/>
      <c r="F664" s="142">
        <f>SUM(F576:F588)+SUM(H603:H605)+SUM(L612)</f>
        <v>0</v>
      </c>
      <c r="G664" s="142">
        <f>SUM(G576:G588)+SUM(I603:I605)+L613</f>
        <v>348959.85</v>
      </c>
      <c r="H664" s="142">
        <f>SUM(H576:H588)+SUM(J603:J605)+L614</f>
        <v>988816.56</v>
      </c>
      <c r="I664" s="13">
        <f>SUM(F664:H664)</f>
        <v>1337776.4100000001</v>
      </c>
      <c r="J664" s="13"/>
      <c r="K664" s="13"/>
      <c r="L664" s="13"/>
      <c r="M664" s="9"/>
    </row>
    <row r="665" spans="1:13" s="3" customFormat="1" ht="12.2" customHeight="1" x14ac:dyDescent="0.15">
      <c r="A665" s="1" t="s">
        <v>130</v>
      </c>
      <c r="F665" s="13">
        <f>F661-SUM(F662:F664)</f>
        <v>0</v>
      </c>
      <c r="G665" s="13">
        <f>G661-SUM(G662:G664)</f>
        <v>7326642.6421744367</v>
      </c>
      <c r="H665" s="13">
        <f>H661-SUM(H662:H664)</f>
        <v>15728094.377825562</v>
      </c>
      <c r="I665" s="13">
        <f>I661-SUM(I662:I664)</f>
        <v>23054737.019999996</v>
      </c>
      <c r="J665" s="13"/>
      <c r="K665" s="13"/>
      <c r="L665" s="13"/>
      <c r="M665" s="8"/>
    </row>
    <row r="666" spans="1:13" s="3" customFormat="1" ht="12.2" customHeight="1" x14ac:dyDescent="0.2">
      <c r="A666" s="1" t="s">
        <v>131</v>
      </c>
      <c r="F666" s="182">
        <v>0</v>
      </c>
      <c r="G666" s="183">
        <v>368.22</v>
      </c>
      <c r="H666" s="183">
        <v>740.75</v>
      </c>
      <c r="I666" s="13">
        <f>SUM(F666:H666)</f>
        <v>1108.97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f>ROUND(G665/G666,2)</f>
        <v>19897.46</v>
      </c>
      <c r="H668" s="13">
        <f>ROUND(H665/H666,2)</f>
        <v>21232.66</v>
      </c>
      <c r="I668" s="13">
        <f>ROUND(I665/I666,2)</f>
        <v>20789.32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-15.61</v>
      </c>
      <c r="I671" s="13">
        <f>SUM(F671:H671)</f>
        <v>-15.61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f>ROUND((G665+G670)/(G666+G671),2)</f>
        <v>19897.46</v>
      </c>
      <c r="H673" s="13">
        <f>ROUND((H665+H670)/(H666+H671),2)</f>
        <v>21689.73</v>
      </c>
      <c r="I673" s="13">
        <f>ROUND((I665+I670)/(I666+I671),2)</f>
        <v>21086.14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52707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38447.67</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14259.33</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52"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Hollis-Brookline Cooperative</v>
      </c>
      <c r="C5" s="321"/>
      <c r="D5" s="321"/>
      <c r="E5" s="321"/>
      <c r="F5" s="321"/>
    </row>
    <row r="8" spans="1:9" ht="18" x14ac:dyDescent="0.25">
      <c r="A8" s="239" t="s">
        <v>1548</v>
      </c>
      <c r="F8" s="246" t="s">
        <v>1566</v>
      </c>
    </row>
    <row r="9" spans="1:9" ht="15" x14ac:dyDescent="0.2">
      <c r="A9" s="237" t="s">
        <v>1549</v>
      </c>
      <c r="B9" s="240">
        <f>'DOE25'!G97</f>
        <v>537239.94999999995</v>
      </c>
      <c r="F9" s="237" t="s">
        <v>1562</v>
      </c>
    </row>
    <row r="10" spans="1:9" ht="15" x14ac:dyDescent="0.2">
      <c r="A10" s="237" t="s">
        <v>1550</v>
      </c>
      <c r="B10" s="240">
        <f>'DOE25'!G112-'DOE25'!G97</f>
        <v>0</v>
      </c>
      <c r="F10" s="237" t="s">
        <v>1563</v>
      </c>
    </row>
    <row r="11" spans="1:9" ht="15" x14ac:dyDescent="0.2">
      <c r="A11" s="237" t="s">
        <v>1551</v>
      </c>
      <c r="B11" s="240">
        <f>'DOE25'!G140</f>
        <v>16240.619999999999</v>
      </c>
      <c r="F11" s="237" t="s">
        <v>1564</v>
      </c>
    </row>
    <row r="12" spans="1:9" ht="15" x14ac:dyDescent="0.2">
      <c r="A12" s="237" t="s">
        <v>1552</v>
      </c>
      <c r="B12" s="240">
        <f>'DOE25'!G170</f>
        <v>98728.010000000009</v>
      </c>
      <c r="F12" s="237" t="s">
        <v>1565</v>
      </c>
    </row>
    <row r="13" spans="1:9" ht="15" x14ac:dyDescent="0.2">
      <c r="A13" s="237" t="s">
        <v>1553</v>
      </c>
      <c r="B13" s="240">
        <f>'DOE25'!G193-'DOE25'!G180</f>
        <v>0</v>
      </c>
      <c r="F13" s="237" t="s">
        <v>1575</v>
      </c>
    </row>
    <row r="14" spans="1:9" ht="18" x14ac:dyDescent="0.25">
      <c r="A14" s="239" t="s">
        <v>732</v>
      </c>
      <c r="B14" s="241">
        <f>SUM(B9:B13)</f>
        <v>652208.57999999996</v>
      </c>
    </row>
    <row r="16" spans="1:9" ht="18" x14ac:dyDescent="0.25">
      <c r="A16" s="239" t="s">
        <v>783</v>
      </c>
      <c r="F16" s="246" t="s">
        <v>1567</v>
      </c>
    </row>
    <row r="17" spans="1:6" ht="15" x14ac:dyDescent="0.2">
      <c r="A17" s="237" t="s">
        <v>1554</v>
      </c>
      <c r="B17" s="240">
        <f>'DOE25'!L363-'DOE25'!L362</f>
        <v>832522.28</v>
      </c>
      <c r="F17" s="237" t="s">
        <v>1568</v>
      </c>
    </row>
    <row r="18" spans="1:6" ht="15" x14ac:dyDescent="0.2">
      <c r="A18" s="237" t="s">
        <v>1555</v>
      </c>
      <c r="B18" s="250"/>
      <c r="F18" s="246" t="s">
        <v>1592</v>
      </c>
    </row>
    <row r="19" spans="1:6" ht="18" x14ac:dyDescent="0.25">
      <c r="A19" s="239" t="s">
        <v>725</v>
      </c>
      <c r="B19" s="241">
        <f>SUM(B17:B18)</f>
        <v>832522.28</v>
      </c>
    </row>
    <row r="21" spans="1:6" ht="18.75" thickBot="1" x14ac:dyDescent="0.3">
      <c r="A21" s="239" t="s">
        <v>1556</v>
      </c>
    </row>
    <row r="22" spans="1:6" ht="18.75" thickTop="1" x14ac:dyDescent="0.25">
      <c r="A22" s="239" t="s">
        <v>1557</v>
      </c>
      <c r="B22" s="245">
        <f>B14-B19</f>
        <v>-180313.70000000007</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672424.47</v>
      </c>
      <c r="F31" s="237" t="s">
        <v>1572</v>
      </c>
    </row>
    <row r="33" spans="1:6" ht="15" x14ac:dyDescent="0.2">
      <c r="A33" s="237" t="s">
        <v>1790</v>
      </c>
      <c r="B33" s="240">
        <f>'DOE25'!G477</f>
        <v>492110.76999999979</v>
      </c>
      <c r="F33" s="237" t="s">
        <v>1573</v>
      </c>
    </row>
    <row r="36" spans="1:6" ht="15" x14ac:dyDescent="0.2">
      <c r="A36" s="237" t="s">
        <v>1559</v>
      </c>
      <c r="B36" s="251">
        <v>31342.720000000001</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pageSetUpPr fitToPage="1"/>
  </sheetPr>
  <dimension ref="A1:C52"/>
  <sheetViews>
    <sheetView zoomScaleNormal="100" workbookViewId="0">
      <selection activeCell="B40" sqref="B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Hollis-Brookline Cooperative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6300544.96</v>
      </c>
      <c r="C9" s="166">
        <f>'DOE25'!G198+'DOE25'!G216+'DOE25'!G234+'DOE25'!G277+'DOE25'!G296+'DOE25'!G315</f>
        <v>3119207.15</v>
      </c>
    </row>
    <row r="10" spans="1:3" x14ac:dyDescent="0.2">
      <c r="A10" t="s">
        <v>772</v>
      </c>
      <c r="B10" s="176">
        <f>B9*0.97</f>
        <v>6111528.6112000002</v>
      </c>
      <c r="C10" s="176">
        <f>C9/B9*B10</f>
        <v>3025630.9354999997</v>
      </c>
    </row>
    <row r="11" spans="1:3" x14ac:dyDescent="0.2">
      <c r="A11" t="s">
        <v>773</v>
      </c>
      <c r="B11" s="176">
        <v>0</v>
      </c>
      <c r="C11" s="176">
        <f>C9/B9*B11</f>
        <v>0</v>
      </c>
    </row>
    <row r="12" spans="1:3" x14ac:dyDescent="0.2">
      <c r="A12" t="s">
        <v>774</v>
      </c>
      <c r="B12" s="176">
        <f>B9*0.03</f>
        <v>189016.34879999998</v>
      </c>
      <c r="C12" s="176">
        <f>C9/B9*B12</f>
        <v>93576.214499999987</v>
      </c>
    </row>
    <row r="13" spans="1:3" x14ac:dyDescent="0.2">
      <c r="A13" t="str">
        <f>IF(B9=B13,IF(C9=C13,"Check Total OK","Check Total Error"),"Check Total Error")</f>
        <v>Check Total OK</v>
      </c>
      <c r="B13" s="168">
        <f>SUM(B10:B12)</f>
        <v>6300544.96</v>
      </c>
      <c r="C13" s="168">
        <f>SUM(C10:C12)</f>
        <v>3119207.1499999994</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2228720.09</v>
      </c>
      <c r="C18" s="166">
        <f>'DOE25'!G199+'DOE25'!G217+'DOE25'!G235+'DOE25'!G278+'DOE25'!G297+'DOE25'!G316</f>
        <v>978918.19</v>
      </c>
    </row>
    <row r="19" spans="1:3" x14ac:dyDescent="0.2">
      <c r="A19" t="s">
        <v>772</v>
      </c>
      <c r="B19" s="176">
        <f>B18*0.52</f>
        <v>1158934.4468</v>
      </c>
      <c r="C19" s="176">
        <f>C18/B18*B19</f>
        <v>509037.45880000002</v>
      </c>
    </row>
    <row r="20" spans="1:3" x14ac:dyDescent="0.2">
      <c r="A20" t="s">
        <v>773</v>
      </c>
      <c r="B20" s="176">
        <f>B18*0.37</f>
        <v>824626.43329999992</v>
      </c>
      <c r="C20" s="176">
        <f>C18/B18*B20</f>
        <v>362199.7303</v>
      </c>
    </row>
    <row r="21" spans="1:3" x14ac:dyDescent="0.2">
      <c r="A21" t="s">
        <v>774</v>
      </c>
      <c r="B21" s="176">
        <f>B18*0.11</f>
        <v>245159.20989999999</v>
      </c>
      <c r="C21" s="176">
        <f>C18/B18*B21</f>
        <v>107681.0009</v>
      </c>
    </row>
    <row r="22" spans="1:3" x14ac:dyDescent="0.2">
      <c r="A22" t="str">
        <f>IF(B18=B22,IF(C18=C22,"Check Total OK","Check Total Error"),"Check Total Error")</f>
        <v>Check Total OK</v>
      </c>
      <c r="B22" s="168">
        <f>SUM(B19:B21)</f>
        <v>2228720.09</v>
      </c>
      <c r="C22" s="168">
        <f>SUM(C19:C21)</f>
        <v>978918.19000000006</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581633.25</v>
      </c>
      <c r="C36" s="172">
        <f>'DOE25'!G201+'DOE25'!G219+'DOE25'!G237+'DOE25'!G280+'DOE25'!G299+'DOE25'!G318</f>
        <v>289617.15000000002</v>
      </c>
    </row>
    <row r="37" spans="1:3" x14ac:dyDescent="0.2">
      <c r="A37" t="s">
        <v>772</v>
      </c>
      <c r="B37" s="176">
        <v>360201.25</v>
      </c>
      <c r="C37" s="176">
        <f>C36/B36*B37</f>
        <v>179357.79883876568</v>
      </c>
    </row>
    <row r="38" spans="1:3" x14ac:dyDescent="0.2">
      <c r="A38" t="s">
        <v>773</v>
      </c>
      <c r="B38" s="176">
        <v>0</v>
      </c>
      <c r="C38" s="176">
        <v>0</v>
      </c>
    </row>
    <row r="39" spans="1:3" x14ac:dyDescent="0.2">
      <c r="A39" t="s">
        <v>774</v>
      </c>
      <c r="B39" s="176">
        <v>221432</v>
      </c>
      <c r="C39" s="176">
        <f>C36/B36*B39</f>
        <v>110259.35116123434</v>
      </c>
    </row>
    <row r="40" spans="1:3" x14ac:dyDescent="0.2">
      <c r="A40" t="str">
        <f>IF(B36=B40,IF(C36=C40,"Check Total OK","Check Total Error"),"Check Total Error")</f>
        <v>Check Total OK</v>
      </c>
      <c r="B40" s="168">
        <f>SUM(B37:B39)</f>
        <v>581633.25</v>
      </c>
      <c r="C40" s="168">
        <f>SUM(C37:C39)</f>
        <v>289617.15000000002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40" zoomScaleNormal="14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Hollis-Brookline Cooperative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15466095.469999997</v>
      </c>
      <c r="D5" s="19">
        <f>SUM('DOE25'!L198:L201)+SUM('DOE25'!L216:L219)+SUM('DOE25'!L234:L237)-F5-G5-H5</f>
        <v>15177112.059999997</v>
      </c>
      <c r="E5" s="179"/>
      <c r="F5" s="180">
        <f>81606.4+36335.75+43456.45+36358.75</f>
        <v>197757.34999999998</v>
      </c>
      <c r="G5" s="19">
        <f>SUM('DOE25'!J198:J201)+SUM('DOE25'!J216:J219)+SUM('DOE25'!J234:J237)</f>
        <v>60444.179999999993</v>
      </c>
      <c r="H5" s="19">
        <f>SUM('DOE25'!K198:K201)+SUM('DOE25'!K216:K219)+SUM('DOE25'!K234:K237)</f>
        <v>30781.88</v>
      </c>
      <c r="I5" s="191"/>
    </row>
    <row r="6" spans="1:9" x14ac:dyDescent="0.2">
      <c r="A6" s="31">
        <v>2100</v>
      </c>
      <c r="B6" t="s">
        <v>793</v>
      </c>
      <c r="C6" s="205">
        <f t="shared" si="0"/>
        <v>2334479.92</v>
      </c>
      <c r="D6" s="19">
        <f>'DOE25'!L203+'DOE25'!L221+'DOE25'!L239-F6-G6-H6</f>
        <v>1902843.65</v>
      </c>
      <c r="E6" s="179"/>
      <c r="F6" s="180">
        <f>350839.69+79645.62</f>
        <v>430485.31</v>
      </c>
      <c r="G6" s="19">
        <f>'DOE25'!J203+'DOE25'!J221+'DOE25'!J239</f>
        <v>750.96</v>
      </c>
      <c r="H6" s="19">
        <f>'DOE25'!K203+'DOE25'!K221+'DOE25'!K239</f>
        <v>400</v>
      </c>
      <c r="I6" s="191"/>
    </row>
    <row r="7" spans="1:9" x14ac:dyDescent="0.2">
      <c r="A7" s="31">
        <v>2200</v>
      </c>
      <c r="B7" t="s">
        <v>817</v>
      </c>
      <c r="C7" s="205">
        <f t="shared" si="0"/>
        <v>925863.25</v>
      </c>
      <c r="D7" s="19">
        <f>'DOE25'!L204+'DOE25'!L222+'DOE25'!L240-F7-G7-H7</f>
        <v>644414.64</v>
      </c>
      <c r="E7" s="179"/>
      <c r="F7" s="180"/>
      <c r="G7" s="19">
        <f>'DOE25'!J204+'DOE25'!J222+'DOE25'!J240</f>
        <v>281448.61</v>
      </c>
      <c r="H7" s="19">
        <f>'DOE25'!K204+'DOE25'!K222+'DOE25'!K240</f>
        <v>0</v>
      </c>
      <c r="I7" s="191"/>
    </row>
    <row r="8" spans="1:9" x14ac:dyDescent="0.2">
      <c r="A8" s="31">
        <v>2300</v>
      </c>
      <c r="B8" t="s">
        <v>794</v>
      </c>
      <c r="C8" s="205">
        <f t="shared" si="0"/>
        <v>1155700.96</v>
      </c>
      <c r="D8" s="179"/>
      <c r="E8" s="19">
        <f>'DOE25'!L205+'DOE25'!L223+'DOE25'!L241-F8-G8-H8-D9-D11</f>
        <v>1150550.8399999999</v>
      </c>
      <c r="F8" s="180"/>
      <c r="G8" s="19">
        <f>'DOE25'!J205+'DOE25'!J223+'DOE25'!J241</f>
        <v>188</v>
      </c>
      <c r="H8" s="19">
        <f>'DOE25'!K205+'DOE25'!K223+'DOE25'!K241</f>
        <v>4962.12</v>
      </c>
      <c r="I8" s="191"/>
    </row>
    <row r="9" spans="1:9" ht="14.25" x14ac:dyDescent="0.2">
      <c r="A9" s="31">
        <v>2310</v>
      </c>
      <c r="B9" s="71" t="s">
        <v>884</v>
      </c>
      <c r="C9" s="205">
        <f t="shared" si="0"/>
        <v>67475.91</v>
      </c>
      <c r="D9" s="180">
        <v>67475.91</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1530188.44</v>
      </c>
      <c r="D12" s="19">
        <f>'DOE25'!L206+'DOE25'!L224+'DOE25'!L242-F12-G12-H12</f>
        <v>1508912.76</v>
      </c>
      <c r="E12" s="179"/>
      <c r="F12" s="180"/>
      <c r="G12" s="19">
        <f>'DOE25'!J206+'DOE25'!J224+'DOE25'!J242</f>
        <v>0</v>
      </c>
      <c r="H12" s="19">
        <f>'DOE25'!K206+'DOE25'!K224+'DOE25'!K242</f>
        <v>21275.68</v>
      </c>
      <c r="I12" s="191"/>
    </row>
    <row r="13" spans="1:9" x14ac:dyDescent="0.2">
      <c r="A13" s="31">
        <v>2500</v>
      </c>
      <c r="B13" t="s">
        <v>795</v>
      </c>
      <c r="C13" s="205">
        <f t="shared" si="0"/>
        <v>6004.25</v>
      </c>
      <c r="D13" s="179"/>
      <c r="E13" s="19">
        <f>'DOE25'!L207+'DOE25'!L225+'DOE25'!L243-F13-G13-H13</f>
        <v>0</v>
      </c>
      <c r="F13" s="180"/>
      <c r="G13" s="19">
        <f>'DOE25'!J207+'DOE25'!J225+'DOE25'!J243</f>
        <v>0</v>
      </c>
      <c r="H13" s="19">
        <f>'DOE25'!K207+'DOE25'!K225+'DOE25'!K243</f>
        <v>6004.25</v>
      </c>
      <c r="I13" s="191"/>
    </row>
    <row r="14" spans="1:9" x14ac:dyDescent="0.2">
      <c r="A14" s="31">
        <v>2600</v>
      </c>
      <c r="B14" t="s">
        <v>815</v>
      </c>
      <c r="C14" s="205">
        <f t="shared" si="0"/>
        <v>2042743.5099999998</v>
      </c>
      <c r="D14" s="19">
        <f>'DOE25'!L208+'DOE25'!L226+'DOE25'!L244-F14-G14-H14</f>
        <v>1497499.2199999997</v>
      </c>
      <c r="E14" s="179"/>
      <c r="F14" s="180">
        <f>130400+48206+78693+33738</f>
        <v>291037</v>
      </c>
      <c r="G14" s="19">
        <f>'DOE25'!J208+'DOE25'!J226+'DOE25'!J244</f>
        <v>12439.42</v>
      </c>
      <c r="H14" s="19">
        <f>'DOE25'!K208+'DOE25'!K226+'DOE25'!K244</f>
        <v>241767.87</v>
      </c>
      <c r="I14" s="191"/>
    </row>
    <row r="15" spans="1:9" x14ac:dyDescent="0.2">
      <c r="A15" s="31">
        <v>2700</v>
      </c>
      <c r="B15" t="s">
        <v>796</v>
      </c>
      <c r="C15" s="205">
        <f t="shared" si="0"/>
        <v>1404385.38</v>
      </c>
      <c r="D15" s="19">
        <f>'DOE25'!L209+'DOE25'!L227+'DOE25'!L245-F15-G15-H15</f>
        <v>214143.37999999989</v>
      </c>
      <c r="E15" s="179"/>
      <c r="F15" s="180">
        <f>87050+118140+1060842-13300-62490</f>
        <v>1190242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129185.75</v>
      </c>
      <c r="D22" s="179"/>
      <c r="E22" s="179"/>
      <c r="F22" s="179"/>
      <c r="G22" s="19">
        <f>'DOE25'!L256+'DOE25'!L337</f>
        <v>129185.75</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1018154.2</v>
      </c>
      <c r="D25" s="179"/>
      <c r="E25" s="179"/>
      <c r="F25" s="190"/>
      <c r="G25" s="179"/>
      <c r="H25" s="179"/>
      <c r="I25" s="189">
        <f>'DOE25'!L261+'DOE25'!L262+'DOE25'!L342+'DOE25'!L343</f>
        <v>1018154.2</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563072.19000000006</v>
      </c>
      <c r="D29" s="211">
        <f>'DOE25'!L359+'DOE25'!L360+'DOE25'!L361-'DOE25'!I368-F29-G29-H29-F39</f>
        <v>337021.19000000006</v>
      </c>
      <c r="E29" s="179"/>
      <c r="F29" s="179"/>
      <c r="G29" s="19">
        <f>'DOE25'!J359+'DOE25'!J360+'DOE25'!J361</f>
        <v>225691</v>
      </c>
      <c r="H29" s="19">
        <f>'DOE25'!K359+'DOE25'!K360+'DOE25'!K361</f>
        <v>360</v>
      </c>
      <c r="I29" s="191"/>
    </row>
    <row r="30" spans="1:9" x14ac:dyDescent="0.2">
      <c r="A30" s="31"/>
      <c r="C30" s="206"/>
      <c r="D30" s="19"/>
      <c r="F30" s="200"/>
      <c r="G30" s="19"/>
      <c r="H30" s="19"/>
      <c r="I30" s="191"/>
    </row>
    <row r="31" spans="1:9" x14ac:dyDescent="0.2">
      <c r="A31" s="31" t="s">
        <v>814</v>
      </c>
      <c r="B31" t="s">
        <v>813</v>
      </c>
      <c r="C31" s="205">
        <f>SUM(D31:I31)</f>
        <v>572606.52</v>
      </c>
      <c r="D31" s="19">
        <f>'DOE25'!L291+'DOE25'!L310+'DOE25'!L329+'DOE25'!L334+'DOE25'!L335+'DOE25'!L336-F31-G31-H31</f>
        <v>543997.1</v>
      </c>
      <c r="E31" s="179"/>
      <c r="F31" s="180"/>
      <c r="G31" s="19">
        <f>'DOE25'!J291+'DOE25'!J310+'DOE25'!J329+'DOE25'!J334+'DOE25'!J335+'DOE25'!J336</f>
        <v>26093.17</v>
      </c>
      <c r="H31" s="19">
        <f>'DOE25'!K291+'DOE25'!K310+'DOE25'!K329+'DOE25'!K334+'DOE25'!K335+'DOE25'!K336</f>
        <v>2516.25</v>
      </c>
      <c r="I31" s="191"/>
    </row>
    <row r="32" spans="1:9" ht="12" thickBot="1" x14ac:dyDescent="0.25">
      <c r="C32" s="206"/>
      <c r="G32" s="187"/>
      <c r="H32" s="187"/>
      <c r="I32" s="193"/>
    </row>
    <row r="33" spans="1:9" ht="12" thickTop="1" x14ac:dyDescent="0.2">
      <c r="B33" t="s">
        <v>806</v>
      </c>
      <c r="D33" s="181">
        <f t="shared" ref="D33:I33" si="1">SUM(D5:D31)</f>
        <v>21893419.91</v>
      </c>
      <c r="E33" s="181">
        <f t="shared" si="1"/>
        <v>1150550.8399999999</v>
      </c>
      <c r="F33" s="181">
        <f t="shared" si="1"/>
        <v>2109521.66</v>
      </c>
      <c r="G33" s="181">
        <f t="shared" si="1"/>
        <v>736241.09</v>
      </c>
      <c r="H33" s="181">
        <f t="shared" si="1"/>
        <v>308068.05</v>
      </c>
      <c r="I33" s="181">
        <f t="shared" si="1"/>
        <v>1018154.2</v>
      </c>
    </row>
    <row r="34" spans="1:9" ht="12" thickBot="1" x14ac:dyDescent="0.25"/>
    <row r="35" spans="1:9" ht="12" thickBot="1" x14ac:dyDescent="0.25">
      <c r="B35" s="187" t="s">
        <v>827</v>
      </c>
      <c r="D35" s="188">
        <f>E33</f>
        <v>1150550.8399999999</v>
      </c>
      <c r="E35" s="184"/>
      <c r="F35" s="294" t="s">
        <v>1596</v>
      </c>
      <c r="G35" s="295"/>
      <c r="H35" s="295"/>
      <c r="I35" s="296"/>
    </row>
    <row r="36" spans="1:9" ht="12" thickTop="1" x14ac:dyDescent="0.2">
      <c r="B36" t="s">
        <v>807</v>
      </c>
      <c r="D36" s="19">
        <f>D33</f>
        <v>21893419.91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V727"/>
  <sheetViews>
    <sheetView zoomScaleNormal="100" workbookViewId="0">
      <selection activeCell="B3" sqref="B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Hollis-Brookline Cooperative</v>
      </c>
      <c r="B2">
        <f>'DOE25'!B2</f>
        <v>260</v>
      </c>
      <c r="J2" s="223" t="s">
        <v>1799</v>
      </c>
      <c r="K2" s="308">
        <f>SUM('DOE25'!L198:L201)+SUM('DOE25'!L277:L280)</f>
        <v>0</v>
      </c>
      <c r="L2" s="308">
        <f>'DOE25'!L203+'DOE25'!L282</f>
        <v>0</v>
      </c>
      <c r="M2" s="308">
        <f>'DOE25'!L204+'DOE25'!L283</f>
        <v>0</v>
      </c>
      <c r="N2" s="308">
        <f>'DOE25'!L206+'DOE25'!L285</f>
        <v>0</v>
      </c>
      <c r="O2" s="316">
        <f>'Salaries-Benefits'!B10+'Salaries-Benefits'!B12+'Salaries-Benefits'!B19+'Salaries-Benefits'!B21+'Salaries-Benefits'!B28+'Salaries-Benefits'!B30+'Salaries-Benefits'!B37+'Salaries-Benefits'!B39</f>
        <v>8286271.8667000001</v>
      </c>
      <c r="P2" s="316">
        <f>'Salaries-Benefits'!B11+'Salaries-Benefits'!B20+'Salaries-Benefits'!B29+'Salaries-Benefits'!B38</f>
        <v>824626.43329999992</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-2174743.2566999998</v>
      </c>
      <c r="P3" s="310">
        <f t="shared" si="1"/>
        <v>-635610.08329999982</v>
      </c>
      <c r="Q3" s="309"/>
      <c r="R3" s="305"/>
      <c r="S3" s="214"/>
      <c r="T3" s="214"/>
      <c r="U3" s="215"/>
    </row>
    <row r="4" spans="1:22" ht="85.5" customHeight="1" thickBot="1" x14ac:dyDescent="0.25">
      <c r="A4" s="223" t="s">
        <v>1514</v>
      </c>
      <c r="B4" s="223" t="s">
        <v>1515</v>
      </c>
      <c r="C4" s="223" t="s">
        <v>893</v>
      </c>
      <c r="D4" s="223" t="s">
        <v>783</v>
      </c>
      <c r="E4" s="223" t="s">
        <v>783</v>
      </c>
      <c r="F4" s="227">
        <f>SUM(F5:F20)</f>
        <v>0</v>
      </c>
      <c r="G4" s="228">
        <f>'DOE25'!L212+'DOE25'!L291</f>
        <v>0</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c r="E5" s="219"/>
      <c r="F5" s="231">
        <f>D5+E5</f>
        <v>0</v>
      </c>
      <c r="G5" s="222"/>
      <c r="H5" s="222"/>
      <c r="J5" s="71" t="s">
        <v>1840</v>
      </c>
      <c r="K5" s="20"/>
      <c r="L5" s="20"/>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0</v>
      </c>
      <c r="E21" s="261">
        <f>SUM(E5:E20)</f>
        <v>0</v>
      </c>
      <c r="F21" s="216"/>
      <c r="G21" s="216"/>
      <c r="H21" s="216"/>
      <c r="K21" s="262">
        <f t="shared" ref="K21:Q21" si="4">SUM(K5:K20)</f>
        <v>0</v>
      </c>
      <c r="L21" s="262">
        <f t="shared" si="4"/>
        <v>0</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5037664.22</v>
      </c>
      <c r="L23" s="19">
        <f>'DOE25'!L221+'DOE25'!L301</f>
        <v>513360.44999999995</v>
      </c>
      <c r="M23" s="19">
        <f>'DOE25'!L222+'DOE25'!L302</f>
        <v>367701.95</v>
      </c>
      <c r="N23" s="19">
        <f>'DOE25'!L224+'DOE25'!L304</f>
        <v>572891.33000000007</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8153537.919999999</v>
      </c>
      <c r="G25" s="228">
        <f>'DOE25'!L230+'DOE25'!L310</f>
        <v>8153537.919999999</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69824.76+86715</f>
        <v>156539.76</v>
      </c>
      <c r="E26" s="219"/>
      <c r="F26" s="231">
        <f>D26+E26</f>
        <v>156539.76</v>
      </c>
      <c r="G26" s="222"/>
      <c r="H26" s="222"/>
      <c r="J26" s="71" t="s">
        <v>1840</v>
      </c>
      <c r="K26" s="315">
        <f>69824.76+86715</f>
        <v>156539.76</v>
      </c>
      <c r="L26" s="315"/>
      <c r="M26" s="315"/>
      <c r="N26" s="315"/>
      <c r="O26" s="315"/>
      <c r="P26" s="315"/>
      <c r="Q26" s="315"/>
    </row>
    <row r="27" spans="1:17" x14ac:dyDescent="0.2">
      <c r="A27" t="str" cm="1">
        <f t="array" ref="A27">IFERROR(INDEX('School Tables'!$L$4:$R$100,'School Tables'!$U4,3),"")</f>
        <v>Hollis-Brookline Middle School</v>
      </c>
      <c r="B27" s="229">
        <f>IFERROR(VLOOKUP(A27,'School Tables'!$N$4:$O$100,2,FALSE),"")</f>
        <v>21805</v>
      </c>
      <c r="C27" s="222" t="str">
        <f>IFERROR(INDEX('School Tables'!$M$4:$M$100,MATCH('School Level Expenditures'!A27,'School Tables'!$N$4:$N$100,0)),"")</f>
        <v>Hollis-Brookline Cooperative</v>
      </c>
      <c r="D27" s="219">
        <f>G25-E27-D26</f>
        <v>7987653.209999999</v>
      </c>
      <c r="E27" s="219">
        <v>9344.9500000000007</v>
      </c>
      <c r="F27" s="231">
        <f t="shared" ref="F27:F33" si="6">D27+E27</f>
        <v>7996998.1599999992</v>
      </c>
      <c r="G27" s="222"/>
      <c r="H27" s="222"/>
      <c r="J27" t="str">
        <f t="shared" ref="J27:J33" si="7">A27</f>
        <v>Hollis-Brookline Middle School</v>
      </c>
      <c r="K27" s="20">
        <f>5037664.22-156539.76</f>
        <v>4881124.46</v>
      </c>
      <c r="L27" s="20">
        <v>513360.45</v>
      </c>
      <c r="M27" s="307">
        <v>367701.95</v>
      </c>
      <c r="N27" s="20">
        <v>572891.32999999996</v>
      </c>
      <c r="O27" s="20">
        <f>6111528.61*0.32</f>
        <v>1955689.1552000002</v>
      </c>
      <c r="P27" s="20">
        <f>189016.35*0.32</f>
        <v>60485.232000000004</v>
      </c>
      <c r="Q27" s="20">
        <v>44996.04</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8144192.9699999988</v>
      </c>
      <c r="E34" s="261">
        <f>SUM(E26:E33)</f>
        <v>9344.9500000000007</v>
      </c>
      <c r="F34" s="216"/>
      <c r="G34" s="216"/>
      <c r="H34" s="216"/>
      <c r="K34" s="262">
        <f t="shared" ref="K34:Q34" si="8">SUM(K26:K33)</f>
        <v>5037664.22</v>
      </c>
      <c r="L34" s="262">
        <f t="shared" si="8"/>
        <v>513360.45</v>
      </c>
      <c r="M34" s="262">
        <f t="shared" si="8"/>
        <v>367701.95</v>
      </c>
      <c r="N34" s="262">
        <f t="shared" si="8"/>
        <v>572891.32999999996</v>
      </c>
      <c r="O34" s="262">
        <f t="shared" si="8"/>
        <v>1955689.1552000002</v>
      </c>
      <c r="P34" s="262">
        <f t="shared" si="8"/>
        <v>60485.232000000004</v>
      </c>
      <c r="Q34" s="262">
        <f t="shared" si="8"/>
        <v>44996.04</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10957833.569999998</v>
      </c>
      <c r="L36" s="19">
        <f>'DOE25'!L239+'DOE25'!L320</f>
        <v>1829433.14</v>
      </c>
      <c r="M36" s="19">
        <f>'DOE25'!L240+'DOE25'!L321</f>
        <v>588853.30000000005</v>
      </c>
      <c r="N36" s="19">
        <f>'DOE25'!L242+'DOE25'!L323</f>
        <v>957297.11</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17352005.689999998</v>
      </c>
      <c r="G38" s="228">
        <f>'DOE25'!L248+'DOE25'!L329</f>
        <v>17352005.689999998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799872.31</v>
      </c>
      <c r="E39" s="219"/>
      <c r="F39" s="231">
        <f t="shared" ref="F39:F44" si="10">D39+E39</f>
        <v>799872.31</v>
      </c>
      <c r="G39" s="222"/>
      <c r="H39" s="222"/>
      <c r="J39" s="71" t="s">
        <v>1840</v>
      </c>
      <c r="K39" s="315">
        <v>799872.31</v>
      </c>
      <c r="L39" s="315"/>
      <c r="M39" s="315"/>
      <c r="N39" s="315"/>
      <c r="O39" s="315"/>
      <c r="P39" s="315"/>
      <c r="Q39" s="315"/>
    </row>
    <row r="40" spans="1:17" x14ac:dyDescent="0.2">
      <c r="A40" t="str" cm="1">
        <f t="array" ref="A40">IFERROR(INDEX('School Tables'!$W$4:$AC$120,'School Tables'!$AF4,3),"")</f>
        <v>Hollis-Brookline High School</v>
      </c>
      <c r="B40" s="229">
        <f>IFERROR(VLOOKUP(A40,'School Tables'!$Y$4:$Z$120,2,FALSE),"")</f>
        <v>21810</v>
      </c>
      <c r="C40" s="222" t="str">
        <f>IFERROR(INDEX('School Tables'!$X$4:$X$120,MATCH('School Level Expenditures'!A40,'School Tables'!$Y$4:$Y$120,0)),"")</f>
        <v>Hollis-Brookline Cooperative</v>
      </c>
      <c r="D40" s="219">
        <f>G38-D39-E40</f>
        <v>16341025.369999997</v>
      </c>
      <c r="E40" s="219">
        <v>211108.01</v>
      </c>
      <c r="F40" s="231">
        <f t="shared" si="10"/>
        <v>16552133.379999997</v>
      </c>
      <c r="G40" s="222"/>
      <c r="H40" s="222"/>
      <c r="J40" t="str">
        <f>A40</f>
        <v>Hollis-Brookline High School</v>
      </c>
      <c r="K40" s="101">
        <f>K36-K39</f>
        <v>10157961.259999998</v>
      </c>
      <c r="L40" s="20">
        <v>1829433.14</v>
      </c>
      <c r="M40" s="307">
        <v>588853.30000000005</v>
      </c>
      <c r="N40" s="20">
        <v>957297.11</v>
      </c>
      <c r="O40" s="20">
        <f>6111528.61*0.68</f>
        <v>4155839.4548000004</v>
      </c>
      <c r="P40" s="20">
        <f>189016.35*0.68</f>
        <v>128531.11800000002</v>
      </c>
      <c r="Q40" s="20">
        <v>76859.69</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17140897.679999996</v>
      </c>
      <c r="E45" s="262">
        <f>SUM(E39:E44)</f>
        <v>211108.01</v>
      </c>
      <c r="K45" s="262">
        <f t="shared" ref="K45:Q45" si="11">SUM(K39:K44)</f>
        <v>10957833.569999998</v>
      </c>
      <c r="L45" s="262">
        <f t="shared" si="11"/>
        <v>1829433.14</v>
      </c>
      <c r="M45" s="262">
        <f t="shared" si="11"/>
        <v>588853.30000000005</v>
      </c>
      <c r="N45" s="262">
        <f t="shared" si="11"/>
        <v>957297.11</v>
      </c>
      <c r="O45" s="262">
        <f t="shared" si="11"/>
        <v>4155839.4548000004</v>
      </c>
      <c r="P45" s="262">
        <f t="shared" si="11"/>
        <v>128531.11800000002</v>
      </c>
      <c r="Q45" s="262">
        <f t="shared" si="11"/>
        <v>76859.69</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paperSize="5" scale="49"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Normal="10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Hollis-Brookline Cooperative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2928279.55</v>
      </c>
      <c r="D8" s="73">
        <f>'DOE25'!G9</f>
        <v>31284.85</v>
      </c>
      <c r="E8" s="73">
        <f>'DOE25'!H9</f>
        <v>0</v>
      </c>
      <c r="F8" s="73">
        <f>'DOE25'!I9</f>
        <v>0</v>
      </c>
      <c r="G8" s="73">
        <f>'DOE25'!J9</f>
        <v>0</v>
      </c>
      <c r="H8" s="13">
        <f>SUM(C8:G8)</f>
        <v>2959564.4</v>
      </c>
      <c r="I8" s="90"/>
    </row>
    <row r="9" spans="1:9" x14ac:dyDescent="0.2">
      <c r="A9" s="1" t="s">
        <v>140</v>
      </c>
      <c r="B9" s="6">
        <v>110</v>
      </c>
      <c r="C9" s="73">
        <f>'DOE25'!F10</f>
        <v>0</v>
      </c>
      <c r="D9" s="73">
        <f>'DOE25'!G10</f>
        <v>0</v>
      </c>
      <c r="E9" s="73">
        <f>'DOE25'!H10</f>
        <v>32748.59</v>
      </c>
      <c r="F9" s="73">
        <f>'DOE25'!I10</f>
        <v>0</v>
      </c>
      <c r="G9" s="73">
        <f>'DOE25'!J10</f>
        <v>0</v>
      </c>
      <c r="H9" s="13">
        <f t="shared" ref="H9:H18" si="0">SUM(C9:G9)</f>
        <v>32748.59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277363.37</v>
      </c>
      <c r="F11" s="73">
        <f>'DOE25'!I12</f>
        <v>0</v>
      </c>
      <c r="G11" s="73">
        <f>'DOE25'!J12</f>
        <v>0</v>
      </c>
      <c r="H11" s="13">
        <f t="shared" si="0"/>
        <v>277363.37</v>
      </c>
      <c r="I11" s="90"/>
    </row>
    <row r="12" spans="1:9" x14ac:dyDescent="0.2">
      <c r="A12" s="1" t="s">
        <v>143</v>
      </c>
      <c r="B12" s="6">
        <v>140</v>
      </c>
      <c r="C12" s="73">
        <f>'DOE25'!F13</f>
        <v>125825.06</v>
      </c>
      <c r="D12" s="73">
        <f>'DOE25'!G13</f>
        <v>11962.58</v>
      </c>
      <c r="E12" s="73">
        <f>'DOE25'!H13</f>
        <v>285.33999999999997</v>
      </c>
      <c r="F12" s="73">
        <f>'DOE25'!I13</f>
        <v>0</v>
      </c>
      <c r="G12" s="73">
        <f>'DOE25'!J13</f>
        <v>466540.54</v>
      </c>
      <c r="H12" s="13">
        <f t="shared" si="0"/>
        <v>604613.52</v>
      </c>
      <c r="I12" s="90"/>
    </row>
    <row r="13" spans="1:9" x14ac:dyDescent="0.2">
      <c r="A13" s="1" t="s">
        <v>144</v>
      </c>
      <c r="B13" s="6">
        <v>150</v>
      </c>
      <c r="C13" s="73">
        <f>'DOE25'!F14</f>
        <v>490.03999999999996</v>
      </c>
      <c r="D13" s="73">
        <f>'DOE25'!G14</f>
        <v>0</v>
      </c>
      <c r="E13" s="73">
        <f>'DOE25'!H14</f>
        <v>0</v>
      </c>
      <c r="F13" s="73">
        <f>'DOE25'!I14</f>
        <v>0</v>
      </c>
      <c r="G13" s="73">
        <f>'DOE25'!J14</f>
        <v>0</v>
      </c>
      <c r="H13" s="13">
        <f t="shared" si="0"/>
        <v>490.03999999999996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8482.7199999999993</v>
      </c>
      <c r="E15" s="73">
        <f>'DOE25'!H16</f>
        <v>0</v>
      </c>
      <c r="F15" s="73">
        <f>'DOE25'!I16</f>
        <v>0</v>
      </c>
      <c r="G15" s="23" t="s">
        <v>288</v>
      </c>
      <c r="H15" s="13">
        <f t="shared" si="0"/>
        <v>8482.7199999999993</v>
      </c>
      <c r="I15" s="90"/>
    </row>
    <row r="16" spans="1:9" x14ac:dyDescent="0.2">
      <c r="A16" s="1" t="s">
        <v>147</v>
      </c>
      <c r="B16" s="6">
        <v>180</v>
      </c>
      <c r="C16" s="73">
        <f>'DOE25'!F17</f>
        <v>227582.73</v>
      </c>
      <c r="D16" s="73">
        <f>'DOE25'!G17</f>
        <v>0</v>
      </c>
      <c r="E16" s="73">
        <f>'DOE25'!H17</f>
        <v>6000</v>
      </c>
      <c r="F16" s="73">
        <f>'DOE25'!I17</f>
        <v>0</v>
      </c>
      <c r="G16" s="73">
        <f>'DOE25'!J17</f>
        <v>0</v>
      </c>
      <c r="H16" s="13">
        <f t="shared" si="0"/>
        <v>233582.73</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3282177.38</v>
      </c>
      <c r="D18" s="38">
        <f>SUM(D8:D17)</f>
        <v>51730.15</v>
      </c>
      <c r="E18" s="38">
        <f>SUM(E8:E17)</f>
        <v>316397.30000000005</v>
      </c>
      <c r="F18" s="38">
        <f>SUM(F8:F17)</f>
        <v>0</v>
      </c>
      <c r="G18" s="38">
        <f>SUM(G8:G17)</f>
        <v>466540.54</v>
      </c>
      <c r="H18" s="38">
        <f t="shared" si="0"/>
        <v>4116845.37</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719772.06</v>
      </c>
      <c r="D21" s="73">
        <f>'DOE25'!G22</f>
        <v>-477912.28</v>
      </c>
      <c r="E21" s="73">
        <f>'DOE25'!H22</f>
        <v>-55036.36</v>
      </c>
      <c r="F21" s="73">
        <f>'DOE25'!I22</f>
        <v>0</v>
      </c>
      <c r="G21" s="73">
        <f>'DOE25'!J22</f>
        <v>-5</v>
      </c>
      <c r="H21" s="13">
        <f t="shared" ref="H21:H31" si="1">SUM(C21:G21)</f>
        <v>186818.42000000004</v>
      </c>
      <c r="I21" s="90"/>
    </row>
    <row r="22" spans="1:9" x14ac:dyDescent="0.2">
      <c r="A22" s="1" t="s">
        <v>151</v>
      </c>
      <c r="B22" s="6">
        <v>410</v>
      </c>
      <c r="C22" s="73">
        <f>'DOE25'!F23</f>
        <v>141861.35999999999</v>
      </c>
      <c r="D22" s="73">
        <f>'DOE25'!G23</f>
        <v>0</v>
      </c>
      <c r="E22" s="73">
        <f>'DOE25'!H23</f>
        <v>93544.95</v>
      </c>
      <c r="F22" s="73">
        <f>'DOE25'!I23</f>
        <v>0</v>
      </c>
      <c r="G22" s="73">
        <f>'DOE25'!J23</f>
        <v>0</v>
      </c>
      <c r="H22" s="13">
        <f t="shared" si="1"/>
        <v>235406.31</v>
      </c>
      <c r="I22" s="90"/>
    </row>
    <row r="23" spans="1:9" x14ac:dyDescent="0.2">
      <c r="A23" s="1" t="s">
        <v>152</v>
      </c>
      <c r="B23" s="6">
        <v>420</v>
      </c>
      <c r="C23" s="73">
        <f>'DOE25'!F24</f>
        <v>121357.17</v>
      </c>
      <c r="D23" s="73">
        <f>'DOE25'!G24</f>
        <v>1020</v>
      </c>
      <c r="E23" s="73">
        <f>'DOE25'!H24</f>
        <v>3936.1600000000003</v>
      </c>
      <c r="F23" s="73">
        <f>'DOE25'!I24</f>
        <v>0</v>
      </c>
      <c r="G23" s="73">
        <f>'DOE25'!J24</f>
        <v>0</v>
      </c>
      <c r="H23" s="13">
        <f t="shared" si="1"/>
        <v>126313.33</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77798.45</v>
      </c>
      <c r="D27" s="73">
        <f>'DOE25'!G28</f>
        <v>5168.9399999999996</v>
      </c>
      <c r="E27" s="73">
        <f>'DOE25'!H28</f>
        <v>624.93000000000006</v>
      </c>
      <c r="F27" s="73">
        <f>'DOE25'!I28</f>
        <v>0</v>
      </c>
      <c r="G27" s="23" t="s">
        <v>288</v>
      </c>
      <c r="H27" s="13">
        <f t="shared" si="1"/>
        <v>83592.319999999992</v>
      </c>
      <c r="I27" s="90"/>
    </row>
    <row r="28" spans="1:9" x14ac:dyDescent="0.2">
      <c r="A28" s="1" t="s">
        <v>157</v>
      </c>
      <c r="B28" s="6">
        <v>470</v>
      </c>
      <c r="C28" s="73">
        <f>'DOE25'!F29</f>
        <v>22045.399999999998</v>
      </c>
      <c r="D28" s="73">
        <f>'DOE25'!G29</f>
        <v>0</v>
      </c>
      <c r="E28" s="73">
        <f>'DOE25'!H29</f>
        <v>0</v>
      </c>
      <c r="F28" s="73">
        <f>'DOE25'!I29</f>
        <v>0</v>
      </c>
      <c r="G28" s="23" t="s">
        <v>288</v>
      </c>
      <c r="H28" s="13">
        <f t="shared" si="1"/>
        <v>22045.399999999998</v>
      </c>
      <c r="I28" s="90"/>
    </row>
    <row r="29" spans="1:9" x14ac:dyDescent="0.2">
      <c r="A29" s="1" t="s">
        <v>158</v>
      </c>
      <c r="B29" s="6">
        <v>480</v>
      </c>
      <c r="C29" s="73">
        <f>'DOE25'!F30</f>
        <v>0</v>
      </c>
      <c r="D29" s="73">
        <f>'DOE25'!G30</f>
        <v>31342.720000000001</v>
      </c>
      <c r="E29" s="73">
        <f>'DOE25'!H30</f>
        <v>0</v>
      </c>
      <c r="F29" s="73">
        <f>'DOE25'!I30</f>
        <v>0</v>
      </c>
      <c r="G29" s="23" t="s">
        <v>288</v>
      </c>
      <c r="H29" s="13">
        <f t="shared" si="1"/>
        <v>31342.720000000001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1082834.44</v>
      </c>
      <c r="D31" s="38">
        <f>SUM(D21:D30)</f>
        <v>-440380.62</v>
      </c>
      <c r="E31" s="38">
        <f>SUM(E21:E30)</f>
        <v>43069.68</v>
      </c>
      <c r="F31" s="38">
        <f>SUM(F21:F30)</f>
        <v>0</v>
      </c>
      <c r="G31" s="38">
        <f>SUM(G21:G30)</f>
        <v>-5</v>
      </c>
      <c r="H31" s="38">
        <f t="shared" si="1"/>
        <v>685518.5</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8482.7199999999993</v>
      </c>
      <c r="E34" s="73">
        <f>'DOE25'!H35</f>
        <v>0</v>
      </c>
      <c r="F34" s="73">
        <f>'DOE25'!I35</f>
        <v>0</v>
      </c>
      <c r="G34" s="23" t="s">
        <v>288</v>
      </c>
      <c r="H34" s="13">
        <f t="shared" ref="H34:H51" si="2">SUM(C34:G34)</f>
        <v>8482.7199999999993</v>
      </c>
      <c r="I34" s="90"/>
    </row>
    <row r="35" spans="1:9" x14ac:dyDescent="0.2">
      <c r="A35" s="1" t="s">
        <v>846</v>
      </c>
      <c r="B35" s="6">
        <v>752</v>
      </c>
      <c r="C35" s="73">
        <f>'DOE25'!F36</f>
        <v>227582.73</v>
      </c>
      <c r="D35" s="73">
        <f>'DOE25'!G36</f>
        <v>0</v>
      </c>
      <c r="E35" s="73">
        <f>'DOE25'!H36</f>
        <v>0</v>
      </c>
      <c r="F35" s="73">
        <f>'DOE25'!I36</f>
        <v>0</v>
      </c>
      <c r="G35" s="23" t="s">
        <v>288</v>
      </c>
      <c r="H35" s="13">
        <f t="shared" si="2"/>
        <v>227582.73</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483628.05</v>
      </c>
      <c r="E42" s="73">
        <f>'DOE25'!H43</f>
        <v>0</v>
      </c>
      <c r="F42" s="73">
        <f>'DOE25'!I43</f>
        <v>0</v>
      </c>
      <c r="G42" s="73">
        <f>'DOE25'!J43</f>
        <v>0</v>
      </c>
      <c r="H42" s="13">
        <f t="shared" si="2"/>
        <v>483628.05</v>
      </c>
      <c r="I42" s="90"/>
    </row>
    <row r="43" spans="1:9" x14ac:dyDescent="0.2">
      <c r="A43" s="1" t="s">
        <v>859</v>
      </c>
      <c r="B43" s="6">
        <v>755</v>
      </c>
      <c r="C43" s="73">
        <f>'DOE25'!F44</f>
        <v>425000</v>
      </c>
      <c r="D43" s="73">
        <f>'DOE25'!G44</f>
        <v>0</v>
      </c>
      <c r="E43" s="73">
        <f>'DOE25'!H44</f>
        <v>0</v>
      </c>
      <c r="F43" s="73">
        <f>'DOE25'!I44</f>
        <v>0</v>
      </c>
      <c r="G43" s="23" t="s">
        <v>288</v>
      </c>
      <c r="H43" s="13">
        <f t="shared" si="2"/>
        <v>425000</v>
      </c>
      <c r="I43" s="90"/>
    </row>
    <row r="44" spans="1:9" x14ac:dyDescent="0.2">
      <c r="A44" s="1" t="s">
        <v>860</v>
      </c>
      <c r="B44" s="6">
        <v>753</v>
      </c>
      <c r="C44" s="73">
        <f>'DOE25'!F45</f>
        <v>428456.46</v>
      </c>
      <c r="D44" s="73">
        <f>'DOE25'!G45</f>
        <v>0</v>
      </c>
      <c r="E44" s="73">
        <f>'DOE25'!H45</f>
        <v>0</v>
      </c>
      <c r="F44" s="73">
        <f>'DOE25'!I45</f>
        <v>0</v>
      </c>
      <c r="G44" s="73">
        <f>'DOE25'!J45</f>
        <v>0</v>
      </c>
      <c r="H44" s="13">
        <f t="shared" si="2"/>
        <v>428456.46</v>
      </c>
      <c r="I44" s="90"/>
    </row>
    <row r="45" spans="1:9" x14ac:dyDescent="0.2">
      <c r="A45" s="1" t="s">
        <v>876</v>
      </c>
      <c r="B45" s="6"/>
      <c r="C45" s="73">
        <f>'DOE25'!F46</f>
        <v>460000</v>
      </c>
      <c r="D45" s="23" t="s">
        <v>288</v>
      </c>
      <c r="E45" s="23" t="s">
        <v>288</v>
      </c>
      <c r="F45" s="23" t="s">
        <v>288</v>
      </c>
      <c r="G45" s="23" t="s">
        <v>288</v>
      </c>
      <c r="H45" s="13">
        <f t="shared" si="2"/>
        <v>460000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273327.62</v>
      </c>
      <c r="F47" s="73">
        <f>'DOE25'!I48</f>
        <v>0</v>
      </c>
      <c r="G47" s="73">
        <f>'DOE25'!J48</f>
        <v>466545.54</v>
      </c>
      <c r="H47" s="13">
        <f t="shared" si="2"/>
        <v>739873.15999999992</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658303.75</v>
      </c>
      <c r="D49" s="23" t="s">
        <v>288</v>
      </c>
      <c r="E49" s="23" t="s">
        <v>288</v>
      </c>
      <c r="F49" s="23" t="s">
        <v>288</v>
      </c>
      <c r="G49" s="23" t="s">
        <v>288</v>
      </c>
      <c r="H49" s="13">
        <f t="shared" si="2"/>
        <v>658303.75</v>
      </c>
      <c r="I49" s="90"/>
    </row>
    <row r="50" spans="1:9" ht="12.75" thickTop="1" thickBot="1" x14ac:dyDescent="0.25">
      <c r="A50" s="35" t="s">
        <v>880</v>
      </c>
      <c r="B50" s="44"/>
      <c r="C50" s="38">
        <f>SUM(C34:C49)</f>
        <v>2199342.94</v>
      </c>
      <c r="D50" s="38">
        <f>SUM(D34:D49)</f>
        <v>492110.76999999996</v>
      </c>
      <c r="E50" s="38">
        <f>SUM(E34:E49)</f>
        <v>273327.62</v>
      </c>
      <c r="F50" s="38">
        <f>SUM(F34:F49)</f>
        <v>0</v>
      </c>
      <c r="G50" s="38">
        <f>SUM(G34:G49)</f>
        <v>466545.54</v>
      </c>
      <c r="H50" s="38">
        <f t="shared" si="2"/>
        <v>3431326.87</v>
      </c>
      <c r="I50" s="90"/>
    </row>
    <row r="51" spans="1:9" ht="12" thickTop="1" x14ac:dyDescent="0.2">
      <c r="A51" s="35" t="s">
        <v>881</v>
      </c>
      <c r="B51" s="2"/>
      <c r="C51" s="38">
        <f>C50+C31</f>
        <v>3282177.38</v>
      </c>
      <c r="D51" s="38">
        <f>D50+D31</f>
        <v>51730.149999999965</v>
      </c>
      <c r="E51" s="38">
        <f>E50+E31</f>
        <v>316397.3</v>
      </c>
      <c r="F51" s="38">
        <f>F50+F31</f>
        <v>0</v>
      </c>
      <c r="G51" s="38">
        <f>G50+G31</f>
        <v>466540.54</v>
      </c>
      <c r="H51" s="38">
        <f t="shared" si="2"/>
        <v>4116845.3699999996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20717122.800000001</v>
      </c>
      <c r="D56" s="73">
        <f>'DOE25'!G60</f>
        <v>0</v>
      </c>
      <c r="E56" s="73">
        <f>'DOE25'!H60</f>
        <v>0</v>
      </c>
      <c r="F56" s="73">
        <f>'DOE25'!I60</f>
        <v>0</v>
      </c>
      <c r="G56" s="73">
        <f>'DOE25'!J60</f>
        <v>0</v>
      </c>
      <c r="H56" s="13">
        <f t="shared" ref="H56:H63" si="3">SUM(C56:G56)</f>
        <v>20717122.800000001</v>
      </c>
      <c r="I56"/>
    </row>
    <row r="57" spans="1:9" x14ac:dyDescent="0.2">
      <c r="A57" s="1" t="s">
        <v>164</v>
      </c>
      <c r="B57" s="6" t="s">
        <v>165</v>
      </c>
      <c r="C57" s="73">
        <f>'DOE25'!F79</f>
        <v>34592.71</v>
      </c>
      <c r="D57" s="23" t="s">
        <v>288</v>
      </c>
      <c r="E57" s="73">
        <f>'DOE25'!H79</f>
        <v>0</v>
      </c>
      <c r="F57" s="23" t="s">
        <v>288</v>
      </c>
      <c r="G57" s="23" t="s">
        <v>288</v>
      </c>
      <c r="H57" s="13">
        <f t="shared" si="3"/>
        <v>34592.71</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84854.1</v>
      </c>
      <c r="D59" s="73">
        <f>'DOE25'!G96</f>
        <v>0</v>
      </c>
      <c r="E59" s="73">
        <f>'DOE25'!H96</f>
        <v>0</v>
      </c>
      <c r="F59" s="73">
        <f>'DOE25'!I96</f>
        <v>0</v>
      </c>
      <c r="G59" s="73">
        <f>'DOE25'!J96</f>
        <v>34628.29</v>
      </c>
      <c r="H59" s="13">
        <f t="shared" si="3"/>
        <v>119482.39000000001</v>
      </c>
      <c r="I59"/>
    </row>
    <row r="60" spans="1:9" x14ac:dyDescent="0.2">
      <c r="A60" s="1" t="s">
        <v>170</v>
      </c>
      <c r="B60" s="22" t="s">
        <v>171</v>
      </c>
      <c r="C60" s="23" t="s">
        <v>288</v>
      </c>
      <c r="D60" s="73">
        <f>'DOE25'!G97</f>
        <v>537239.94999999995</v>
      </c>
      <c r="E60" s="23" t="s">
        <v>288</v>
      </c>
      <c r="F60" s="23" t="s">
        <v>288</v>
      </c>
      <c r="G60" s="23" t="s">
        <v>288</v>
      </c>
      <c r="H60" s="13">
        <f t="shared" si="3"/>
        <v>537239.94999999995</v>
      </c>
      <c r="I60"/>
    </row>
    <row r="61" spans="1:9" ht="12" thickBot="1" x14ac:dyDescent="0.25">
      <c r="A61" s="1" t="s">
        <v>172</v>
      </c>
      <c r="B61" s="22" t="s">
        <v>173</v>
      </c>
      <c r="C61" s="73">
        <f>SUM('DOE25'!F98:F110)</f>
        <v>25015.42</v>
      </c>
      <c r="D61" s="73">
        <f>SUM('DOE25'!G98:G110)</f>
        <v>0</v>
      </c>
      <c r="E61" s="73">
        <f>SUM('DOE25'!H98:H110)</f>
        <v>230986.63999999998</v>
      </c>
      <c r="F61" s="73">
        <f>SUM('DOE25'!I98:I110)</f>
        <v>0</v>
      </c>
      <c r="G61" s="73">
        <f>SUM('DOE25'!J98:J110)</f>
        <v>0</v>
      </c>
      <c r="H61" s="13">
        <f t="shared" si="3"/>
        <v>256002.06</v>
      </c>
      <c r="I61"/>
    </row>
    <row r="62" spans="1:9" ht="12.75" thickTop="1" thickBot="1" x14ac:dyDescent="0.25">
      <c r="A62" s="28" t="s">
        <v>174</v>
      </c>
      <c r="B62" s="6"/>
      <c r="C62" s="93">
        <f>SUM(C57:C61)</f>
        <v>144462.22999999998</v>
      </c>
      <c r="D62" s="93">
        <f>SUM(D57:D61)</f>
        <v>537239.94999999995</v>
      </c>
      <c r="E62" s="93">
        <f>SUM(E57:E61)</f>
        <v>230986.63999999998</v>
      </c>
      <c r="F62" s="93">
        <f>SUM(F57:F61)</f>
        <v>0</v>
      </c>
      <c r="G62" s="93">
        <f>SUM(G57:G61)</f>
        <v>34628.29</v>
      </c>
      <c r="H62" s="13">
        <f t="shared" si="3"/>
        <v>947317.11</v>
      </c>
      <c r="I62"/>
    </row>
    <row r="63" spans="1:9" ht="12" thickTop="1" x14ac:dyDescent="0.2">
      <c r="A63" s="28" t="s">
        <v>175</v>
      </c>
      <c r="B63" s="6"/>
      <c r="C63" s="21">
        <f>C56+C62</f>
        <v>20861585.030000001</v>
      </c>
      <c r="D63" s="21">
        <f>D56+D62</f>
        <v>537239.94999999995</v>
      </c>
      <c r="E63" s="21">
        <f>E56+E62</f>
        <v>230986.63999999998</v>
      </c>
      <c r="F63" s="21">
        <f>F56+F62</f>
        <v>0</v>
      </c>
      <c r="G63" s="21">
        <f>G56+G62</f>
        <v>34628.29</v>
      </c>
      <c r="H63" s="13">
        <f t="shared" si="3"/>
        <v>21664439.91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3394723.2</v>
      </c>
      <c r="D66" s="23" t="s">
        <v>288</v>
      </c>
      <c r="E66" s="23" t="s">
        <v>288</v>
      </c>
      <c r="F66" s="23" t="s">
        <v>288</v>
      </c>
      <c r="G66" s="23" t="s">
        <v>288</v>
      </c>
      <c r="H66" s="13">
        <f t="shared" ref="H66:H81" si="4">SUM(C66:G66)</f>
        <v>3394723.2</v>
      </c>
      <c r="I66"/>
    </row>
    <row r="67" spans="1:9" x14ac:dyDescent="0.2">
      <c r="A67" s="1" t="s">
        <v>767</v>
      </c>
      <c r="B67" s="6">
        <v>3112</v>
      </c>
      <c r="C67" s="73">
        <f>'DOE25'!F118</f>
        <v>1973551.2</v>
      </c>
      <c r="D67" s="23"/>
      <c r="E67" s="23"/>
      <c r="F67" s="23"/>
      <c r="G67" s="23"/>
      <c r="H67" s="13">
        <f t="shared" si="4"/>
        <v>1973551.2</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8032.55</v>
      </c>
      <c r="D69" s="73">
        <f>'DOE25'!G120</f>
        <v>0</v>
      </c>
      <c r="E69" s="73">
        <f>'DOE25'!H120</f>
        <v>0</v>
      </c>
      <c r="F69" s="73">
        <f>'DOE25'!I120</f>
        <v>0</v>
      </c>
      <c r="G69" s="73">
        <f>'DOE25'!J120</f>
        <v>0</v>
      </c>
      <c r="H69" s="13">
        <f t="shared" si="4"/>
        <v>8032.55</v>
      </c>
      <c r="I69"/>
    </row>
    <row r="70" spans="1:9" ht="12" thickTop="1" x14ac:dyDescent="0.2">
      <c r="A70" s="28" t="s">
        <v>252</v>
      </c>
      <c r="B70" s="2"/>
      <c r="C70" s="97">
        <f>SUM(C66:C69)</f>
        <v>5376306.9500000002</v>
      </c>
      <c r="D70" s="97">
        <f>D69</f>
        <v>0</v>
      </c>
      <c r="E70" s="97">
        <f>E69</f>
        <v>0</v>
      </c>
      <c r="F70" s="97">
        <f>F69</f>
        <v>0</v>
      </c>
      <c r="G70" s="97">
        <f>G69</f>
        <v>0</v>
      </c>
      <c r="H70" s="13">
        <f t="shared" si="4"/>
        <v>5376306.9500000002</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231361.95</v>
      </c>
      <c r="D72" s="23" t="s">
        <v>288</v>
      </c>
      <c r="E72" s="23" t="s">
        <v>288</v>
      </c>
      <c r="F72" s="73">
        <f>'DOE25'!I123</f>
        <v>0</v>
      </c>
      <c r="G72" s="23" t="s">
        <v>288</v>
      </c>
      <c r="H72" s="13">
        <f t="shared" si="4"/>
        <v>231361.95</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311030.18</v>
      </c>
      <c r="D75" s="23" t="s">
        <v>288</v>
      </c>
      <c r="E75" s="23" t="s">
        <v>288</v>
      </c>
      <c r="F75" s="23" t="s">
        <v>288</v>
      </c>
      <c r="G75" s="23" t="s">
        <v>288</v>
      </c>
      <c r="H75" s="13">
        <f t="shared" si="4"/>
        <v>311030.18</v>
      </c>
      <c r="I75"/>
    </row>
    <row r="76" spans="1:9" x14ac:dyDescent="0.2">
      <c r="A76" s="1" t="s">
        <v>257</v>
      </c>
      <c r="B76" s="6" t="s">
        <v>179</v>
      </c>
      <c r="C76" s="73">
        <f>SUM('DOE25'!F127:F130)</f>
        <v>9126.4</v>
      </c>
      <c r="D76" s="23" t="s">
        <v>288</v>
      </c>
      <c r="E76" s="73">
        <f>SUM('DOE25'!H127:H130)</f>
        <v>0</v>
      </c>
      <c r="F76" s="73">
        <f>SUM('DOE25'!I127:I130)</f>
        <v>0</v>
      </c>
      <c r="G76" s="23" t="s">
        <v>288</v>
      </c>
      <c r="H76" s="13">
        <f t="shared" si="4"/>
        <v>9126.4</v>
      </c>
      <c r="I76"/>
    </row>
    <row r="77" spans="1:9" ht="12" thickBot="1" x14ac:dyDescent="0.25">
      <c r="A77" s="1" t="s">
        <v>258</v>
      </c>
      <c r="B77" s="6" t="s">
        <v>180</v>
      </c>
      <c r="C77" s="73">
        <f>SUM('DOE25'!F131:F135)</f>
        <v>0</v>
      </c>
      <c r="D77" s="73">
        <f>SUM('DOE25'!G131:G135)</f>
        <v>16240.619999999999</v>
      </c>
      <c r="E77" s="73">
        <f>SUM('DOE25'!H131:H135)</f>
        <v>0</v>
      </c>
      <c r="F77" s="73">
        <f>SUM('DOE25'!I131:I135)</f>
        <v>0</v>
      </c>
      <c r="G77" s="73">
        <f>SUM('DOE25'!J131:J135)</f>
        <v>0</v>
      </c>
      <c r="H77" s="13">
        <f t="shared" si="4"/>
        <v>16240.619999999999</v>
      </c>
      <c r="I77"/>
    </row>
    <row r="78" spans="1:9" ht="12.75" thickTop="1" thickBot="1" x14ac:dyDescent="0.25">
      <c r="A78" s="28" t="s">
        <v>259</v>
      </c>
      <c r="B78" s="6"/>
      <c r="C78" s="93">
        <f>SUM(C72:C77)</f>
        <v>551518.53</v>
      </c>
      <c r="D78" s="93">
        <f>SUM(D72:D77)</f>
        <v>16240.619999999999</v>
      </c>
      <c r="E78" s="93">
        <f>SUM(E72:E77)</f>
        <v>0</v>
      </c>
      <c r="F78" s="93">
        <f>SUM(F72:F77)</f>
        <v>0</v>
      </c>
      <c r="G78" s="93">
        <f>SUM(G72:G77)</f>
        <v>0</v>
      </c>
      <c r="H78" s="13">
        <f t="shared" si="4"/>
        <v>567759.15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5927825.4800000004</v>
      </c>
      <c r="D81" s="93">
        <f>SUM(D79:D80)+D78+D70</f>
        <v>16240.619999999999</v>
      </c>
      <c r="E81" s="93">
        <f>SUM(E79:E80)+E78+E70</f>
        <v>0</v>
      </c>
      <c r="F81" s="93">
        <f>SUM(F79:F80)+F78+F70</f>
        <v>0</v>
      </c>
      <c r="G81" s="93">
        <f>SUM(G79:G80)+G78+G70</f>
        <v>0</v>
      </c>
      <c r="H81" s="93">
        <f t="shared" si="4"/>
        <v>5944066.1000000006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35625.480000000003</v>
      </c>
      <c r="E85" s="73">
        <f>'DOE25'!H147</f>
        <v>0</v>
      </c>
      <c r="F85" s="73">
        <f>'DOE25'!I147</f>
        <v>0</v>
      </c>
      <c r="G85" s="23" t="s">
        <v>288</v>
      </c>
      <c r="H85" s="13">
        <f t="shared" ref="H85:H104" si="5">SUM(C85:G85)</f>
        <v>35625.480000000003</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4234.45</v>
      </c>
      <c r="D88" s="252">
        <f>SUM('DOE25'!G153:G162)</f>
        <v>63102.53</v>
      </c>
      <c r="E88" s="252">
        <f>SUM('DOE25'!H153:H162)</f>
        <v>371659.95999999996</v>
      </c>
      <c r="F88" s="252">
        <f>SUM('DOE25'!I153:I162)</f>
        <v>0</v>
      </c>
      <c r="G88" s="23" t="s">
        <v>288</v>
      </c>
      <c r="H88" s="13">
        <f t="shared" si="5"/>
        <v>438996.93999999994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4234.45</v>
      </c>
      <c r="D91" s="94">
        <f>SUM(D85:D90)</f>
        <v>98728.010000000009</v>
      </c>
      <c r="E91" s="94">
        <f>SUM(E85:E90)</f>
        <v>371659.95999999996</v>
      </c>
      <c r="F91" s="94">
        <f>SUM(F85:F90)</f>
        <v>0</v>
      </c>
      <c r="G91" s="23" t="s">
        <v>288</v>
      </c>
      <c r="H91" s="13">
        <f t="shared" si="5"/>
        <v>474622.42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325000</v>
      </c>
      <c r="H96" s="13">
        <f t="shared" si="5"/>
        <v>325000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7192.4</v>
      </c>
      <c r="D100" s="73">
        <f>SUM('DOE25'!G187:G188)</f>
        <v>0</v>
      </c>
      <c r="E100" s="73">
        <f>SUM('DOE25'!H187:H188)</f>
        <v>0</v>
      </c>
      <c r="F100" s="73">
        <f>SUM('DOE25'!I187:I188)</f>
        <v>0</v>
      </c>
      <c r="G100" s="23" t="s">
        <v>288</v>
      </c>
      <c r="H100" s="13">
        <f t="shared" si="5"/>
        <v>7192.4</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7192.4</v>
      </c>
      <c r="D103" s="68">
        <f>SUM(D93:D102)</f>
        <v>0</v>
      </c>
      <c r="E103" s="68">
        <f>SUM(E93:E102)</f>
        <v>0</v>
      </c>
      <c r="F103" s="68">
        <f>SUM(F93:F102)</f>
        <v>0</v>
      </c>
      <c r="G103" s="68">
        <f>SUM(G93:G102)</f>
        <v>325000</v>
      </c>
      <c r="H103" s="68">
        <f t="shared" si="5"/>
        <v>332192.40000000002</v>
      </c>
    </row>
    <row r="104" spans="1:8" ht="12.75" thickTop="1" thickBot="1" x14ac:dyDescent="0.25">
      <c r="A104" s="32" t="s">
        <v>758</v>
      </c>
      <c r="C104" s="68">
        <f>C63+C81+C91+C103</f>
        <v>26800837.359999999</v>
      </c>
      <c r="D104" s="68">
        <f>D63+D81+D91+D103</f>
        <v>652208.57999999996</v>
      </c>
      <c r="E104" s="68">
        <f>E63+E81+E91+E103</f>
        <v>602646.6</v>
      </c>
      <c r="F104" s="68">
        <f>F63+F81+F91+F103</f>
        <v>0</v>
      </c>
      <c r="G104" s="68">
        <f>G63+G81+G103</f>
        <v>359628.29</v>
      </c>
      <c r="H104" s="68">
        <f t="shared" si="5"/>
        <v>28415320.829999998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9765171.3999999985</v>
      </c>
      <c r="D109" s="23" t="s">
        <v>288</v>
      </c>
      <c r="E109" s="73">
        <f>('DOE25'!L277)+('DOE25'!L296)+('DOE25'!L315)</f>
        <v>25685.760000000002</v>
      </c>
      <c r="F109" s="23" t="s">
        <v>288</v>
      </c>
      <c r="G109" s="23" t="s">
        <v>288</v>
      </c>
      <c r="H109" s="13">
        <f t="shared" ref="H109:H115" si="6">SUM(C109:G109)</f>
        <v>9790857.1599999983</v>
      </c>
    </row>
    <row r="110" spans="1:8" x14ac:dyDescent="0.2">
      <c r="A110" t="s">
        <v>198</v>
      </c>
      <c r="B110" s="31" t="s">
        <v>199</v>
      </c>
      <c r="C110" s="73">
        <f>('DOE25'!L199)+('DOE25'!L217)+('DOE25'!L235)</f>
        <v>4581809.53</v>
      </c>
      <c r="D110" s="23" t="s">
        <v>288</v>
      </c>
      <c r="E110" s="73">
        <f>('DOE25'!L278)+('DOE25'!L297)+('DOE25'!L316)</f>
        <v>255366.55</v>
      </c>
      <c r="F110" s="23" t="s">
        <v>288</v>
      </c>
      <c r="G110" s="23" t="s">
        <v>288</v>
      </c>
      <c r="H110" s="13">
        <f t="shared" si="6"/>
        <v>4837176.08</v>
      </c>
    </row>
    <row r="111" spans="1:8" x14ac:dyDescent="0.2">
      <c r="A111" t="s">
        <v>200</v>
      </c>
      <c r="B111" s="31" t="s">
        <v>165</v>
      </c>
      <c r="C111" s="73">
        <f>('DOE25'!L200)+('DOE25'!L218)+('DOE25'!L236)</f>
        <v>64780.18</v>
      </c>
      <c r="D111" s="23" t="s">
        <v>288</v>
      </c>
      <c r="E111" s="73">
        <f>('DOE25'!L279)+('DOE25'!L298)+('DOE25'!L317)</f>
        <v>0</v>
      </c>
      <c r="F111" s="23" t="s">
        <v>288</v>
      </c>
      <c r="G111" s="23" t="s">
        <v>288</v>
      </c>
      <c r="H111" s="13">
        <f t="shared" si="6"/>
        <v>64780.18</v>
      </c>
    </row>
    <row r="112" spans="1:8" x14ac:dyDescent="0.2">
      <c r="A112" t="s">
        <v>201</v>
      </c>
      <c r="B112" s="31" t="s">
        <v>167</v>
      </c>
      <c r="C112" s="73">
        <f>('DOE25'!L201)+('DOE25'!L219)+('DOE25'!L237)</f>
        <v>1054334.3600000001</v>
      </c>
      <c r="D112" s="23" t="s">
        <v>288</v>
      </c>
      <c r="E112" s="73">
        <f>+('DOE25'!L280)+('DOE25'!L299)+('DOE25'!L318)</f>
        <v>248350.01</v>
      </c>
      <c r="F112" s="23" t="s">
        <v>288</v>
      </c>
      <c r="G112" s="23" t="s">
        <v>288</v>
      </c>
      <c r="H112" s="13">
        <f t="shared" si="6"/>
        <v>1302684.3700000001</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15466095.469999999</v>
      </c>
      <c r="D115" s="68">
        <f>SUM(D109:D114)</f>
        <v>0</v>
      </c>
      <c r="E115" s="68">
        <f>SUM(E109:E114)</f>
        <v>529402.32000000007</v>
      </c>
      <c r="F115" s="68">
        <f>SUM(F109:F114)</f>
        <v>0</v>
      </c>
      <c r="G115" s="68">
        <f>SUM(G109:G114)</f>
        <v>0</v>
      </c>
      <c r="H115" s="68">
        <f t="shared" si="6"/>
        <v>15995497.789999999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2334479.92</v>
      </c>
      <c r="D118" s="23" t="s">
        <v>288</v>
      </c>
      <c r="E118" s="73">
        <f>+('DOE25'!L282)+('DOE25'!L301)+('DOE25'!L320)</f>
        <v>8313.67</v>
      </c>
      <c r="F118" s="23" t="s">
        <v>288</v>
      </c>
      <c r="G118" s="23" t="s">
        <v>288</v>
      </c>
      <c r="H118" s="13">
        <f t="shared" ref="H118:H145" si="7">SUM(C118:G118)</f>
        <v>2342793.59</v>
      </c>
    </row>
    <row r="119" spans="1:8" x14ac:dyDescent="0.2">
      <c r="A119" t="s">
        <v>208</v>
      </c>
      <c r="B119" s="31" t="s">
        <v>209</v>
      </c>
      <c r="C119" s="73">
        <f>('DOE25'!L204)+('DOE25'!L222)+('DOE25'!L240)</f>
        <v>925863.25</v>
      </c>
      <c r="D119" s="23" t="s">
        <v>288</v>
      </c>
      <c r="E119" s="73">
        <f>+('DOE25'!L283)+('DOE25'!L302)+('DOE25'!L321)</f>
        <v>30692</v>
      </c>
      <c r="F119" s="23" t="s">
        <v>288</v>
      </c>
      <c r="G119" s="23" t="s">
        <v>288</v>
      </c>
      <c r="H119" s="13">
        <f t="shared" si="7"/>
        <v>956555.25</v>
      </c>
    </row>
    <row r="120" spans="1:8" x14ac:dyDescent="0.2">
      <c r="A120" t="s">
        <v>210</v>
      </c>
      <c r="B120" s="31" t="s">
        <v>211</v>
      </c>
      <c r="C120" s="73">
        <f>('DOE25'!L205)+('DOE25'!L223)+('DOE25'!L241)</f>
        <v>1223176.8699999999</v>
      </c>
      <c r="D120" s="23" t="s">
        <v>288</v>
      </c>
      <c r="E120" s="73">
        <f>+('DOE25'!L284)+('DOE25'!L303)+('DOE25'!L322)</f>
        <v>0</v>
      </c>
      <c r="F120" s="23" t="s">
        <v>288</v>
      </c>
      <c r="G120" s="23" t="s">
        <v>288</v>
      </c>
      <c r="H120" s="13">
        <f t="shared" si="7"/>
        <v>1223176.8699999999</v>
      </c>
    </row>
    <row r="121" spans="1:8" x14ac:dyDescent="0.2">
      <c r="A121" t="s">
        <v>212</v>
      </c>
      <c r="B121" s="31" t="s">
        <v>213</v>
      </c>
      <c r="C121" s="73">
        <f>('DOE25'!L206)+('DOE25'!L224)+('DOE25'!L242)</f>
        <v>1530188.44</v>
      </c>
      <c r="D121" s="23" t="s">
        <v>288</v>
      </c>
      <c r="E121" s="73">
        <f>+('DOE25'!L285)+('DOE25'!L304)+('DOE25'!L323)</f>
        <v>0</v>
      </c>
      <c r="F121" s="23" t="s">
        <v>288</v>
      </c>
      <c r="G121" s="23" t="s">
        <v>288</v>
      </c>
      <c r="H121" s="13">
        <f t="shared" si="7"/>
        <v>1530188.44</v>
      </c>
    </row>
    <row r="122" spans="1:8" x14ac:dyDescent="0.2">
      <c r="A122" t="s">
        <v>214</v>
      </c>
      <c r="B122" s="31" t="s">
        <v>215</v>
      </c>
      <c r="C122" s="73">
        <f>('DOE25'!L207)+('DOE25'!L225)+('DOE25'!L243)</f>
        <v>6004.25</v>
      </c>
      <c r="D122" s="23" t="s">
        <v>288</v>
      </c>
      <c r="E122" s="73">
        <f>+('DOE25'!L286)+('DOE25'!L305)+('DOE25'!L324)</f>
        <v>0</v>
      </c>
      <c r="F122" s="23" t="s">
        <v>288</v>
      </c>
      <c r="G122" s="23" t="s">
        <v>288</v>
      </c>
      <c r="H122" s="13">
        <f t="shared" si="7"/>
        <v>6004.25</v>
      </c>
    </row>
    <row r="123" spans="1:8" x14ac:dyDescent="0.2">
      <c r="A123" t="s">
        <v>216</v>
      </c>
      <c r="B123" s="31" t="s">
        <v>217</v>
      </c>
      <c r="C123" s="73">
        <f>('DOE25'!L208)+('DOE25'!L226)+('DOE25'!L244)</f>
        <v>2042743.5099999998</v>
      </c>
      <c r="D123" s="23" t="s">
        <v>288</v>
      </c>
      <c r="E123" s="73">
        <f>+('DOE25'!L287)+('DOE25'!L306)+('DOE25'!L325)</f>
        <v>0</v>
      </c>
      <c r="F123" s="23" t="s">
        <v>288</v>
      </c>
      <c r="G123" s="23" t="s">
        <v>288</v>
      </c>
      <c r="H123" s="13">
        <f t="shared" si="7"/>
        <v>2042743.5099999998</v>
      </c>
    </row>
    <row r="124" spans="1:8" x14ac:dyDescent="0.2">
      <c r="A124" t="s">
        <v>218</v>
      </c>
      <c r="B124" s="31" t="s">
        <v>219</v>
      </c>
      <c r="C124" s="73">
        <f>('DOE25'!L209)+('DOE25'!L227)+('DOE25'!L245+'DOE25'!L255)</f>
        <v>1404385.38</v>
      </c>
      <c r="D124" s="23" t="s">
        <v>288</v>
      </c>
      <c r="E124" s="73">
        <f>+('DOE25'!L288)+('DOE25'!L307)+('DOE25'!L326)</f>
        <v>3927.13</v>
      </c>
      <c r="F124" s="23" t="s">
        <v>288</v>
      </c>
      <c r="G124" s="23" t="s">
        <v>288</v>
      </c>
      <c r="H124" s="13">
        <f t="shared" si="7"/>
        <v>1408312.5099999998</v>
      </c>
    </row>
    <row r="125" spans="1:8" x14ac:dyDescent="0.2">
      <c r="A125" t="s">
        <v>220</v>
      </c>
      <c r="B125" s="31" t="s">
        <v>221</v>
      </c>
      <c r="C125" s="73">
        <f>('DOE25'!L210)+('DOE25'!L228)+('DOE25'!L246)</f>
        <v>0</v>
      </c>
      <c r="D125" s="23" t="s">
        <v>288</v>
      </c>
      <c r="E125" s="73">
        <f>+('DOE25'!L289)+('DOE25'!L308)+('DOE25'!L327)</f>
        <v>271.39999999999998</v>
      </c>
      <c r="F125" s="23" t="s">
        <v>288</v>
      </c>
      <c r="G125" s="23" t="s">
        <v>288</v>
      </c>
      <c r="H125" s="13">
        <f t="shared" si="7"/>
        <v>271.39999999999998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832522.28</v>
      </c>
      <c r="E127" s="23" t="s">
        <v>288</v>
      </c>
      <c r="F127" s="23" t="s">
        <v>288</v>
      </c>
      <c r="G127" s="23" t="s">
        <v>288</v>
      </c>
      <c r="H127" s="13">
        <f t="shared" si="7"/>
        <v>832522.28</v>
      </c>
    </row>
    <row r="128" spans="1:8" ht="12.75" thickTop="1" thickBot="1" x14ac:dyDescent="0.25">
      <c r="A128" s="32" t="s">
        <v>226</v>
      </c>
      <c r="C128" s="68">
        <f>SUM(C118:C127)</f>
        <v>9466841.620000001</v>
      </c>
      <c r="D128" s="68">
        <f>SUM(D118:D127)</f>
        <v>832522.28</v>
      </c>
      <c r="E128" s="68">
        <f>SUM(E118:E127)</f>
        <v>43204.2</v>
      </c>
      <c r="F128" s="68">
        <f>SUM(F118:F127)</f>
        <v>0</v>
      </c>
      <c r="G128" s="68">
        <f>SUM(G118:G127)</f>
        <v>0</v>
      </c>
      <c r="H128" s="68">
        <f t="shared" si="7"/>
        <v>10342568.1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129185.75</v>
      </c>
      <c r="D130" s="23" t="s">
        <v>288</v>
      </c>
      <c r="E130" s="92">
        <f>'DOE25'!L337</f>
        <v>0</v>
      </c>
      <c r="F130" s="92">
        <f>SUM('DOE25'!L375:'DOE25'!L381)</f>
        <v>6499.6</v>
      </c>
      <c r="G130" s="23" t="s">
        <v>288</v>
      </c>
      <c r="H130" s="13">
        <f t="shared" si="7"/>
        <v>135685.35</v>
      </c>
    </row>
    <row r="131" spans="1:8" x14ac:dyDescent="0.2">
      <c r="A131" t="s">
        <v>229</v>
      </c>
      <c r="B131" s="31">
        <v>5110</v>
      </c>
      <c r="C131" s="73">
        <f>'DOE25'!L261</f>
        <v>887386.55999999994</v>
      </c>
      <c r="D131" s="23" t="s">
        <v>288</v>
      </c>
      <c r="E131" s="92">
        <f>'DOE25'!L342</f>
        <v>0</v>
      </c>
      <c r="F131" s="23" t="s">
        <v>288</v>
      </c>
      <c r="G131" s="23" t="s">
        <v>288</v>
      </c>
      <c r="H131" s="13">
        <f t="shared" si="7"/>
        <v>887386.55999999994</v>
      </c>
    </row>
    <row r="132" spans="1:8" x14ac:dyDescent="0.2">
      <c r="A132" t="s">
        <v>230</v>
      </c>
      <c r="B132" s="31">
        <v>5120</v>
      </c>
      <c r="C132" s="73">
        <f>'DOE25'!L262</f>
        <v>130767.64000000001</v>
      </c>
      <c r="D132" s="23" t="s">
        <v>288</v>
      </c>
      <c r="E132" s="92">
        <f>'DOE25'!L343</f>
        <v>0</v>
      </c>
      <c r="F132" s="23" t="s">
        <v>288</v>
      </c>
      <c r="G132" s="23" t="s">
        <v>288</v>
      </c>
      <c r="H132" s="13">
        <f t="shared" si="7"/>
        <v>130767.64000000001</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3000</v>
      </c>
      <c r="F134" s="73">
        <f>'DOE25'!K382</f>
        <v>0</v>
      </c>
      <c r="G134" s="73">
        <f>'DOE25'!K435</f>
        <v>0</v>
      </c>
      <c r="H134" s="13">
        <f t="shared" si="7"/>
        <v>3000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359628.29</v>
      </c>
      <c r="D139" s="23" t="s">
        <v>288</v>
      </c>
      <c r="E139" s="23" t="s">
        <v>288</v>
      </c>
      <c r="F139" s="23" t="s">
        <v>288</v>
      </c>
      <c r="G139" s="23" t="s">
        <v>288</v>
      </c>
      <c r="H139" s="13">
        <f t="shared" si="7"/>
        <v>359628.29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-34628.289999999979</v>
      </c>
      <c r="D141" s="23" t="s">
        <v>288</v>
      </c>
      <c r="E141" s="23" t="s">
        <v>288</v>
      </c>
      <c r="F141" s="23" t="s">
        <v>288</v>
      </c>
      <c r="G141" s="23" t="s">
        <v>288</v>
      </c>
      <c r="H141" s="13">
        <f t="shared" si="7"/>
        <v>-34628.289999999979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1472339.95</v>
      </c>
      <c r="D144" s="98">
        <f>SUM(D130:D143)</f>
        <v>0</v>
      </c>
      <c r="E144" s="98">
        <f>SUM(E130:E143)</f>
        <v>3000</v>
      </c>
      <c r="F144" s="98">
        <f>SUM(F130:F143)</f>
        <v>6499.6</v>
      </c>
      <c r="G144" s="98">
        <f>SUM(G130:G143)</f>
        <v>0</v>
      </c>
      <c r="H144" s="98">
        <f t="shared" si="7"/>
        <v>1481839.55</v>
      </c>
    </row>
    <row r="145" spans="1:9" ht="12.75" thickTop="1" thickBot="1" x14ac:dyDescent="0.25">
      <c r="A145" s="32" t="s">
        <v>244</v>
      </c>
      <c r="C145" s="68">
        <f>(C115+C128+C144)</f>
        <v>26405277.039999999</v>
      </c>
      <c r="D145" s="68">
        <f>(D115+D128+D144)</f>
        <v>832522.28</v>
      </c>
      <c r="E145" s="68">
        <f>(E115+E128+E144)</f>
        <v>575606.52</v>
      </c>
      <c r="F145" s="68">
        <f>(F115+F128+F144)</f>
        <v>6499.6</v>
      </c>
      <c r="G145" s="68">
        <f>(G115+G128+G144)</f>
        <v>0</v>
      </c>
      <c r="H145" s="68">
        <f t="shared" si="7"/>
        <v>27819905.440000001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10</v>
      </c>
      <c r="D151" s="110">
        <f>'DOE25'!H491</f>
        <v>15</v>
      </c>
      <c r="E151" s="110">
        <f>'DOE25'!I491</f>
        <v>0</v>
      </c>
      <c r="F151" s="110">
        <f>'DOE25'!J491</f>
        <v>0</v>
      </c>
      <c r="G151" s="23" t="s">
        <v>288</v>
      </c>
    </row>
    <row r="152" spans="1:9" x14ac:dyDescent="0.2">
      <c r="A152" s="21" t="s">
        <v>28</v>
      </c>
      <c r="B152" s="109" t="str">
        <f>'DOE25'!F492</f>
        <v>8/2004</v>
      </c>
      <c r="C152" s="109" t="str">
        <f>'DOE25'!G492</f>
        <v>7/2020</v>
      </c>
      <c r="D152" s="109" t="str">
        <f>'DOE25'!H492</f>
        <v>7/2022</v>
      </c>
      <c r="E152" s="109">
        <f>'DOE25'!I492</f>
        <v>0</v>
      </c>
      <c r="F152" s="109">
        <f>'DOE25'!J492</f>
        <v>0</v>
      </c>
      <c r="G152" s="23" t="s">
        <v>288</v>
      </c>
    </row>
    <row r="153" spans="1:9" x14ac:dyDescent="0.2">
      <c r="A153" s="21" t="s">
        <v>29</v>
      </c>
      <c r="B153" s="109" t="str">
        <f>'DOE25'!F493</f>
        <v>8/2024</v>
      </c>
      <c r="C153" s="109" t="str">
        <f>'DOE25'!G493</f>
        <v>8/2028</v>
      </c>
      <c r="D153" s="109" t="str">
        <f>'DOE25'!H493</f>
        <v>8/2036</v>
      </c>
      <c r="E153" s="109">
        <f>'DOE25'!I493</f>
        <v>0</v>
      </c>
      <c r="F153" s="109">
        <f>'DOE25'!J493</f>
        <v>0</v>
      </c>
      <c r="G153" s="23" t="s">
        <v>288</v>
      </c>
    </row>
    <row r="154" spans="1:9" x14ac:dyDescent="0.2">
      <c r="A154" s="21" t="s">
        <v>30</v>
      </c>
      <c r="B154" s="19">
        <f>'DOE25'!F494</f>
        <v>7703400</v>
      </c>
      <c r="C154" s="19">
        <f>'DOE25'!G494</f>
        <v>1553374.28</v>
      </c>
      <c r="D154" s="19">
        <f>'DOE25'!H494</f>
        <v>2886491</v>
      </c>
      <c r="E154" s="19">
        <f>'DOE25'!I494</f>
        <v>0</v>
      </c>
      <c r="F154" s="19">
        <f>'DOE25'!J494</f>
        <v>0</v>
      </c>
      <c r="G154" s="23" t="s">
        <v>288</v>
      </c>
    </row>
    <row r="155" spans="1:9" x14ac:dyDescent="0.2">
      <c r="A155" s="21" t="s">
        <v>31</v>
      </c>
      <c r="B155" s="19">
        <f>'DOE25'!F495</f>
        <v>4.54</v>
      </c>
      <c r="C155" s="19">
        <f>'DOE25'!G495</f>
        <v>2</v>
      </c>
      <c r="D155" s="19">
        <f>'DOE25'!H495</f>
        <v>2.93</v>
      </c>
      <c r="E155" s="19">
        <f>'DOE25'!I495</f>
        <v>0</v>
      </c>
      <c r="F155" s="19">
        <f>'DOE25'!J495</f>
        <v>0</v>
      </c>
      <c r="G155" s="23" t="s">
        <v>288</v>
      </c>
    </row>
    <row r="156" spans="1:9" x14ac:dyDescent="0.2">
      <c r="A156" s="21" t="s">
        <v>32</v>
      </c>
      <c r="B156" s="19">
        <f>'DOE25'!F496</f>
        <v>1155000</v>
      </c>
      <c r="C156" s="19">
        <f>'DOE25'!G496</f>
        <v>1047325.34</v>
      </c>
      <c r="D156" s="19">
        <f>'DOE25'!H496</f>
        <v>2658055.8199999998</v>
      </c>
      <c r="E156" s="19">
        <f>'DOE25'!I496</f>
        <v>0</v>
      </c>
      <c r="F156" s="19">
        <f>'DOE25'!J496</f>
        <v>0</v>
      </c>
      <c r="G156" s="96">
        <f>SUM(B156:F156)</f>
        <v>4860381.16</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565000</v>
      </c>
      <c r="C158" s="19">
        <f>'DOE25'!G498</f>
        <v>166028.1</v>
      </c>
      <c r="D158" s="19">
        <f>'DOE25'!H498</f>
        <v>156358.46</v>
      </c>
      <c r="E158" s="19">
        <f>'DOE25'!I498</f>
        <v>0</v>
      </c>
      <c r="F158" s="19">
        <f>'DOE25'!J498</f>
        <v>0</v>
      </c>
      <c r="G158" s="96">
        <f t="shared" si="8"/>
        <v>887386.55999999994</v>
      </c>
    </row>
    <row r="159" spans="1:9" x14ac:dyDescent="0.2">
      <c r="A159" s="21" t="s">
        <v>35</v>
      </c>
      <c r="B159" s="19">
        <f>'DOE25'!F499</f>
        <v>590000</v>
      </c>
      <c r="C159" s="19">
        <f>'DOE25'!G499</f>
        <v>881297.24</v>
      </c>
      <c r="D159" s="19">
        <f>'DOE25'!H499</f>
        <v>2501697.36</v>
      </c>
      <c r="E159" s="19">
        <f>'DOE25'!I499</f>
        <v>0</v>
      </c>
      <c r="F159" s="19">
        <f>'DOE25'!J499</f>
        <v>0</v>
      </c>
      <c r="G159" s="96">
        <f t="shared" si="8"/>
        <v>3972994.5999999996</v>
      </c>
    </row>
    <row r="160" spans="1:9" x14ac:dyDescent="0.2">
      <c r="A160" s="21" t="s">
        <v>36</v>
      </c>
      <c r="B160" s="19">
        <f>'DOE25'!F500</f>
        <v>7781</v>
      </c>
      <c r="C160" s="19">
        <f>'DOE25'!G500</f>
        <v>53575.789999999994</v>
      </c>
      <c r="D160" s="19">
        <f>'DOE25'!H500</f>
        <v>541688.37</v>
      </c>
      <c r="E160" s="19">
        <f>'DOE25'!I500</f>
        <v>0</v>
      </c>
      <c r="F160" s="19">
        <f>'DOE25'!J500</f>
        <v>0</v>
      </c>
      <c r="G160" s="96">
        <f t="shared" si="8"/>
        <v>603045.16</v>
      </c>
    </row>
    <row r="161" spans="1:7" x14ac:dyDescent="0.2">
      <c r="A161" s="21" t="s">
        <v>37</v>
      </c>
      <c r="B161" s="19">
        <f>'DOE25'!F501</f>
        <v>597781</v>
      </c>
      <c r="C161" s="19">
        <f>'DOE25'!G501</f>
        <v>934873.03</v>
      </c>
      <c r="D161" s="19">
        <f>'DOE25'!H501</f>
        <v>3043385.73</v>
      </c>
      <c r="E161" s="19">
        <f>'DOE25'!I501</f>
        <v>0</v>
      </c>
      <c r="F161" s="19">
        <f>'DOE25'!J501</f>
        <v>0</v>
      </c>
      <c r="G161" s="96">
        <f t="shared" si="8"/>
        <v>4576039.76</v>
      </c>
    </row>
    <row r="162" spans="1:7" x14ac:dyDescent="0.2">
      <c r="A162" s="21" t="s">
        <v>38</v>
      </c>
      <c r="B162" s="19">
        <f>'DOE25'!F502</f>
        <v>590000</v>
      </c>
      <c r="C162" s="19">
        <f>'DOE25'!G502</f>
        <v>169348.66</v>
      </c>
      <c r="D162" s="19">
        <f>'DOE25'!H502</f>
        <v>160931.94</v>
      </c>
      <c r="E162" s="19">
        <f>'DOE25'!I502</f>
        <v>0</v>
      </c>
      <c r="F162" s="19">
        <f>'DOE25'!J502</f>
        <v>0</v>
      </c>
      <c r="G162" s="96">
        <f t="shared" si="8"/>
        <v>920280.60000000009</v>
      </c>
    </row>
    <row r="163" spans="1:7" x14ac:dyDescent="0.2">
      <c r="A163" s="21" t="s">
        <v>39</v>
      </c>
      <c r="B163" s="19">
        <f>'DOE25'!F503</f>
        <v>7781</v>
      </c>
      <c r="C163" s="19">
        <f>'DOE25'!G503</f>
        <v>17625.939999999999</v>
      </c>
      <c r="D163" s="19">
        <f>'DOE25'!H503</f>
        <v>73174.649999999994</v>
      </c>
      <c r="E163" s="19">
        <f>'DOE25'!I503</f>
        <v>0</v>
      </c>
      <c r="F163" s="19">
        <f>'DOE25'!J503</f>
        <v>0</v>
      </c>
      <c r="G163" s="96">
        <f t="shared" si="8"/>
        <v>98581.59</v>
      </c>
    </row>
    <row r="164" spans="1:7" x14ac:dyDescent="0.2">
      <c r="A164" s="21" t="s">
        <v>246</v>
      </c>
      <c r="B164" s="19">
        <f>'DOE25'!F504</f>
        <v>597781</v>
      </c>
      <c r="C164" s="19">
        <f>'DOE25'!G504</f>
        <v>186974.6</v>
      </c>
      <c r="D164" s="19">
        <f>'DOE25'!H504</f>
        <v>234106.59</v>
      </c>
      <c r="E164" s="19">
        <f>'DOE25'!I504</f>
        <v>0</v>
      </c>
      <c r="F164" s="19">
        <f>'DOE25'!J504</f>
        <v>0</v>
      </c>
      <c r="G164" s="96">
        <f t="shared" si="8"/>
        <v>1018862.19</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Hollis-Brookline Cooperative</v>
      </c>
    </row>
    <row r="3" spans="1:4" x14ac:dyDescent="0.2">
      <c r="B3" s="136" t="s">
        <v>1792</v>
      </c>
    </row>
    <row r="4" spans="1:4" x14ac:dyDescent="0.2">
      <c r="B4" t="s">
        <v>61</v>
      </c>
      <c r="C4" s="128">
        <f>IF('DOE25'!F666+'DOE25'!F671=0,0,ROUND('DOE25'!F673,0))</f>
        <v>0</v>
      </c>
    </row>
    <row r="5" spans="1:4" x14ac:dyDescent="0.2">
      <c r="B5" t="s">
        <v>700</v>
      </c>
      <c r="C5" s="128">
        <f>IF('DOE25'!G666+'DOE25'!G671=0,0,ROUND('DOE25'!G673,0))</f>
        <v>19897</v>
      </c>
    </row>
    <row r="6" spans="1:4" x14ac:dyDescent="0.2">
      <c r="B6" t="s">
        <v>62</v>
      </c>
      <c r="C6" s="128">
        <f>IF('DOE25'!H666+'DOE25'!H671=0,0,ROUND('DOE25'!H673,0))</f>
        <v>21690</v>
      </c>
    </row>
    <row r="7" spans="1:4" x14ac:dyDescent="0.2">
      <c r="B7" t="s">
        <v>701</v>
      </c>
      <c r="C7" s="128">
        <f>IF('DOE25'!I666+'DOE25'!I671=0,0,ROUND('DOE25'!I673,0))</f>
        <v>21086</v>
      </c>
    </row>
    <row r="9" spans="1:4" x14ac:dyDescent="0.2">
      <c r="A9" s="135" t="s">
        <v>94</v>
      </c>
      <c r="B9" s="136" t="s">
        <v>1793</v>
      </c>
      <c r="C9" s="130" t="s">
        <v>720</v>
      </c>
      <c r="D9" s="130" t="s">
        <v>721</v>
      </c>
    </row>
    <row r="10" spans="1:4" x14ac:dyDescent="0.2">
      <c r="A10">
        <v>1100</v>
      </c>
      <c r="B10" t="s">
        <v>702</v>
      </c>
      <c r="C10" s="128">
        <f>ROUND('DOE25'!L198+'DOE25'!L216+'DOE25'!L234+'DOE25'!L277+'DOE25'!L296+'DOE25'!L315,0)</f>
        <v>9790857</v>
      </c>
      <c r="D10" s="131">
        <f>ROUND((C10/$C$28)*100,1)</f>
        <v>37.799999999999997</v>
      </c>
    </row>
    <row r="11" spans="1:4" x14ac:dyDescent="0.2">
      <c r="A11">
        <v>1200</v>
      </c>
      <c r="B11" t="s">
        <v>703</v>
      </c>
      <c r="C11" s="128">
        <f>ROUND('DOE25'!L199+'DOE25'!L217+'DOE25'!L235+'DOE25'!L278+'DOE25'!L297+'DOE25'!L316,0)</f>
        <v>4837176</v>
      </c>
      <c r="D11" s="131">
        <f>ROUND((C11/$C$28)*100,1)</f>
        <v>18.7</v>
      </c>
    </row>
    <row r="12" spans="1:4" x14ac:dyDescent="0.2">
      <c r="A12">
        <v>1300</v>
      </c>
      <c r="B12" t="s">
        <v>704</v>
      </c>
      <c r="C12" s="128">
        <f>ROUND('DOE25'!L200+'DOE25'!L218+'DOE25'!L236+'DOE25'!L279+'DOE25'!L298+'DOE25'!L317,0)</f>
        <v>64780</v>
      </c>
      <c r="D12" s="131">
        <f>ROUND((C12/$C$28)*100,1)</f>
        <v>0.2</v>
      </c>
    </row>
    <row r="13" spans="1:4" x14ac:dyDescent="0.2">
      <c r="A13">
        <v>1400</v>
      </c>
      <c r="B13" t="s">
        <v>705</v>
      </c>
      <c r="C13" s="128">
        <f>ROUND('DOE25'!L201+'DOE25'!L219+'DOE25'!L237+'DOE25'!L280+'DOE25'!L299+'DOE25'!L318,0)</f>
        <v>1302684</v>
      </c>
      <c r="D13" s="131">
        <f>ROUND((C13/$C$28)*100,1)</f>
        <v>5</v>
      </c>
    </row>
    <row r="14" spans="1:4" x14ac:dyDescent="0.2">
      <c r="D14" s="131"/>
    </row>
    <row r="15" spans="1:4" x14ac:dyDescent="0.2">
      <c r="A15">
        <v>2100</v>
      </c>
      <c r="B15" t="s">
        <v>706</v>
      </c>
      <c r="C15" s="128">
        <f>ROUND('DOE25'!L203+'DOE25'!L221+'DOE25'!L239+'DOE25'!L282+'DOE25'!L301+'DOE25'!L320,0)</f>
        <v>2342794</v>
      </c>
      <c r="D15" s="131">
        <f t="shared" ref="D15:D27" si="0">ROUND((C15/$C$28)*100,1)</f>
        <v>9</v>
      </c>
    </row>
    <row r="16" spans="1:4" x14ac:dyDescent="0.2">
      <c r="A16">
        <v>2200</v>
      </c>
      <c r="B16" t="s">
        <v>707</v>
      </c>
      <c r="C16" s="128">
        <f>ROUND('DOE25'!L204+'DOE25'!L222+'DOE25'!L240+'DOE25'!L283+'DOE25'!L302+'DOE25'!L321,0)</f>
        <v>956555</v>
      </c>
      <c r="D16" s="131">
        <f t="shared" si="0"/>
        <v>3.7</v>
      </c>
    </row>
    <row r="17" spans="1:4" x14ac:dyDescent="0.2">
      <c r="A17" s="132" t="s">
        <v>723</v>
      </c>
      <c r="B17" t="s">
        <v>738</v>
      </c>
      <c r="C17" s="128">
        <f>ROUND('DOE25'!L205+'DOE25'!L210+'DOE25'!L223+'DOE25'!L228+'DOE25'!L241+'DOE25'!L246+'DOE25'!L284+'DOE25'!L289+'DOE25'!L303+'DOE25'!L308+'DOE25'!L322+'DOE25'!L327,0)</f>
        <v>1223448</v>
      </c>
      <c r="D17" s="131">
        <f t="shared" si="0"/>
        <v>4.7</v>
      </c>
    </row>
    <row r="18" spans="1:4" x14ac:dyDescent="0.2">
      <c r="A18">
        <v>2400</v>
      </c>
      <c r="B18" t="s">
        <v>711</v>
      </c>
      <c r="C18" s="128">
        <f>ROUND('DOE25'!L206+'DOE25'!L224+'DOE25'!L242+'DOE25'!L285+'DOE25'!L304+'DOE25'!L323,0)</f>
        <v>1530188</v>
      </c>
      <c r="D18" s="131">
        <f t="shared" si="0"/>
        <v>5.9</v>
      </c>
    </row>
    <row r="19" spans="1:4" x14ac:dyDescent="0.2">
      <c r="A19">
        <v>2500</v>
      </c>
      <c r="B19" t="s">
        <v>708</v>
      </c>
      <c r="C19" s="128">
        <f>ROUND('DOE25'!L207+'DOE25'!L225+'DOE25'!L243+'DOE25'!L286+'DOE25'!L305+'DOE25'!L324,0)</f>
        <v>6004</v>
      </c>
      <c r="D19" s="131">
        <f t="shared" si="0"/>
        <v>0</v>
      </c>
    </row>
    <row r="20" spans="1:4" x14ac:dyDescent="0.2">
      <c r="A20">
        <v>2600</v>
      </c>
      <c r="B20" t="s">
        <v>709</v>
      </c>
      <c r="C20" s="128">
        <f>ROUND('DOE25'!L208+'DOE25'!L226+'DOE25'!L244+'DOE25'!L287+'DOE25'!L306+'DOE25'!L325,0)</f>
        <v>2042744</v>
      </c>
      <c r="D20" s="131">
        <f t="shared" si="0"/>
        <v>7.9</v>
      </c>
    </row>
    <row r="21" spans="1:4" x14ac:dyDescent="0.2">
      <c r="A21">
        <v>2700</v>
      </c>
      <c r="B21" t="s">
        <v>710</v>
      </c>
      <c r="C21" s="128">
        <f>ROUND('DOE25'!L209+'DOE25'!L227+'DOE25'!L245+'DOE25'!L288+'DOE25'!L307+'DOE25'!L326,0)</f>
        <v>1408313</v>
      </c>
      <c r="D21" s="131">
        <f t="shared" si="0"/>
        <v>5.4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130768</v>
      </c>
      <c r="D25" s="131">
        <f t="shared" si="0"/>
        <v>0.5</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295282.05000000005</v>
      </c>
      <c r="D27" s="131">
        <f t="shared" si="0"/>
        <v>1.1000000000000001</v>
      </c>
    </row>
    <row r="28" spans="1:4" x14ac:dyDescent="0.2">
      <c r="B28" s="135" t="s">
        <v>719</v>
      </c>
      <c r="C28" s="129">
        <f>SUM(C10:C27)</f>
        <v>25931593.050000001</v>
      </c>
      <c r="D28" s="133">
        <f>ROUND(SUM(D10:D27),0)</f>
        <v>100</v>
      </c>
    </row>
    <row r="29" spans="1:4" x14ac:dyDescent="0.2">
      <c r="A29">
        <v>4000</v>
      </c>
      <c r="B29" t="s">
        <v>724</v>
      </c>
      <c r="C29" s="128">
        <f>ROUND('DOE25'!L256+'DOE25'!L337+'DOE25'!L375+'DOE25'!L376+'DOE25'!L377+'DOE25'!L378+'DOE25'!L379+'DOE25'!L380+'DOE25'!L381,0)</f>
        <v>135685</v>
      </c>
    </row>
    <row r="30" spans="1:4" x14ac:dyDescent="0.2">
      <c r="B30" s="135" t="s">
        <v>725</v>
      </c>
      <c r="C30" s="129">
        <f>SUM(C28:C29)</f>
        <v>26067278.050000001</v>
      </c>
    </row>
    <row r="31" spans="1:4" x14ac:dyDescent="0.2">
      <c r="B31" s="32"/>
      <c r="C31" s="129"/>
    </row>
    <row r="32" spans="1:4" x14ac:dyDescent="0.2">
      <c r="A32">
        <v>5100</v>
      </c>
      <c r="B32" s="32" t="s">
        <v>726</v>
      </c>
      <c r="C32" s="129">
        <f>ROUND('DOE25'!L261+'DOE25'!L342,0)</f>
        <v>887387</v>
      </c>
    </row>
    <row r="34" spans="1:4" x14ac:dyDescent="0.2">
      <c r="A34" s="135" t="s">
        <v>94</v>
      </c>
      <c r="B34" s="136" t="s">
        <v>1794</v>
      </c>
      <c r="C34" s="130" t="s">
        <v>720</v>
      </c>
      <c r="D34" s="130" t="s">
        <v>721</v>
      </c>
    </row>
    <row r="35" spans="1:4" x14ac:dyDescent="0.2">
      <c r="A35">
        <v>1100</v>
      </c>
      <c r="B35" s="71" t="s">
        <v>727</v>
      </c>
      <c r="C35" s="128">
        <f>ROUND('DOE25'!F60+'DOE25'!G60+'DOE25'!H60+'DOE25'!I60+'DOE25'!J60,0)</f>
        <v>20717123</v>
      </c>
      <c r="D35" s="131">
        <f t="shared" ref="D35:D40" si="1">ROUND((C35/$C$41)*100,1)</f>
        <v>75.2</v>
      </c>
    </row>
    <row r="36" spans="1:4" x14ac:dyDescent="0.2">
      <c r="B36" s="71" t="s">
        <v>739</v>
      </c>
      <c r="C36" s="128">
        <f>SUM('DOE25'!F112:J112)-SUM('DOE25'!G97:G110)+('DOE25'!F175+'DOE25'!F176+'DOE25'!I175+'DOE25'!I176)-C35</f>
        <v>410076.96000000089</v>
      </c>
      <c r="D36" s="131">
        <f t="shared" si="1"/>
        <v>1.5</v>
      </c>
    </row>
    <row r="37" spans="1:4" x14ac:dyDescent="0.2">
      <c r="A37" s="132" t="s">
        <v>831</v>
      </c>
      <c r="B37" s="71" t="s">
        <v>728</v>
      </c>
      <c r="C37" s="128">
        <f>ROUND('DOE25'!F117+'DOE25'!F118,0)</f>
        <v>5368274</v>
      </c>
      <c r="D37" s="131">
        <f t="shared" si="1"/>
        <v>19.5</v>
      </c>
    </row>
    <row r="38" spans="1:4" x14ac:dyDescent="0.2">
      <c r="A38" s="132" t="s">
        <v>734</v>
      </c>
      <c r="B38" s="71" t="s">
        <v>729</v>
      </c>
      <c r="C38" s="128">
        <f>ROUND(SUM('DOE25'!F140:J140)-SUM('DOE25'!F117:F119),0)</f>
        <v>575792</v>
      </c>
      <c r="D38" s="131">
        <f t="shared" si="1"/>
        <v>2.1</v>
      </c>
    </row>
    <row r="39" spans="1:4" x14ac:dyDescent="0.2">
      <c r="A39">
        <v>4000</v>
      </c>
      <c r="B39" s="71" t="s">
        <v>730</v>
      </c>
      <c r="C39" s="128">
        <f>ROUND('DOE25'!F170+'DOE25'!G170+'DOE25'!H170+'DOE25'!I170,0)</f>
        <v>474622</v>
      </c>
      <c r="D39" s="131">
        <f t="shared" si="1"/>
        <v>1.7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27545887.960000001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Hollis-Brookline Cooperative</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30</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34</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f>IF('School Level Expenditures'!$B$2='School Tables'!L33,'School Tables'!S33,"")</f>
        <v>30</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f>IF('School Level Expenditures'!$B$2='School Tables'!W37,'School Tables'!AD37,"")</f>
        <v>34</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Metadata/LabelInfo.xml><?xml version="1.0" encoding="utf-8"?>
<clbl:labelList xmlns:clbl="http://schemas.microsoft.com/office/2020/mipLabelMetadata">
  <clbl:label id="{992deae9-1c4c-42c8-a310-5088af55ba74}" enabled="0" method="" siteId="{992deae9-1c4c-42c8-a310-5088af55ba7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2024-09-27T13:45:31Z</cp:lastPrinted>
  <dcterms:created xsi:type="dcterms:W3CDTF">1997-12-04T19:04:30Z</dcterms:created>
  <dcterms:modified xsi:type="dcterms:W3CDTF">2024-12-20T18:51:01Z</dcterms:modified>
</cp:coreProperties>
</file>