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7A89C99-25F8-4749-9703-FB4C485A33A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3" i="1" l="1"/>
  <c r="H542" i="1"/>
  <c r="H209" i="1"/>
  <c r="H227" i="1"/>
  <c r="H245" i="1"/>
  <c r="I593" i="1"/>
  <c r="H593" i="1"/>
  <c r="J593" i="1"/>
  <c r="F6" i="13" l="1"/>
  <c r="I605" i="1"/>
  <c r="H605" i="1"/>
  <c r="H226" i="1"/>
  <c r="H208" i="1"/>
  <c r="J208" i="1"/>
  <c r="J226" i="1"/>
  <c r="F14" i="13" l="1"/>
  <c r="F31" i="13"/>
  <c r="H527" i="1" l="1"/>
  <c r="F532" i="1"/>
  <c r="I529" i="1"/>
  <c r="I528" i="1"/>
  <c r="H528" i="1"/>
  <c r="G527" i="1"/>
  <c r="I527" i="1"/>
  <c r="F527" i="1"/>
  <c r="G528" i="1"/>
  <c r="F528" i="1"/>
  <c r="H534" i="1" l="1"/>
  <c r="H533" i="1"/>
  <c r="I533" i="1"/>
  <c r="H529" i="1"/>
  <c r="G524" i="1"/>
  <c r="F524" i="1"/>
  <c r="G523" i="1"/>
  <c r="F523" i="1"/>
  <c r="I532" i="1"/>
  <c r="H532" i="1"/>
  <c r="G522" i="1"/>
  <c r="F522" i="1"/>
  <c r="J533" i="1"/>
  <c r="J532" i="1"/>
  <c r="G534" i="1"/>
  <c r="G533" i="1"/>
  <c r="G532" i="1"/>
  <c r="F534" i="1"/>
  <c r="F533" i="1"/>
  <c r="C21" i="12" l="1"/>
  <c r="C20" i="12"/>
  <c r="C19" i="12"/>
  <c r="B20" i="12" l="1"/>
  <c r="B19" i="12"/>
  <c r="B21" i="12"/>
  <c r="C12" i="12"/>
  <c r="C10" i="12"/>
  <c r="C11" i="12"/>
  <c r="B12" i="12" l="1"/>
  <c r="B11" i="12"/>
  <c r="B10" i="12"/>
  <c r="K228" i="1" l="1"/>
  <c r="K210" i="1"/>
  <c r="I228" i="1"/>
  <c r="I210" i="1"/>
  <c r="H228" i="1"/>
  <c r="H210" i="1"/>
  <c r="G228" i="1"/>
  <c r="G210" i="1"/>
  <c r="F210" i="1"/>
  <c r="I226" i="1"/>
  <c r="I208" i="1"/>
  <c r="G226" i="1"/>
  <c r="G208" i="1"/>
  <c r="F226" i="1"/>
  <c r="F208" i="1"/>
  <c r="H224" i="1"/>
  <c r="H206" i="1"/>
  <c r="K223" i="1"/>
  <c r="K205" i="1"/>
  <c r="I223" i="1"/>
  <c r="I205" i="1"/>
  <c r="H223" i="1"/>
  <c r="H205" i="1"/>
  <c r="G223" i="1"/>
  <c r="G205" i="1"/>
  <c r="F223" i="1"/>
  <c r="F205" i="1"/>
  <c r="I222" i="1"/>
  <c r="I204" i="1"/>
  <c r="H222" i="1"/>
  <c r="H204" i="1"/>
  <c r="G222" i="1"/>
  <c r="G204" i="1"/>
  <c r="F222" i="1"/>
  <c r="F204" i="1"/>
  <c r="H221" i="1"/>
  <c r="H203" i="1"/>
  <c r="G221" i="1"/>
  <c r="G203" i="1"/>
  <c r="F221" i="1"/>
  <c r="F203" i="1"/>
  <c r="I217" i="1"/>
  <c r="I199" i="1"/>
  <c r="H217" i="1"/>
  <c r="H199" i="1"/>
  <c r="G235" i="1"/>
  <c r="G217" i="1"/>
  <c r="G199" i="1"/>
  <c r="F235" i="1"/>
  <c r="F217" i="1"/>
  <c r="F199" i="1"/>
  <c r="G216" i="1"/>
  <c r="G198" i="1"/>
  <c r="F216" i="1"/>
  <c r="F198" i="1"/>
  <c r="J228" i="1"/>
  <c r="J216" i="1"/>
  <c r="J210" i="1"/>
  <c r="J198" i="1"/>
  <c r="H198" i="1" l="1"/>
  <c r="K206" i="1"/>
  <c r="I206" i="1"/>
  <c r="G206" i="1"/>
  <c r="F206" i="1"/>
  <c r="K204" i="1"/>
  <c r="I203" i="1"/>
  <c r="I201" i="1"/>
  <c r="G201" i="1"/>
  <c r="F201" i="1"/>
  <c r="K199" i="1"/>
  <c r="I198" i="1"/>
  <c r="J204" i="1"/>
  <c r="J203" i="1"/>
  <c r="K224" i="1"/>
  <c r="I224" i="1"/>
  <c r="G224" i="1"/>
  <c r="F224" i="1"/>
  <c r="K222" i="1"/>
  <c r="J222" i="1"/>
  <c r="J221" i="1"/>
  <c r="I221" i="1"/>
  <c r="K219" i="1"/>
  <c r="J219" i="1"/>
  <c r="I219" i="1"/>
  <c r="H219" i="1"/>
  <c r="G219" i="1"/>
  <c r="F219" i="1"/>
  <c r="I216" i="1"/>
  <c r="H216" i="1"/>
  <c r="H239" i="1" l="1"/>
  <c r="H235" i="1"/>
  <c r="H234" i="1"/>
  <c r="H569" i="1" l="1"/>
  <c r="F569" i="1"/>
  <c r="H568" i="1"/>
  <c r="F568" i="1"/>
  <c r="F583" i="1"/>
  <c r="G583" i="1"/>
  <c r="H583" i="1"/>
  <c r="I596" i="1" l="1"/>
  <c r="H596" i="1"/>
  <c r="H306" i="1" l="1"/>
  <c r="H287" i="1"/>
  <c r="H302" i="1"/>
  <c r="H283" i="1"/>
  <c r="H297" i="1"/>
  <c r="H278" i="1"/>
  <c r="H277" i="1"/>
  <c r="F29"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E112" i="2" s="1"/>
  <c r="L301" i="1"/>
  <c r="L302" i="1"/>
  <c r="L303" i="1"/>
  <c r="L304" i="1"/>
  <c r="L305" i="1"/>
  <c r="L306" i="1"/>
  <c r="L307" i="1"/>
  <c r="G663" i="1" s="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I170" i="1"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C87" i="2"/>
  <c r="E87" i="2"/>
  <c r="F87" i="2"/>
  <c r="C89" i="2"/>
  <c r="D89" i="2"/>
  <c r="E89" i="2"/>
  <c r="F89" i="2"/>
  <c r="C90" i="2"/>
  <c r="H90" i="2" s="1"/>
  <c r="C93" i="2"/>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101" i="2" l="1"/>
  <c r="H97" i="2"/>
  <c r="H93" i="2"/>
  <c r="H87" i="2"/>
  <c r="H26" i="2"/>
  <c r="H22" i="2"/>
  <c r="H140" i="1"/>
  <c r="E13" i="13"/>
  <c r="C13" i="13" s="1"/>
  <c r="F85" i="2"/>
  <c r="H35" i="2"/>
  <c r="H13" i="2"/>
  <c r="H9" i="2"/>
  <c r="H38" i="2"/>
  <c r="H43" i="2"/>
  <c r="E124" i="2"/>
  <c r="H69" i="2"/>
  <c r="H30" i="2"/>
  <c r="H28" i="2"/>
  <c r="H25" i="2"/>
  <c r="H17" i="2"/>
  <c r="H15" i="2"/>
  <c r="H102" i="2"/>
  <c r="H100" i="2"/>
  <c r="H98" i="2"/>
  <c r="H89" i="2"/>
  <c r="H73" i="2"/>
  <c r="H23" i="2"/>
  <c r="I409" i="1"/>
  <c r="C32" i="10"/>
  <c r="D18" i="13"/>
  <c r="C18" i="13" s="1"/>
  <c r="C12" i="10"/>
  <c r="H99" i="2"/>
  <c r="H76" i="2"/>
  <c r="H58" i="2"/>
  <c r="D144" i="2"/>
  <c r="H79" i="2"/>
  <c r="H72" i="2"/>
  <c r="H34" i="2"/>
  <c r="H29" i="2"/>
  <c r="H132" i="2"/>
  <c r="H36" i="2"/>
  <c r="H44" i="2"/>
  <c r="H48" i="2"/>
  <c r="G646" i="1"/>
  <c r="G409" i="1"/>
  <c r="H646" i="1" s="1"/>
  <c r="H47" i="2"/>
  <c r="C125" i="2"/>
  <c r="H125" i="2" s="1"/>
  <c r="C120" i="2"/>
  <c r="H120" i="2" s="1"/>
  <c r="C119" i="2"/>
  <c r="C13" i="10"/>
  <c r="H112" i="2"/>
  <c r="K2" i="14"/>
  <c r="K3" i="14" s="1"/>
  <c r="K36" i="14"/>
  <c r="K37" i="14" s="1"/>
  <c r="G62" i="2"/>
  <c r="G63" i="2" s="1"/>
  <c r="H59" i="2"/>
  <c r="J652" i="1"/>
  <c r="D15" i="13"/>
  <c r="C15" i="13" s="1"/>
  <c r="G477" i="1"/>
  <c r="H624" i="1" s="1"/>
  <c r="J624" i="1" s="1"/>
  <c r="D29" i="13"/>
  <c r="C29" i="13" s="1"/>
  <c r="G662" i="1"/>
  <c r="D78" i="2"/>
  <c r="D81" i="2" s="1"/>
  <c r="H77" i="2"/>
  <c r="H61" i="2"/>
  <c r="H27" i="2"/>
  <c r="H11" i="2"/>
  <c r="H2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42" i="2" l="1"/>
  <c r="H122" i="2"/>
  <c r="H134" i="2"/>
  <c r="E144" i="2"/>
  <c r="H85" i="2"/>
  <c r="H57" i="2"/>
  <c r="H16" i="2"/>
  <c r="H103" i="2"/>
  <c r="J646" i="1"/>
  <c r="H119" i="2"/>
  <c r="I663" i="1"/>
  <c r="L572" i="1"/>
  <c r="H123" i="2"/>
  <c r="D51" i="2"/>
  <c r="H50" i="2"/>
  <c r="I662" i="1"/>
  <c r="D128" i="2"/>
  <c r="D145" i="2" s="1"/>
  <c r="H127" i="2"/>
  <c r="H91" i="2"/>
  <c r="H62" i="2"/>
  <c r="C81" i="2"/>
  <c r="H81" i="2" s="1"/>
  <c r="F194" i="1"/>
  <c r="G628" i="1" s="1"/>
  <c r="J628" i="1" s="1"/>
  <c r="H31" i="2"/>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<sst xmlns="http://schemas.openxmlformats.org/spreadsheetml/2006/main" count="6638" uniqueCount="1841">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</sst>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577" sqref="H57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1108</v>
      </c>
      <c r="B2">
        <f>INDEX('School Tables'!$AH$3:$AH$213,MATCH('DOE25'!A2,'School Tables'!$AJ$3:$AJ$213,0))</f>
        <v>261</v>
      </c>
      <c r="C2">
        <f>INDEX('School Tables'!$AI$3:$AI$213,MATCH('DOE25'!A2,'School Tables'!$AJ$3:$AJ$213,0))</f>
        <v>261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465547.34</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551499.74</v>
      </c>
      <c r="G12" s="18">
        <v>3776.56</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186266.13</v>
      </c>
      <c r="G13" s="18">
        <v>41178.6</v>
      </c>
      <c r="H13" s="18">
        <v>200654.93</v>
      </c>
      <c r="I13" s="18"/>
      <c r="J13" s="13">
        <f>SUM(I443)</f>
        <v>517086.77</v>
      </c>
      <c r="K13" s="23" t="s">
        <v>288</v>
      </c>
      <c r="L13" s="23" t="s">
        <v>288</v>
      </c>
      <c r="M13" s="8"/>
      <c r="N13" s="164"/>
    </row>
    <row r="14" spans="1:14" s="3" customFormat="1" ht="12.2" customHeight="1" x14ac:dyDescent="0.15">
      <c r="A14" s="1" t="s">
        <v>565</v>
      </c>
      <c r="B14" s="2" t="s">
        <v>289</v>
      </c>
      <c r="C14" s="6">
        <v>6</v>
      </c>
      <c r="D14" s="2" t="s">
        <v>428</v>
      </c>
      <c r="E14" s="6">
        <v>150</v>
      </c>
      <c r="F14" s="18">
        <v>5152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16764.68</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1208465.21</v>
      </c>
      <c r="G19" s="38">
        <f>SUM(G9:G18)</f>
        <v>61719.839999999997</v>
      </c>
      <c r="H19" s="38">
        <f>SUM(H9:H18)</f>
        <v>200654.93</v>
      </c>
      <c r="I19" s="38">
        <f>SUM(I9:I18)</f>
        <v>0</v>
      </c>
      <c r="J19" s="38">
        <f>SUM(J9:J18)</f>
        <v>517086.77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3776.56</v>
      </c>
      <c r="G22" s="18"/>
      <c r="H22" s="18">
        <v>200654.93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445001.26</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61742.48</v>
      </c>
      <c r="G28" s="18">
        <v>4303.33</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405299.73+1422.06</f>
        <v>406721.79</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16655.12</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917242.09</v>
      </c>
      <c r="G32" s="38">
        <f>SUM(G22:G31)</f>
        <v>20958.449999999997</v>
      </c>
      <c r="H32" s="38">
        <f>SUM(H22:H31)</f>
        <v>200654.93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40761.39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17524.060000000001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517086.77</v>
      </c>
      <c r="K48" s="23" t="s">
        <v>288</v>
      </c>
      <c r="L48" s="23" t="s">
        <v>288</v>
      </c>
      <c r="M48" s="8"/>
      <c r="N48" s="164"/>
    </row>
    <row r="49" spans="1:14" s="3" customFormat="1" ht="12.2" customHeight="1" x14ac:dyDescent="0.15">
      <c r="A49" s="1" t="s">
        <v>855</v>
      </c>
      <c r="B49" s="2" t="s">
        <v>289</v>
      </c>
      <c r="C49" s="6">
        <v>34</v>
      </c>
      <c r="D49" s="2"/>
      <c r="E49" s="6">
        <v>753</v>
      </c>
      <c r="F49" s="18">
        <v>23699.06</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291223.12</v>
      </c>
      <c r="G51" s="38">
        <f>SUM(G35:G50)</f>
        <v>40761.39</v>
      </c>
      <c r="H51" s="38">
        <f>SUM(H35:H50)</f>
        <v>0</v>
      </c>
      <c r="I51" s="38">
        <f>SUM(I35:I50)</f>
        <v>0</v>
      </c>
      <c r="J51" s="38">
        <f>SUM(J35:J50)</f>
        <v>517086.77</v>
      </c>
      <c r="K51" s="42" t="s">
        <v>288</v>
      </c>
      <c r="L51" s="42" t="s">
        <v>288</v>
      </c>
      <c r="N51" s="130"/>
    </row>
    <row r="52" spans="1:14" s="3" customFormat="1" ht="12.2" customHeight="1" thickTop="1" x14ac:dyDescent="0.15">
      <c r="A52" s="35" t="s">
        <v>455</v>
      </c>
      <c r="B52" s="36" t="s">
        <v>289</v>
      </c>
      <c r="C52" s="6">
        <v>37</v>
      </c>
      <c r="D52" s="36" t="s">
        <v>653</v>
      </c>
      <c r="E52" s="36"/>
      <c r="F52" s="38">
        <f>F51+F32</f>
        <v>1208465.21</v>
      </c>
      <c r="G52" s="38">
        <f>G51+G32</f>
        <v>61719.839999999997</v>
      </c>
      <c r="H52" s="38">
        <f>H51+H32</f>
        <v>200654.93</v>
      </c>
      <c r="I52" s="38">
        <f>I51+I32</f>
        <v>0</v>
      </c>
      <c r="J52" s="38">
        <f>J51+J32</f>
        <v>517086.77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26899409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26899409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6460.4</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6460.4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106790.02</v>
      </c>
      <c r="G96" s="18"/>
      <c r="H96" s="18"/>
      <c r="I96" s="18"/>
      <c r="J96" s="18">
        <v>58152.71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529040.98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17350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41031.24</v>
      </c>
      <c r="G109" s="18">
        <v>7037.88</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8753.98</v>
      </c>
      <c r="G110" s="18"/>
      <c r="H110" s="18">
        <v>24788.18</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173925.24000000002</v>
      </c>
      <c r="G111" s="38">
        <f>SUM(G96:G110)</f>
        <v>536078.86</v>
      </c>
      <c r="H111" s="38">
        <f>SUM(H96:H110)</f>
        <v>24788.18</v>
      </c>
      <c r="I111" s="38">
        <f>SUM(I96:I110)</f>
        <v>0</v>
      </c>
      <c r="J111" s="38">
        <f>SUM(J96:J110)</f>
        <v>58152.71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27079794.639999997</v>
      </c>
      <c r="G112" s="38">
        <f>G60+G111</f>
        <v>536078.86</v>
      </c>
      <c r="H112" s="38">
        <f>H60+H79+H94+H111</f>
        <v>24788.18</v>
      </c>
      <c r="I112" s="38">
        <f>I60+I111</f>
        <v>0</v>
      </c>
      <c r="J112" s="38">
        <f>J60+J111</f>
        <v>58152.71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5452497.7000000002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3785751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13608.52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9251857.2199999988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829017.35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1981.7</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9442.09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830999.04999999993</v>
      </c>
      <c r="G136" s="38">
        <f>SUM(G123:G135)</f>
        <v>9442.09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v>3420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10082856.27</v>
      </c>
      <c r="G140" s="38">
        <f>G121+SUM(G136:G137)</f>
        <v>9442.09</v>
      </c>
      <c r="H140" s="38">
        <f>H121+SUM(H136:H139)</f>
        <v>3420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266431.53999999998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161985.26999999999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190061.86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602852.59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5645.21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1694132.34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5645.21</v>
      </c>
      <c r="G163" s="38">
        <f>SUM(G150:G162)</f>
        <v>190061.86</v>
      </c>
      <c r="H163" s="38">
        <f>SUM(H150:H162)</f>
        <v>2725401.74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v>41176.58</v>
      </c>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5645.21</v>
      </c>
      <c r="G170" s="38">
        <f>G147+G163+SUM(G164:G169)</f>
        <v>190061.86</v>
      </c>
      <c r="H170" s="38">
        <f>H147+H163+SUM(H164:H169)</f>
        <v>2766578.3200000003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307487.02</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307487.02</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307487.02</v>
      </c>
      <c r="G193" s="38">
        <f>G184+SUM(G189:G192)</f>
        <v>0</v>
      </c>
      <c r="H193" s="38">
        <f>+H184+SUM(H189:H192)</f>
        <v>0</v>
      </c>
      <c r="I193" s="38">
        <f>I178+I184+SUM(I189:I192)</f>
        <v>0</v>
      </c>
      <c r="J193" s="38">
        <f>J184</f>
        <v>250000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37475783.140000001</v>
      </c>
      <c r="G194" s="38">
        <f>G112+G140+G170+G193</f>
        <v>735582.80999999994</v>
      </c>
      <c r="H194" s="38">
        <f>H112+H140+H170+H193</f>
        <v>2794786.5000000005</v>
      </c>
      <c r="I194" s="38">
        <f>I112+I140+I170+I193</f>
        <v>0</v>
      </c>
      <c r="J194" s="38">
        <f>J112+J140+J193</f>
        <v>308152.71000000002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3513930.55+124100.78</f>
        <v>3638031.3299999996</v>
      </c>
      <c r="G198" s="18">
        <f>1988473.29+75749.15</f>
        <v>2064222.44</v>
      </c>
      <c r="H198" s="18">
        <f>2394.5+33060.07</f>
        <v>35454.57</v>
      </c>
      <c r="I198" s="18">
        <f>93391.96</f>
        <v>93391.96</v>
      </c>
      <c r="J198" s="18">
        <f>6909.72</f>
        <v>6909.72</v>
      </c>
      <c r="K198" s="18"/>
      <c r="L198" s="13">
        <f>SUM(F198:K198)</f>
        <v>5838010.0199999996</v>
      </c>
      <c r="M198" s="8"/>
      <c r="N198" s="164"/>
    </row>
    <row r="199" spans="1:14" s="3" customFormat="1" ht="12.2" customHeight="1" x14ac:dyDescent="0.15">
      <c r="A199" s="1" t="s">
        <v>439</v>
      </c>
      <c r="B199" s="2" t="s">
        <v>341</v>
      </c>
      <c r="C199" s="2" t="s">
        <v>291</v>
      </c>
      <c r="D199" s="2" t="s">
        <v>431</v>
      </c>
      <c r="E199" s="6">
        <v>1200</v>
      </c>
      <c r="F199" s="18">
        <f>736472.22+120723.04</f>
        <v>857195.26</v>
      </c>
      <c r="G199" s="18">
        <f>415638.1+86087.64</f>
        <v>501725.74</v>
      </c>
      <c r="H199" s="18">
        <f>1320+893649.01+743.02+114883.96+14117.08+1373.12+2428.41</f>
        <v>1028514.6</v>
      </c>
      <c r="I199" s="18">
        <f>1615.64+454.27</f>
        <v>2069.91</v>
      </c>
      <c r="J199" s="18">
        <v>197.12</v>
      </c>
      <c r="K199" s="18">
        <f>475</f>
        <v>475</v>
      </c>
      <c r="L199" s="13">
        <f>SUM(F199:K199)</f>
        <v>2390177.6300000004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17181</f>
        <v>17181</v>
      </c>
      <c r="G201" s="18">
        <f>4451.02</f>
        <v>4451.0200000000004</v>
      </c>
      <c r="H201" s="18"/>
      <c r="I201" s="18">
        <f>432.97</f>
        <v>432.97</v>
      </c>
      <c r="J201" s="18"/>
      <c r="K201" s="18"/>
      <c r="L201" s="13">
        <f>SUM(F201:K201)</f>
        <v>22064.99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428034.78+45324.9</f>
        <v>473359.68000000005</v>
      </c>
      <c r="G203" s="18">
        <f>235261.39+32409.21</f>
        <v>267670.60000000003</v>
      </c>
      <c r="H203" s="18">
        <f>781929.89+150+250.46+4235.13</f>
        <v>786565.48</v>
      </c>
      <c r="I203" s="18">
        <f>4628.46</f>
        <v>4628.46</v>
      </c>
      <c r="J203" s="18">
        <f>374</f>
        <v>374</v>
      </c>
      <c r="K203" s="18"/>
      <c r="L203" s="13">
        <f t="shared" ref="L203:L209" si="0">SUM(F203:K203)</f>
        <v>1532598.22</v>
      </c>
      <c r="M203" s="8"/>
      <c r="N203" s="164"/>
    </row>
    <row r="204" spans="1:14" s="3" customFormat="1" ht="12.2" customHeight="1" x14ac:dyDescent="0.15">
      <c r="A204" s="1" t="s">
        <v>443</v>
      </c>
      <c r="B204" s="2" t="s">
        <v>341</v>
      </c>
      <c r="C204" s="2" t="s">
        <v>295</v>
      </c>
      <c r="D204" s="2" t="s">
        <v>431</v>
      </c>
      <c r="E204" s="6">
        <v>2200</v>
      </c>
      <c r="F204" s="18">
        <f>164573.07+61902.41</f>
        <v>226475.48</v>
      </c>
      <c r="G204" s="18">
        <f>117293.51+35376.61</f>
        <v>152670.12</v>
      </c>
      <c r="H204" s="18">
        <f>3755.67+1230.25+478.8</f>
        <v>5464.72</v>
      </c>
      <c r="I204" s="18">
        <f>22167.57+112.08</f>
        <v>22279.65</v>
      </c>
      <c r="J204" s="18">
        <f>10734.49</f>
        <v>10734.49</v>
      </c>
      <c r="K204" s="18">
        <f>462</f>
        <v>462</v>
      </c>
      <c r="L204" s="13">
        <f t="shared" si="0"/>
        <v>418086.45999999996</v>
      </c>
      <c r="M204" s="8"/>
      <c r="N204" s="164"/>
    </row>
    <row r="205" spans="1:14" s="3" customFormat="1" ht="12.2" customHeight="1" x14ac:dyDescent="0.15">
      <c r="A205" s="1" t="s">
        <v>444</v>
      </c>
      <c r="B205" s="2" t="s">
        <v>341</v>
      </c>
      <c r="C205" s="2" t="s">
        <v>296</v>
      </c>
      <c r="D205" s="2" t="s">
        <v>431</v>
      </c>
      <c r="E205" s="6">
        <v>2300</v>
      </c>
      <c r="F205" s="18">
        <f>10827.93</f>
        <v>10827.93</v>
      </c>
      <c r="G205" s="18">
        <f>1066.23</f>
        <v>1066.23</v>
      </c>
      <c r="H205" s="18">
        <f>28765.59+567189.81</f>
        <v>595955.4</v>
      </c>
      <c r="I205" s="18">
        <f>2275.8</f>
        <v>2275.8000000000002</v>
      </c>
      <c r="J205" s="18"/>
      <c r="K205" s="18">
        <f>4852.25</f>
        <v>4852.25</v>
      </c>
      <c r="L205" s="13">
        <f t="shared" si="0"/>
        <v>614977.6100000001</v>
      </c>
      <c r="M205" s="8"/>
      <c r="N205" s="164"/>
    </row>
    <row r="206" spans="1:14" s="3" customFormat="1" ht="12.2" customHeight="1" x14ac:dyDescent="0.15">
      <c r="A206" s="1" t="s">
        <v>445</v>
      </c>
      <c r="B206" s="2" t="s">
        <v>341</v>
      </c>
      <c r="C206" s="2" t="s">
        <v>297</v>
      </c>
      <c r="D206" s="2" t="s">
        <v>431</v>
      </c>
      <c r="E206" s="6">
        <v>2400</v>
      </c>
      <c r="F206" s="18">
        <f>561308.7</f>
        <v>561308.69999999995</v>
      </c>
      <c r="G206" s="18">
        <f>335143.59</f>
        <v>335143.59000000003</v>
      </c>
      <c r="H206" s="18">
        <f>30+7759.62+24481.36+289.54</f>
        <v>32560.52</v>
      </c>
      <c r="I206" s="18">
        <f>3873.5</f>
        <v>3873.5</v>
      </c>
      <c r="J206" s="18"/>
      <c r="K206" s="18">
        <f>3136</f>
        <v>3136</v>
      </c>
      <c r="L206" s="13">
        <f t="shared" si="0"/>
        <v>936022.31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274183.9+64733.76</f>
        <v>338917.66000000003</v>
      </c>
      <c r="G208" s="18">
        <f>164112.94+29695.53</f>
        <v>193808.47</v>
      </c>
      <c r="H208" s="18">
        <f>3197.12+28461+3765.15+30138.8+66300+275153.64+4055.65+3686.67+53043.73</f>
        <v>467801.76</v>
      </c>
      <c r="I208" s="18">
        <f>233082.14+718.11</f>
        <v>233800.25</v>
      </c>
      <c r="J208" s="18">
        <f>8683.6+28196.74+12076.22+20790</f>
        <v>69746.559999999998</v>
      </c>
      <c r="K208" s="18"/>
      <c r="L208" s="13">
        <f t="shared" si="0"/>
        <v>1304074.7000000002</v>
      </c>
      <c r="M208" s="8"/>
      <c r="N208" s="164"/>
    </row>
    <row r="209" spans="1:14" s="3" customFormat="1" ht="12.2" customHeight="1" x14ac:dyDescent="0.15">
      <c r="A209" s="1" t="s">
        <v>448</v>
      </c>
      <c r="B209" s="2" t="s">
        <v>341</v>
      </c>
      <c r="C209" s="2" t="s">
        <v>300</v>
      </c>
      <c r="D209" s="2" t="s">
        <v>431</v>
      </c>
      <c r="E209" s="6">
        <v>2700</v>
      </c>
      <c r="F209" s="18"/>
      <c r="G209" s="18"/>
      <c r="H209" s="18">
        <f>565807.21+6468.18+63083.33+63083.33+156000+117810.34</f>
        <v>972252.3899999999</v>
      </c>
      <c r="I209" s="18"/>
      <c r="J209" s="18"/>
      <c r="K209" s="18"/>
      <c r="L209" s="13">
        <f t="shared" si="0"/>
        <v>972252.3899999999</v>
      </c>
      <c r="M209" s="8"/>
      <c r="N209" s="164"/>
    </row>
    <row r="210" spans="1:14" s="3" customFormat="1" ht="12.2" customHeight="1" x14ac:dyDescent="0.15">
      <c r="A210" s="1" t="s">
        <v>449</v>
      </c>
      <c r="B210" s="2" t="s">
        <v>341</v>
      </c>
      <c r="C210" s="2" t="s">
        <v>343</v>
      </c>
      <c r="D210" s="2" t="s">
        <v>431</v>
      </c>
      <c r="E210" s="6">
        <v>2800</v>
      </c>
      <c r="F210" s="18">
        <f>120608.41+72760.05</f>
        <v>193368.46000000002</v>
      </c>
      <c r="G210" s="18">
        <f>51991.37+36542.49</f>
        <v>88533.86</v>
      </c>
      <c r="H210" s="18">
        <f>1226.93+478.8</f>
        <v>1705.73</v>
      </c>
      <c r="I210" s="18">
        <f>21537.28+2310.25+34981.43</f>
        <v>58828.959999999999</v>
      </c>
      <c r="J210" s="18">
        <f>3979.45+28798.72</f>
        <v>32778.17</v>
      </c>
      <c r="K210" s="18">
        <f>920.96</f>
        <v>920.96</v>
      </c>
      <c r="L210" s="13">
        <f>SUM(F210:K210)</f>
        <v>376136.14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6316665.5</v>
      </c>
      <c r="G212" s="38">
        <f t="shared" si="1"/>
        <v>3609292.07</v>
      </c>
      <c r="H212" s="38">
        <f t="shared" si="1"/>
        <v>3926275.1699999995</v>
      </c>
      <c r="I212" s="38">
        <f t="shared" si="1"/>
        <v>421581.46</v>
      </c>
      <c r="J212" s="38">
        <f t="shared" si="1"/>
        <v>120740.06</v>
      </c>
      <c r="K212" s="38">
        <f t="shared" si="1"/>
        <v>9846.2099999999991</v>
      </c>
      <c r="L212" s="38">
        <f t="shared" si="1"/>
        <v>14404400.470000003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2316053.73+62516.93</f>
        <v>2378570.66</v>
      </c>
      <c r="G216" s="18">
        <f>1239001.77+38159.35</f>
        <v>1277161.1200000001</v>
      </c>
      <c r="H216" s="18">
        <f>21983.7+18622.83</f>
        <v>40606.53</v>
      </c>
      <c r="I216" s="18">
        <f>56340.32</f>
        <v>56340.32</v>
      </c>
      <c r="J216" s="18">
        <f>24876.66</f>
        <v>24876.66</v>
      </c>
      <c r="K216" s="18"/>
      <c r="L216" s="13">
        <f>SUM(F216:K216)</f>
        <v>3777555.29</v>
      </c>
      <c r="M216" s="8"/>
      <c r="N216" s="164"/>
    </row>
    <row r="217" spans="1:14" s="3" customFormat="1" ht="12.2" customHeight="1" x14ac:dyDescent="0.15">
      <c r="A217" s="1" t="s">
        <v>439</v>
      </c>
      <c r="B217" s="2" t="s">
        <v>346</v>
      </c>
      <c r="C217" s="2" t="s">
        <v>291</v>
      </c>
      <c r="D217" s="2" t="s">
        <v>431</v>
      </c>
      <c r="E217" s="6">
        <v>1200</v>
      </c>
      <c r="F217" s="18">
        <f>419551.22+26559.07</f>
        <v>446110.29</v>
      </c>
      <c r="G217" s="18">
        <f>336466.13+18939.28</f>
        <v>355405.41000000003</v>
      </c>
      <c r="H217" s="18">
        <f>388687.21+193500.32+7111.61+691.72+1223.33</f>
        <v>591214.18999999994</v>
      </c>
      <c r="I217" s="18">
        <f>1120.79+228.84</f>
        <v>1349.6299999999999</v>
      </c>
      <c r="J217" s="18">
        <v>110.88</v>
      </c>
      <c r="K217" s="18"/>
      <c r="L217" s="13">
        <f>SUM(F217:K217)</f>
        <v>1394190.3999999997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88092</f>
        <v>88092</v>
      </c>
      <c r="G219" s="18">
        <f>20441.44</f>
        <v>20441.439999999999</v>
      </c>
      <c r="H219" s="18">
        <f>10726+376.38</f>
        <v>11102.38</v>
      </c>
      <c r="I219" s="18">
        <f>8453.83</f>
        <v>8453.83</v>
      </c>
      <c r="J219" s="18">
        <f>1321.9+3588</f>
        <v>4909.8999999999996</v>
      </c>
      <c r="K219" s="18">
        <f>4097</f>
        <v>4097</v>
      </c>
      <c r="L219" s="13">
        <f>SUM(F219:K219)</f>
        <v>137096.55000000002</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215875.48+22832.84</f>
        <v>238708.32</v>
      </c>
      <c r="G221" s="18">
        <f>151309.15+16326.45</f>
        <v>167635.6</v>
      </c>
      <c r="H221" s="18">
        <f>475105.03+476.2+2133.49</f>
        <v>477714.72000000003</v>
      </c>
      <c r="I221" s="18">
        <f>2198.15</f>
        <v>2198.15</v>
      </c>
      <c r="J221" s="18">
        <f>199</f>
        <v>199</v>
      </c>
      <c r="K221" s="18"/>
      <c r="L221" s="13">
        <f t="shared" ref="L221:L227" si="2">SUM(F221:K221)</f>
        <v>886455.79000000015</v>
      </c>
      <c r="M221" s="8"/>
      <c r="N221" s="164"/>
    </row>
    <row r="222" spans="1:14" s="3" customFormat="1" ht="12.2" customHeight="1" x14ac:dyDescent="0.15">
      <c r="A222" s="1" t="s">
        <v>443</v>
      </c>
      <c r="B222" s="2" t="s">
        <v>346</v>
      </c>
      <c r="C222" s="2" t="s">
        <v>295</v>
      </c>
      <c r="D222" s="2" t="s">
        <v>431</v>
      </c>
      <c r="E222" s="6">
        <v>2200</v>
      </c>
      <c r="F222" s="18">
        <f>25133.87+31183.92</f>
        <v>56317.789999999994</v>
      </c>
      <c r="G222" s="18">
        <f>7622.3+17821.3</f>
        <v>25443.599999999999</v>
      </c>
      <c r="H222" s="18">
        <f>1871.71+619.75+241.2</f>
        <v>2732.66</v>
      </c>
      <c r="I222" s="18">
        <f>15727.82+56.46</f>
        <v>15784.279999999999</v>
      </c>
      <c r="J222" s="18">
        <f>5021.41+272.12+89.95</f>
        <v>5383.48</v>
      </c>
      <c r="K222" s="18">
        <f>237</f>
        <v>237</v>
      </c>
      <c r="L222" s="13">
        <f t="shared" si="2"/>
        <v>105898.80999999998</v>
      </c>
      <c r="M222" s="8"/>
      <c r="N222" s="164"/>
    </row>
    <row r="223" spans="1:14" s="3" customFormat="1" ht="12.2" customHeight="1" x14ac:dyDescent="0.15">
      <c r="A223" s="1" t="s">
        <v>444</v>
      </c>
      <c r="B223" s="2" t="s">
        <v>346</v>
      </c>
      <c r="C223" s="2" t="s">
        <v>296</v>
      </c>
      <c r="D223" s="2" t="s">
        <v>431</v>
      </c>
      <c r="E223" s="6">
        <v>2300</v>
      </c>
      <c r="F223" s="18">
        <f>5454.67</f>
        <v>5454.67</v>
      </c>
      <c r="G223" s="18">
        <f>537.13</f>
        <v>537.13</v>
      </c>
      <c r="H223" s="18">
        <f>14490.94+285727.2</f>
        <v>300218.14</v>
      </c>
      <c r="I223" s="18">
        <f>1146.45</f>
        <v>1146.45</v>
      </c>
      <c r="J223" s="18"/>
      <c r="K223" s="18">
        <f>2444.37</f>
        <v>2444.37</v>
      </c>
      <c r="L223" s="13">
        <f t="shared" si="2"/>
        <v>309800.76</v>
      </c>
      <c r="M223" s="8"/>
      <c r="N223" s="164"/>
    </row>
    <row r="224" spans="1:14" s="3" customFormat="1" ht="12.2" customHeight="1" x14ac:dyDescent="0.15">
      <c r="A224" s="1" t="s">
        <v>445</v>
      </c>
      <c r="B224" s="2" t="s">
        <v>346</v>
      </c>
      <c r="C224" s="2" t="s">
        <v>297</v>
      </c>
      <c r="D224" s="2" t="s">
        <v>431</v>
      </c>
      <c r="E224" s="6">
        <v>2400</v>
      </c>
      <c r="F224" s="18">
        <f>275908.18</f>
        <v>275908.18</v>
      </c>
      <c r="G224" s="18">
        <f>164875.66</f>
        <v>164875.66</v>
      </c>
      <c r="H224" s="18">
        <f>4707.25+37067.39+145.86</f>
        <v>41920.5</v>
      </c>
      <c r="I224" s="18">
        <f>1917.86</f>
        <v>1917.86</v>
      </c>
      <c r="J224" s="18"/>
      <c r="K224" s="18">
        <f>1588</f>
        <v>1588</v>
      </c>
      <c r="L224" s="13">
        <f t="shared" si="2"/>
        <v>486210.19999999995</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f>177858.53+32610.24</f>
        <v>210468.77</v>
      </c>
      <c r="G226" s="18">
        <f>99037.37+14959.4</f>
        <v>113996.76999999999</v>
      </c>
      <c r="H226" s="18">
        <f>68214+306079.75+1857.19+26721.28</f>
        <v>402872.22</v>
      </c>
      <c r="I226" s="18">
        <f>186447.66+361.76</f>
        <v>186809.42</v>
      </c>
      <c r="J226" s="18">
        <f>1229.84+6792.88+15860.66+74167</f>
        <v>98050.38</v>
      </c>
      <c r="K226" s="18"/>
      <c r="L226" s="13">
        <f t="shared" si="2"/>
        <v>1012197.56</v>
      </c>
      <c r="M226" s="8"/>
      <c r="N226" s="164"/>
    </row>
    <row r="227" spans="1:14" s="3" customFormat="1" ht="12.2" customHeight="1" x14ac:dyDescent="0.15">
      <c r="A227" s="1" t="s">
        <v>448</v>
      </c>
      <c r="B227" s="2" t="s">
        <v>346</v>
      </c>
      <c r="C227" s="2" t="s">
        <v>300</v>
      </c>
      <c r="D227" s="2" t="s">
        <v>431</v>
      </c>
      <c r="E227" s="6">
        <v>2700</v>
      </c>
      <c r="F227" s="18"/>
      <c r="G227" s="18"/>
      <c r="H227" s="18">
        <f>286155.37+19446.32+20586.22+111000+63083.34</f>
        <v>500271.25</v>
      </c>
      <c r="I227" s="18"/>
      <c r="J227" s="18"/>
      <c r="K227" s="18"/>
      <c r="L227" s="13">
        <f t="shared" si="2"/>
        <v>500271.25</v>
      </c>
      <c r="M227" s="8"/>
      <c r="N227" s="164"/>
    </row>
    <row r="228" spans="1:14" s="3" customFormat="1" ht="12.2" customHeight="1" x14ac:dyDescent="0.15">
      <c r="A228" s="1" t="s">
        <v>449</v>
      </c>
      <c r="B228" s="2" t="s">
        <v>346</v>
      </c>
      <c r="C228" s="2" t="s">
        <v>343</v>
      </c>
      <c r="D228" s="2" t="s">
        <v>431</v>
      </c>
      <c r="E228" s="6">
        <v>2800</v>
      </c>
      <c r="F228" s="18">
        <v>36653.56</v>
      </c>
      <c r="G228" s="18">
        <f>18408.63</f>
        <v>18408.63</v>
      </c>
      <c r="H228" s="18">
        <f>618.08+241.2</f>
        <v>859.28</v>
      </c>
      <c r="I228" s="18">
        <f>2122.02+12114.72+17622.23</f>
        <v>31858.97</v>
      </c>
      <c r="J228" s="18">
        <f>2238.44+16199.28</f>
        <v>18437.72</v>
      </c>
      <c r="K228" s="18">
        <f>463.92</f>
        <v>463.92</v>
      </c>
      <c r="L228" s="13">
        <f>SUM(F228:K228)</f>
        <v>106682.08</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3736284.24</v>
      </c>
      <c r="G230" s="38">
        <f>SUM(G216:G229)</f>
        <v>2143905.36</v>
      </c>
      <c r="H230" s="38">
        <f>SUM(H216:H229)</f>
        <v>2369511.8699999996</v>
      </c>
      <c r="I230" s="38">
        <f>SUM(I216:I229)</f>
        <v>305858.91000000003</v>
      </c>
      <c r="J230" s="38">
        <f>SUM(J216:J229)</f>
        <v>151968.01999999999</v>
      </c>
      <c r="K230" s="38">
        <f t="shared" si="3"/>
        <v>8830.2899999999991</v>
      </c>
      <c r="L230" s="38">
        <f t="shared" si="3"/>
        <v>8716358.6899999995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8119228.57</f>
        <v>8119228.5700000003</v>
      </c>
      <c r="I234" s="18"/>
      <c r="J234" s="18"/>
      <c r="K234" s="18"/>
      <c r="L234" s="13">
        <f>SUM(F234:K234)</f>
        <v>8119228.5700000003</v>
      </c>
      <c r="M234" s="8"/>
      <c r="N234" s="164"/>
    </row>
    <row r="235" spans="1:14" s="3" customFormat="1" ht="12.2" customHeight="1" x14ac:dyDescent="0.15">
      <c r="A235" s="1" t="s">
        <v>439</v>
      </c>
      <c r="B235" s="2" t="s">
        <v>350</v>
      </c>
      <c r="C235" s="2" t="s">
        <v>291</v>
      </c>
      <c r="D235" s="2" t="s">
        <v>431</v>
      </c>
      <c r="E235" s="6">
        <v>1200</v>
      </c>
      <c r="F235" s="18">
        <f>141817.22+130242.13</f>
        <v>272059.34999999998</v>
      </c>
      <c r="G235" s="18">
        <f>70072.19+92875.7</f>
        <v>162947.89000000001</v>
      </c>
      <c r="H235" s="18">
        <f>830010.36+4304432.53</f>
        <v>5134442.8900000006</v>
      </c>
      <c r="I235" s="18"/>
      <c r="J235" s="18"/>
      <c r="K235" s="18"/>
      <c r="L235" s="13">
        <f>SUM(F235:K235)</f>
        <v>5569450.1300000008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f>82711.45+57595.57+20698.37+43252.64</f>
        <v>204258.02999999997</v>
      </c>
      <c r="I239" s="18"/>
      <c r="J239" s="18"/>
      <c r="K239" s="18"/>
      <c r="L239" s="13">
        <f t="shared" ref="L239:L245" si="4">SUM(F239:K239)</f>
        <v>204258.02999999997</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448743.64+1129000</f>
        <v>1577743.6400000001</v>
      </c>
      <c r="I245" s="18"/>
      <c r="J245" s="18"/>
      <c r="K245" s="18"/>
      <c r="L245" s="13">
        <f t="shared" si="4"/>
        <v>1577743.6400000001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272059.34999999998</v>
      </c>
      <c r="G248" s="38">
        <f t="shared" si="5"/>
        <v>162947.89000000001</v>
      </c>
      <c r="H248" s="38">
        <f t="shared" si="5"/>
        <v>15035673.130000001</v>
      </c>
      <c r="I248" s="38">
        <f t="shared" si="5"/>
        <v>0</v>
      </c>
      <c r="J248" s="38">
        <f t="shared" si="5"/>
        <v>0</v>
      </c>
      <c r="K248" s="38">
        <f t="shared" si="5"/>
        <v>0</v>
      </c>
      <c r="L248" s="38">
        <f t="shared" si="5"/>
        <v>15470680.370000001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10325009.09</v>
      </c>
      <c r="G258" s="38">
        <f t="shared" si="8"/>
        <v>5916145.3199999994</v>
      </c>
      <c r="H258" s="38">
        <f t="shared" si="8"/>
        <v>21331460.170000002</v>
      </c>
      <c r="I258" s="38">
        <f t="shared" si="8"/>
        <v>727440.37000000011</v>
      </c>
      <c r="J258" s="38">
        <f t="shared" si="8"/>
        <v>272708.07999999996</v>
      </c>
      <c r="K258" s="38">
        <f t="shared" si="8"/>
        <v>18676.5</v>
      </c>
      <c r="L258" s="38">
        <f t="shared" si="8"/>
        <v>38591439.530000001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v>
      </c>
      <c r="L267" s="13">
        <f t="shared" si="9"/>
        <v>250000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64031.8</v>
      </c>
      <c r="L269" s="13">
        <f t="shared" si="9"/>
        <v>64031.8</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314031.8</v>
      </c>
      <c r="L271" s="38">
        <f t="shared" si="9"/>
        <v>314031.8</v>
      </c>
      <c r="M271" s="8"/>
      <c r="N271" s="164"/>
    </row>
    <row r="272" spans="1:14" s="33" customFormat="1" ht="12.2" customHeight="1" thickTop="1" x14ac:dyDescent="0.2">
      <c r="A272" s="40" t="s">
        <v>464</v>
      </c>
      <c r="B272" s="37">
        <v>10</v>
      </c>
      <c r="C272" s="37">
        <v>18</v>
      </c>
      <c r="D272" s="36" t="s">
        <v>431</v>
      </c>
      <c r="E272" s="37"/>
      <c r="F272" s="39">
        <f t="shared" ref="F272:L272" si="11">F258+F271</f>
        <v>10325009.09</v>
      </c>
      <c r="G272" s="39">
        <f t="shared" si="11"/>
        <v>5916145.3199999994</v>
      </c>
      <c r="H272" s="39">
        <f t="shared" si="11"/>
        <v>21331460.170000002</v>
      </c>
      <c r="I272" s="39">
        <f t="shared" si="11"/>
        <v>727440.37000000011</v>
      </c>
      <c r="J272" s="39">
        <f t="shared" si="11"/>
        <v>272708.07999999996</v>
      </c>
      <c r="K272" s="39">
        <f t="shared" si="11"/>
        <v>332708.3</v>
      </c>
      <c r="L272" s="39">
        <f t="shared" si="11"/>
        <v>38905471.329999998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136814.93</v>
      </c>
      <c r="G277" s="18">
        <v>100570.58</v>
      </c>
      <c r="H277" s="18">
        <f>3420+3410.94</f>
        <v>6830.9400000000005</v>
      </c>
      <c r="I277" s="18">
        <v>174728.74</v>
      </c>
      <c r="J277" s="18">
        <v>8531.9500000000007</v>
      </c>
      <c r="K277" s="18"/>
      <c r="L277" s="13">
        <f>SUM(F277:K277)</f>
        <v>427477.14</v>
      </c>
      <c r="M277" s="8"/>
      <c r="N277" s="164"/>
    </row>
    <row r="278" spans="1:14" s="3" customFormat="1" ht="12.2" customHeight="1" x14ac:dyDescent="0.15">
      <c r="A278" s="1" t="s">
        <v>439</v>
      </c>
      <c r="B278" s="2" t="s">
        <v>357</v>
      </c>
      <c r="C278" s="2" t="s">
        <v>291</v>
      </c>
      <c r="D278" s="2" t="s">
        <v>431</v>
      </c>
      <c r="E278" s="6">
        <v>1200</v>
      </c>
      <c r="F278" s="18">
        <v>127311.34</v>
      </c>
      <c r="G278" s="18">
        <v>52760.800000000003</v>
      </c>
      <c r="H278" s="18">
        <f>174900.2+1011.25</f>
        <v>175911.45</v>
      </c>
      <c r="I278" s="18">
        <v>30630.33</v>
      </c>
      <c r="J278" s="18"/>
      <c r="K278" s="18"/>
      <c r="L278" s="13">
        <f>SUM(F278:K278)</f>
        <v>386613.92000000004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2708.14</v>
      </c>
      <c r="G282" s="18">
        <v>733.08</v>
      </c>
      <c r="H282" s="18">
        <v>903.07</v>
      </c>
      <c r="I282" s="18"/>
      <c r="J282" s="18"/>
      <c r="K282" s="18"/>
      <c r="L282" s="13">
        <f t="shared" ref="L282:L288" si="12">SUM(F282:K282)</f>
        <v>4344.29</v>
      </c>
      <c r="M282" s="8"/>
      <c r="N282" s="164"/>
    </row>
    <row r="283" spans="1:14" s="3" customFormat="1" ht="12.2" customHeight="1" x14ac:dyDescent="0.15">
      <c r="A283" s="1" t="s">
        <v>443</v>
      </c>
      <c r="B283" s="2" t="s">
        <v>357</v>
      </c>
      <c r="C283" s="2" t="s">
        <v>295</v>
      </c>
      <c r="D283" s="2" t="s">
        <v>431</v>
      </c>
      <c r="E283" s="6">
        <v>2200</v>
      </c>
      <c r="F283" s="18">
        <v>30123.57</v>
      </c>
      <c r="G283" s="18">
        <v>8070.49</v>
      </c>
      <c r="H283" s="18">
        <f>49550.61+2362.61</f>
        <v>51913.22</v>
      </c>
      <c r="I283" s="18">
        <v>4308.97</v>
      </c>
      <c r="J283" s="18"/>
      <c r="K283" s="18"/>
      <c r="L283" s="13">
        <f t="shared" si="12"/>
        <v>94416.25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36582.85</v>
      </c>
      <c r="L286" s="13">
        <f t="shared" si="12"/>
        <v>36582.85</v>
      </c>
      <c r="M286" s="8"/>
      <c r="N286" s="164"/>
    </row>
    <row r="287" spans="1:14" s="3" customFormat="1" ht="12.2" customHeight="1" x14ac:dyDescent="0.15">
      <c r="A287" s="1" t="s">
        <v>447</v>
      </c>
      <c r="B287" s="2" t="s">
        <v>357</v>
      </c>
      <c r="C287" s="2" t="s">
        <v>299</v>
      </c>
      <c r="D287" s="2" t="s">
        <v>431</v>
      </c>
      <c r="E287" s="6">
        <v>2600</v>
      </c>
      <c r="F287" s="18"/>
      <c r="G287" s="18"/>
      <c r="H287" s="18">
        <f>2074.8+1235485</f>
        <v>1237559.8</v>
      </c>
      <c r="I287" s="18">
        <v>12437.2</v>
      </c>
      <c r="J287" s="18"/>
      <c r="K287" s="18"/>
      <c r="L287" s="13">
        <f t="shared" si="12"/>
        <v>1249997</v>
      </c>
      <c r="M287" s="8"/>
      <c r="N287" s="164"/>
    </row>
    <row r="288" spans="1:14" s="3" customFormat="1" ht="12.2" customHeight="1" x14ac:dyDescent="0.15">
      <c r="A288" s="1" t="s">
        <v>448</v>
      </c>
      <c r="B288" s="2" t="s">
        <v>357</v>
      </c>
      <c r="C288" s="2" t="s">
        <v>300</v>
      </c>
      <c r="D288" s="2" t="s">
        <v>431</v>
      </c>
      <c r="E288" s="6">
        <v>2700</v>
      </c>
      <c r="F288" s="18"/>
      <c r="G288" s="18"/>
      <c r="H288" s="18">
        <v>30268.17</v>
      </c>
      <c r="I288" s="18"/>
      <c r="J288" s="18"/>
      <c r="K288" s="18"/>
      <c r="L288" s="13">
        <f t="shared" si="12"/>
        <v>30268.17</v>
      </c>
      <c r="M288" s="8"/>
      <c r="N288" s="164"/>
    </row>
    <row r="289" spans="1:14" s="3" customFormat="1" ht="12.2" customHeight="1" x14ac:dyDescent="0.15">
      <c r="A289" s="1" t="s">
        <v>449</v>
      </c>
      <c r="B289" s="2" t="s">
        <v>357</v>
      </c>
      <c r="C289" s="2" t="s">
        <v>343</v>
      </c>
      <c r="D289" s="2" t="s">
        <v>431</v>
      </c>
      <c r="E289" s="6">
        <v>2800</v>
      </c>
      <c r="F289" s="18"/>
      <c r="G289" s="18"/>
      <c r="H289" s="18">
        <v>757.71</v>
      </c>
      <c r="I289" s="18"/>
      <c r="J289" s="18">
        <v>41778.86</v>
      </c>
      <c r="K289" s="18"/>
      <c r="L289" s="13">
        <f>SUM(F289:K289)</f>
        <v>42536.57</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296957.98000000004</v>
      </c>
      <c r="G291" s="39">
        <f t="shared" si="13"/>
        <v>162134.94999999998</v>
      </c>
      <c r="H291" s="39">
        <f t="shared" si="13"/>
        <v>1504144.3599999999</v>
      </c>
      <c r="I291" s="39">
        <f t="shared" si="13"/>
        <v>222105.24000000002</v>
      </c>
      <c r="J291" s="39">
        <f t="shared" si="13"/>
        <v>50310.81</v>
      </c>
      <c r="K291" s="39">
        <f t="shared" si="13"/>
        <v>36582.85</v>
      </c>
      <c r="L291" s="38">
        <f t="shared" si="13"/>
        <v>2272236.19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68921.8</v>
      </c>
      <c r="G296" s="18">
        <v>50663.38</v>
      </c>
      <c r="H296" s="18">
        <v>1718.29</v>
      </c>
      <c r="I296" s="18">
        <v>88021.25</v>
      </c>
      <c r="J296" s="18">
        <v>4298.05</v>
      </c>
      <c r="K296" s="18"/>
      <c r="L296" s="13">
        <f>SUM(F296:K296)</f>
        <v>213622.76999999996</v>
      </c>
      <c r="M296" s="8"/>
      <c r="N296" s="164"/>
    </row>
    <row r="297" spans="1:14" s="3" customFormat="1" ht="12.2" customHeight="1" x14ac:dyDescent="0.15">
      <c r="A297" s="1" t="s">
        <v>439</v>
      </c>
      <c r="B297" s="2" t="s">
        <v>358</v>
      </c>
      <c r="C297" s="2" t="s">
        <v>291</v>
      </c>
      <c r="D297" s="2" t="s">
        <v>431</v>
      </c>
      <c r="E297" s="6">
        <v>1200</v>
      </c>
      <c r="F297" s="18">
        <v>64134.29</v>
      </c>
      <c r="G297" s="18">
        <v>26578.75</v>
      </c>
      <c r="H297" s="18">
        <f>88107.62+509.43</f>
        <v>88617.049999999988</v>
      </c>
      <c r="I297" s="18">
        <v>15430.32</v>
      </c>
      <c r="J297" s="18"/>
      <c r="K297" s="18"/>
      <c r="L297" s="13">
        <f>SUM(F297:K297)</f>
        <v>194760.41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2000</v>
      </c>
      <c r="G299" s="18"/>
      <c r="H299" s="18"/>
      <c r="I299" s="18"/>
      <c r="J299" s="18"/>
      <c r="K299" s="18"/>
      <c r="L299" s="13">
        <f>SUM(F299:K299)</f>
        <v>2000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1364.25</v>
      </c>
      <c r="G301" s="18">
        <v>369.29</v>
      </c>
      <c r="H301" s="18">
        <v>454.93</v>
      </c>
      <c r="I301" s="18"/>
      <c r="J301" s="18"/>
      <c r="K301" s="18"/>
      <c r="L301" s="13">
        <f t="shared" ref="L301:L307" si="14">SUM(F301:K301)</f>
        <v>2188.4699999999998</v>
      </c>
      <c r="M301" s="8"/>
      <c r="N301" s="164"/>
    </row>
    <row r="302" spans="1:14" s="3" customFormat="1" ht="12.2" customHeight="1" x14ac:dyDescent="0.15">
      <c r="A302" s="1" t="s">
        <v>443</v>
      </c>
      <c r="B302" s="2" t="s">
        <v>358</v>
      </c>
      <c r="C302" s="2" t="s">
        <v>295</v>
      </c>
      <c r="D302" s="2" t="s">
        <v>431</v>
      </c>
      <c r="E302" s="6">
        <v>2200</v>
      </c>
      <c r="F302" s="18">
        <v>15175.03</v>
      </c>
      <c r="G302" s="18">
        <v>4065.59</v>
      </c>
      <c r="H302" s="18">
        <f>24961.59+1190.19</f>
        <v>26151.78</v>
      </c>
      <c r="I302" s="18">
        <v>2170.6799999999998</v>
      </c>
      <c r="J302" s="18"/>
      <c r="K302" s="18"/>
      <c r="L302" s="13">
        <f t="shared" si="14"/>
        <v>47563.08</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v>18428.96</v>
      </c>
      <c r="L305" s="13">
        <f t="shared" si="14"/>
        <v>18428.96</v>
      </c>
      <c r="M305" s="8"/>
      <c r="N305" s="164"/>
    </row>
    <row r="306" spans="1:14" s="3" customFormat="1" ht="12.2" customHeight="1" x14ac:dyDescent="0.15">
      <c r="A306" s="1" t="s">
        <v>447</v>
      </c>
      <c r="B306" s="2" t="s">
        <v>358</v>
      </c>
      <c r="C306" s="2" t="s">
        <v>299</v>
      </c>
      <c r="D306" s="2" t="s">
        <v>431</v>
      </c>
      <c r="E306" s="6">
        <v>2600</v>
      </c>
      <c r="F306" s="18"/>
      <c r="G306" s="18"/>
      <c r="H306" s="18">
        <f>1045.2</f>
        <v>1045.2</v>
      </c>
      <c r="I306" s="18">
        <v>6265.36</v>
      </c>
      <c r="J306" s="18"/>
      <c r="K306" s="18"/>
      <c r="L306" s="13">
        <f t="shared" si="14"/>
        <v>7310.5599999999995</v>
      </c>
      <c r="M306" s="8"/>
      <c r="N306" s="164"/>
    </row>
    <row r="307" spans="1:14" s="3" customFormat="1" ht="12.2" customHeight="1" x14ac:dyDescent="0.15">
      <c r="A307" s="1" t="s">
        <v>448</v>
      </c>
      <c r="B307" s="2" t="s">
        <v>358</v>
      </c>
      <c r="C307" s="2" t="s">
        <v>300</v>
      </c>
      <c r="D307" s="2" t="s">
        <v>431</v>
      </c>
      <c r="E307" s="6">
        <v>2700</v>
      </c>
      <c r="F307" s="18"/>
      <c r="G307" s="18"/>
      <c r="H307" s="18">
        <v>15247.87</v>
      </c>
      <c r="I307" s="18"/>
      <c r="J307" s="18"/>
      <c r="K307" s="18"/>
      <c r="L307" s="13">
        <f t="shared" si="14"/>
        <v>15247.87</v>
      </c>
      <c r="M307" s="8"/>
      <c r="N307" s="164"/>
    </row>
    <row r="308" spans="1:14" s="3" customFormat="1" ht="12.2" customHeight="1" x14ac:dyDescent="0.15">
      <c r="A308" s="1" t="s">
        <v>449</v>
      </c>
      <c r="B308" s="2" t="s">
        <v>358</v>
      </c>
      <c r="C308" s="2" t="s">
        <v>343</v>
      </c>
      <c r="D308" s="2" t="s">
        <v>431</v>
      </c>
      <c r="E308" s="6">
        <v>2800</v>
      </c>
      <c r="F308" s="18"/>
      <c r="G308" s="18"/>
      <c r="H308" s="18">
        <v>381.7</v>
      </c>
      <c r="I308" s="18"/>
      <c r="J308" s="18">
        <v>21046.49</v>
      </c>
      <c r="K308" s="18"/>
      <c r="L308" s="13">
        <f>SUM(F308:K308)</f>
        <v>21428.190000000002</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151595.37</v>
      </c>
      <c r="G310" s="39">
        <f t="shared" si="15"/>
        <v>81677.009999999995</v>
      </c>
      <c r="H310" s="39">
        <f t="shared" si="15"/>
        <v>133616.81999999998</v>
      </c>
      <c r="I310" s="39">
        <f t="shared" si="15"/>
        <v>111887.61</v>
      </c>
      <c r="J310" s="39">
        <f t="shared" si="15"/>
        <v>25344.54</v>
      </c>
      <c r="K310" s="39">
        <f t="shared" si="15"/>
        <v>18428.96</v>
      </c>
      <c r="L310" s="38">
        <f t="shared" si="15"/>
        <v>522550.30999999994</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448553.35000000003</v>
      </c>
      <c r="G339" s="38">
        <f t="shared" si="20"/>
        <v>243811.95999999996</v>
      </c>
      <c r="H339" s="38">
        <f t="shared" si="20"/>
        <v>1637761.18</v>
      </c>
      <c r="I339" s="38">
        <f t="shared" si="20"/>
        <v>333992.85000000003</v>
      </c>
      <c r="J339" s="38">
        <f t="shared" si="20"/>
        <v>75655.350000000006</v>
      </c>
      <c r="K339" s="38">
        <f t="shared" si="20"/>
        <v>55011.81</v>
      </c>
      <c r="L339" s="38">
        <f t="shared" si="20"/>
        <v>2794786.5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448553.35000000003</v>
      </c>
      <c r="G353" s="38">
        <f>G339</f>
        <v>243811.95999999996</v>
      </c>
      <c r="H353" s="38">
        <f>H339</f>
        <v>1637761.18</v>
      </c>
      <c r="I353" s="38">
        <f>I339</f>
        <v>333992.85000000003</v>
      </c>
      <c r="J353" s="38">
        <f>J339</f>
        <v>75655.350000000006</v>
      </c>
      <c r="K353" s="38">
        <f>K339+K352</f>
        <v>55011.81</v>
      </c>
      <c r="L353" s="38">
        <f>L339+L352</f>
        <v>2794786.5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181847.88</v>
      </c>
      <c r="G359" s="18">
        <v>112814.65</v>
      </c>
      <c r="H359" s="18">
        <v>3324.85</v>
      </c>
      <c r="I359" s="18">
        <v>259502.74</v>
      </c>
      <c r="J359" s="18"/>
      <c r="K359" s="18">
        <v>643.69000000000005</v>
      </c>
      <c r="L359" s="13">
        <f>SUM(F359:K359)</f>
        <v>558133.80999999994</v>
      </c>
      <c r="M359" s="8"/>
      <c r="N359" s="164"/>
    </row>
    <row r="360" spans="1:22" s="3" customFormat="1" ht="12.2" customHeight="1" x14ac:dyDescent="0.15">
      <c r="A360" s="1" t="s">
        <v>542</v>
      </c>
      <c r="B360" s="2" t="s">
        <v>366</v>
      </c>
      <c r="C360" s="6">
        <v>2</v>
      </c>
      <c r="D360" s="2" t="s">
        <v>431</v>
      </c>
      <c r="E360" s="6"/>
      <c r="F360" s="18">
        <v>112857.66</v>
      </c>
      <c r="G360" s="18">
        <v>56835.88</v>
      </c>
      <c r="H360" s="18">
        <v>1653.95</v>
      </c>
      <c r="I360" s="18">
        <v>130726.96</v>
      </c>
      <c r="J360" s="18"/>
      <c r="K360" s="18">
        <v>324.26</v>
      </c>
      <c r="L360" s="13">
        <f>SUM(F360:K360)</f>
        <v>302398.71000000002</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294705.54000000004</v>
      </c>
      <c r="G363" s="38">
        <f t="shared" si="22"/>
        <v>169650.53</v>
      </c>
      <c r="H363" s="38">
        <f t="shared" si="22"/>
        <v>4978.8</v>
      </c>
      <c r="I363" s="38">
        <f t="shared" si="22"/>
        <v>390229.7</v>
      </c>
      <c r="J363" s="38">
        <f t="shared" si="22"/>
        <v>0</v>
      </c>
      <c r="K363" s="38">
        <f t="shared" si="22"/>
        <v>967.95</v>
      </c>
      <c r="L363" s="38">
        <f t="shared" si="22"/>
        <v>860532.52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217485.54</v>
      </c>
      <c r="G368" s="18">
        <v>109560.39</v>
      </c>
      <c r="H368" s="18"/>
      <c r="I368" s="13">
        <f>SUM(F368:H368)</f>
        <v>327045.93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42017.2</v>
      </c>
      <c r="G369" s="53">
        <v>21166.57</v>
      </c>
      <c r="H369" s="53"/>
      <c r="I369" s="13">
        <f>SUM(F369:H369)</f>
        <v>63183.77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259502.74</v>
      </c>
      <c r="G370" s="38">
        <f>SUM(G368:G369)</f>
        <v>130726.95999999999</v>
      </c>
      <c r="H370" s="38">
        <f>SUM(H368:H369)</f>
        <v>0</v>
      </c>
      <c r="I370" s="38">
        <f>SUM(I368:I369)</f>
        <v>390229.7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75000</v>
      </c>
      <c r="H397" s="18">
        <v>17291.88</v>
      </c>
      <c r="I397" s="18"/>
      <c r="J397" s="23" t="s">
        <v>288</v>
      </c>
      <c r="K397" s="23" t="s">
        <v>288</v>
      </c>
      <c r="L397" s="13">
        <f t="shared" si="26"/>
        <v>92291.88</v>
      </c>
      <c r="M397" s="8"/>
      <c r="N397" s="164"/>
    </row>
    <row r="398" spans="1:14" s="3" customFormat="1" ht="12.2" customHeight="1" x14ac:dyDescent="0.15">
      <c r="A398" s="62" t="s">
        <v>515</v>
      </c>
      <c r="B398" s="2" t="s">
        <v>381</v>
      </c>
      <c r="C398" s="6">
        <v>10</v>
      </c>
      <c r="D398" s="2" t="s">
        <v>432</v>
      </c>
      <c r="E398" s="6"/>
      <c r="F398" s="18"/>
      <c r="G398" s="18">
        <v>100000</v>
      </c>
      <c r="H398" s="18">
        <v>32309.23</v>
      </c>
      <c r="I398" s="18"/>
      <c r="J398" s="23" t="s">
        <v>288</v>
      </c>
      <c r="K398" s="23" t="s">
        <v>288</v>
      </c>
      <c r="L398" s="13">
        <f t="shared" si="26"/>
        <v>132309.23000000001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75000</v>
      </c>
      <c r="H400" s="18">
        <v>8551.6</v>
      </c>
      <c r="I400" s="18"/>
      <c r="J400" s="23" t="s">
        <v>288</v>
      </c>
      <c r="K400" s="23" t="s">
        <v>288</v>
      </c>
      <c r="L400" s="13">
        <f t="shared" si="26"/>
        <v>83551.600000000006</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250000</v>
      </c>
      <c r="H402" s="38">
        <f>SUM(H396:H401)</f>
        <v>58152.71</v>
      </c>
      <c r="I402" s="38">
        <f>SUM(I396:I401)</f>
        <v>0</v>
      </c>
      <c r="J402" s="42" t="s">
        <v>288</v>
      </c>
      <c r="K402" s="42" t="s">
        <v>288</v>
      </c>
      <c r="L402" s="38">
        <f>SUM(L396:L401)</f>
        <v>308152.71000000002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250000</v>
      </c>
      <c r="H409" s="38">
        <f>H394+H402+H408</f>
        <v>58152.71</v>
      </c>
      <c r="I409" s="38">
        <f>I394+I402+I408</f>
        <v>0</v>
      </c>
      <c r="J409" s="23" t="s">
        <v>288</v>
      </c>
      <c r="K409" s="23" t="s">
        <v>288</v>
      </c>
      <c r="L409" s="38">
        <f>L394+L402+L408</f>
        <v>308152.71000000002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261221</v>
      </c>
      <c r="I423" s="18"/>
      <c r="J423" s="18"/>
      <c r="K423" s="18"/>
      <c r="L423" s="13">
        <f t="shared" si="29"/>
        <v>261221</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v>99864</v>
      </c>
      <c r="K426" s="18"/>
      <c r="L426" s="13">
        <f t="shared" si="29"/>
        <v>99864</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261221</v>
      </c>
      <c r="I428" s="38">
        <f t="shared" si="30"/>
        <v>0</v>
      </c>
      <c r="J428" s="38">
        <f t="shared" si="30"/>
        <v>99864</v>
      </c>
      <c r="K428" s="38">
        <f t="shared" si="30"/>
        <v>0</v>
      </c>
      <c r="L428" s="38">
        <f t="shared" si="30"/>
        <v>361085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261221</v>
      </c>
      <c r="I435" s="38">
        <f t="shared" si="32"/>
        <v>0</v>
      </c>
      <c r="J435" s="38">
        <f t="shared" si="32"/>
        <v>99864</v>
      </c>
      <c r="K435" s="38">
        <f t="shared" si="32"/>
        <v>0</v>
      </c>
      <c r="L435" s="38">
        <f t="shared" si="32"/>
        <v>361085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517086.77</v>
      </c>
      <c r="H443" s="18"/>
      <c r="I443" s="13">
        <f t="shared" si="33"/>
        <v>517086.77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517086.77</v>
      </c>
      <c r="H447" s="13">
        <f>SUM(H440:H446)</f>
        <v>0</v>
      </c>
      <c r="I447" s="13">
        <f>SUM(I440:I446)</f>
        <v>517086.77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517086.77</v>
      </c>
      <c r="H460" s="18"/>
      <c r="I460" s="13">
        <f t="shared" si="34"/>
        <v>517086.77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517086.77</v>
      </c>
      <c r="H461" s="65">
        <f>SUM(H455:H460)</f>
        <v>0</v>
      </c>
      <c r="I461" s="65">
        <f>SUM(I455:I460)</f>
        <v>517086.77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517086.77</v>
      </c>
      <c r="H462" s="39">
        <f>H453+H461</f>
        <v>0</v>
      </c>
      <c r="I462" s="39">
        <f>I453+I461</f>
        <v>517086.77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1720911.31</v>
      </c>
      <c r="G466" s="18">
        <v>165711.1</v>
      </c>
      <c r="H466" s="18">
        <v>0</v>
      </c>
      <c r="I466" s="18">
        <v>0</v>
      </c>
      <c r="J466" s="18">
        <v>570019.06000000006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37475783.140000001</v>
      </c>
      <c r="G469" s="18">
        <v>735582.81</v>
      </c>
      <c r="H469" s="18">
        <v>2794786.5</v>
      </c>
      <c r="I469" s="18"/>
      <c r="J469" s="18">
        <v>308152.71000000002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37475783.140000001</v>
      </c>
      <c r="G471" s="19">
        <f>SUM(G469:G470)</f>
        <v>735582.81</v>
      </c>
      <c r="H471" s="19">
        <f>SUM(H469:H470)</f>
        <v>2794786.5</v>
      </c>
      <c r="I471" s="19">
        <f>SUM(I469:I470)</f>
        <v>0</v>
      </c>
      <c r="J471" s="19">
        <f>SUM(J469:J470)</f>
        <v>308152.71000000002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38905471.329999998</v>
      </c>
      <c r="G473" s="18">
        <v>860532.52</v>
      </c>
      <c r="H473" s="18">
        <v>2794786.5</v>
      </c>
      <c r="I473" s="18"/>
      <c r="J473" s="18">
        <v>361085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38905471.329999998</v>
      </c>
      <c r="G475" s="19">
        <f>SUM(G473:G474)</f>
        <v>860532.52</v>
      </c>
      <c r="H475" s="19">
        <f>SUM(H473:H474)</f>
        <v>2794786.5</v>
      </c>
      <c r="I475" s="19">
        <f>SUM(I473:I474)</f>
        <v>0</v>
      </c>
      <c r="J475" s="19">
        <f>SUM(J473:J474)</f>
        <v>361085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291223.12000000477</v>
      </c>
      <c r="G477" s="19">
        <f>(G466+G471)- G475</f>
        <v>40761.390000000014</v>
      </c>
      <c r="H477" s="19">
        <f>(H466+H471)- H475</f>
        <v>0</v>
      </c>
      <c r="I477" s="19">
        <f>(I466+I471)- I475</f>
        <v>0</v>
      </c>
      <c r="J477" s="19">
        <f>(J466+J471)- J475</f>
        <v>517086.77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513237.22</f>
        <v>513237.22</v>
      </c>
      <c r="G522" s="18">
        <f>270945.14</f>
        <v>270945.14</v>
      </c>
      <c r="H522" s="18"/>
      <c r="I522" s="18"/>
      <c r="J522" s="18"/>
      <c r="K522" s="18"/>
      <c r="L522" s="69">
        <f>SUM(F522:K522)</f>
        <v>784182.36</v>
      </c>
      <c r="N522" s="130"/>
    </row>
    <row r="523" spans="1:14" ht="12.2" customHeight="1" x14ac:dyDescent="0.2">
      <c r="A523" s="21" t="s">
        <v>634</v>
      </c>
      <c r="B523" s="22">
        <v>21</v>
      </c>
      <c r="C523" s="22">
        <v>2</v>
      </c>
      <c r="D523" s="2" t="s">
        <v>432</v>
      </c>
      <c r="E523" s="22"/>
      <c r="F523" s="18">
        <f>280145.72</f>
        <v>280145.71999999997</v>
      </c>
      <c r="G523" s="18">
        <f>263972.38</f>
        <v>263972.38</v>
      </c>
      <c r="H523" s="18"/>
      <c r="I523" s="18"/>
      <c r="J523" s="18"/>
      <c r="K523" s="18"/>
      <c r="L523" s="69">
        <f>SUM(F523:K523)</f>
        <v>544118.1</v>
      </c>
      <c r="N523" s="130"/>
    </row>
    <row r="524" spans="1:14" ht="12.2" customHeight="1" thickBot="1" x14ac:dyDescent="0.25">
      <c r="A524" s="21" t="s">
        <v>635</v>
      </c>
      <c r="B524" s="22">
        <v>21</v>
      </c>
      <c r="C524" s="22">
        <v>3</v>
      </c>
      <c r="D524" s="2" t="s">
        <v>432</v>
      </c>
      <c r="E524" s="22"/>
      <c r="F524" s="18">
        <f>138214.9</f>
        <v>138214.9</v>
      </c>
      <c r="G524" s="18">
        <f>69796.61</f>
        <v>69796.61</v>
      </c>
      <c r="H524" s="18"/>
      <c r="I524" s="18"/>
      <c r="J524" s="18"/>
      <c r="K524" s="18"/>
      <c r="L524" s="69">
        <f>SUM(F524:K524)</f>
        <v>208011.51</v>
      </c>
      <c r="N524" s="130"/>
    </row>
    <row r="525" spans="1:14" ht="12.2" customHeight="1" thickTop="1" x14ac:dyDescent="0.2">
      <c r="A525" s="97" t="s">
        <v>63</v>
      </c>
      <c r="B525" s="41">
        <v>21</v>
      </c>
      <c r="C525" s="41">
        <v>4</v>
      </c>
      <c r="D525" s="115" t="s">
        <v>432</v>
      </c>
      <c r="E525" s="41"/>
      <c r="F525" s="81">
        <f>SUM(F522:F524)</f>
        <v>931597.84</v>
      </c>
      <c r="G525" s="81">
        <f t="shared" ref="G525:L525" si="36">SUM(G522:G524)</f>
        <v>604714.13</v>
      </c>
      <c r="H525" s="81">
        <f t="shared" si="36"/>
        <v>0</v>
      </c>
      <c r="I525" s="81">
        <f t="shared" si="36"/>
        <v>0</v>
      </c>
      <c r="J525" s="81">
        <f t="shared" si="36"/>
        <v>0</v>
      </c>
      <c r="K525" s="81">
        <f t="shared" si="36"/>
        <v>0</v>
      </c>
      <c r="L525" s="70">
        <f t="shared" si="36"/>
        <v>1536311.97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46347.26+154010</f>
        <v>200357.26</v>
      </c>
      <c r="G527" s="18">
        <f>33140.25+104043.64+256.27</f>
        <v>137440.16</v>
      </c>
      <c r="H527" s="18">
        <f>6676.62+831842.47+4330.66+767018.49</f>
        <v>1609868.24</v>
      </c>
      <c r="I527" s="18">
        <f>1103.07</f>
        <v>1103.07</v>
      </c>
      <c r="J527" s="18"/>
      <c r="K527" s="18"/>
      <c r="L527" s="69">
        <f>SUM(F527:K527)</f>
        <v>1948768.7300000002</v>
      </c>
      <c r="M527" s="8"/>
      <c r="N527" s="164"/>
    </row>
    <row r="528" spans="1:14" s="3" customFormat="1" ht="12.2" customHeight="1" x14ac:dyDescent="0.15">
      <c r="A528" s="21" t="s">
        <v>634</v>
      </c>
      <c r="B528" s="22">
        <v>21</v>
      </c>
      <c r="C528" s="22">
        <v>6</v>
      </c>
      <c r="D528" s="2" t="s">
        <v>432</v>
      </c>
      <c r="E528" s="22"/>
      <c r="F528" s="18">
        <f>21810.48</f>
        <v>21810.48</v>
      </c>
      <c r="G528" s="18">
        <f>15595.41</f>
        <v>15595.41</v>
      </c>
      <c r="H528" s="18">
        <f>3264.12+359302.73+2037.96+356769.19</f>
        <v>721374</v>
      </c>
      <c r="I528" s="18">
        <f>495.47</f>
        <v>495.47</v>
      </c>
      <c r="J528" s="18"/>
      <c r="K528" s="18"/>
      <c r="L528" s="69">
        <f>SUM(F528:K528)</f>
        <v>759275.36</v>
      </c>
      <c r="M528" s="8"/>
      <c r="N528" s="164"/>
    </row>
    <row r="529" spans="1:14" s="3" customFormat="1" ht="12.2" customHeight="1" thickBot="1" x14ac:dyDescent="0.2">
      <c r="A529" s="21" t="s">
        <v>635</v>
      </c>
      <c r="B529" s="22">
        <v>21</v>
      </c>
      <c r="C529" s="22">
        <v>7</v>
      </c>
      <c r="D529" s="2" t="s">
        <v>432</v>
      </c>
      <c r="E529" s="22"/>
      <c r="F529" s="18"/>
      <c r="G529" s="18"/>
      <c r="H529" s="18">
        <f>4896.18+749009.07</f>
        <v>753905.25</v>
      </c>
      <c r="I529" s="18">
        <f>121546.58</f>
        <v>121546.58</v>
      </c>
      <c r="J529" s="18"/>
      <c r="K529" s="18"/>
      <c r="L529" s="69">
        <f>SUM(F529:K529)</f>
        <v>875451.83</v>
      </c>
      <c r="M529" s="8"/>
      <c r="N529" s="164"/>
    </row>
    <row r="530" spans="1:14" s="3" customFormat="1" ht="12.2" customHeight="1" thickTop="1" x14ac:dyDescent="0.15">
      <c r="A530" s="97" t="s">
        <v>65</v>
      </c>
      <c r="B530" s="41">
        <v>21</v>
      </c>
      <c r="C530" s="41">
        <v>8</v>
      </c>
      <c r="D530" s="115" t="s">
        <v>432</v>
      </c>
      <c r="E530" s="41"/>
      <c r="F530" s="70">
        <f>SUM(F527:F529)</f>
        <v>222167.74000000002</v>
      </c>
      <c r="G530" s="70">
        <f t="shared" ref="G530:L530" si="37">SUM(G527:G529)</f>
        <v>153035.57</v>
      </c>
      <c r="H530" s="70">
        <f t="shared" si="37"/>
        <v>3085147.49</v>
      </c>
      <c r="I530" s="70">
        <f t="shared" si="37"/>
        <v>123145.12</v>
      </c>
      <c r="J530" s="70">
        <f t="shared" si="37"/>
        <v>0</v>
      </c>
      <c r="K530" s="70">
        <f t="shared" si="37"/>
        <v>0</v>
      </c>
      <c r="L530" s="70">
        <f t="shared" si="37"/>
        <v>3583495.9200000004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122770.02</f>
        <v>122770.02</v>
      </c>
      <c r="G532" s="18">
        <f>88276.86</f>
        <v>88276.86</v>
      </c>
      <c r="H532" s="18">
        <f>1404.09+1643.28+743.02+91150</f>
        <v>94940.39</v>
      </c>
      <c r="I532" s="18">
        <f>464.51+478.84</f>
        <v>943.34999999999991</v>
      </c>
      <c r="J532" s="18">
        <f>209.44</f>
        <v>209.44</v>
      </c>
      <c r="K532" s="18"/>
      <c r="L532" s="69">
        <f>SUM(F532:K532)</f>
        <v>307140.06</v>
      </c>
      <c r="M532" s="8"/>
      <c r="N532" s="164"/>
    </row>
    <row r="533" spans="1:14" s="3" customFormat="1" ht="12.2" customHeight="1" x14ac:dyDescent="0.15">
      <c r="A533" s="21" t="s">
        <v>634</v>
      </c>
      <c r="B533" s="22">
        <v>21</v>
      </c>
      <c r="C533" s="22">
        <v>10</v>
      </c>
      <c r="D533" s="2" t="s">
        <v>432</v>
      </c>
      <c r="E533" s="22"/>
      <c r="F533" s="18">
        <f>60020.89</f>
        <v>60020.89</v>
      </c>
      <c r="G533" s="18">
        <f>43157.58</f>
        <v>43157.58</v>
      </c>
      <c r="H533" s="18">
        <f>660.75+803.38+169891.19</f>
        <v>171355.32</v>
      </c>
      <c r="I533" s="18">
        <f>218.6+150</f>
        <v>368.6</v>
      </c>
      <c r="J533" s="18">
        <f>98.56</f>
        <v>98.56</v>
      </c>
      <c r="K533" s="18"/>
      <c r="L533" s="69">
        <f>SUM(F533:K533)</f>
        <v>275000.95</v>
      </c>
      <c r="M533" s="8"/>
      <c r="N533" s="164"/>
    </row>
    <row r="534" spans="1:14" s="3" customFormat="1" ht="12.2" customHeight="1" thickBot="1" x14ac:dyDescent="0.2">
      <c r="A534" s="21" t="s">
        <v>635</v>
      </c>
      <c r="B534" s="22">
        <v>21</v>
      </c>
      <c r="C534" s="22">
        <v>11</v>
      </c>
      <c r="D534" s="2" t="s">
        <v>432</v>
      </c>
      <c r="E534" s="22"/>
      <c r="F534" s="18">
        <f>90031.34</f>
        <v>90031.34</v>
      </c>
      <c r="G534" s="18">
        <f>64736.37</f>
        <v>64736.37</v>
      </c>
      <c r="H534" s="18">
        <f>1205.07+4286460.98</f>
        <v>4287666.0500000007</v>
      </c>
      <c r="I534" s="18"/>
      <c r="J534" s="18"/>
      <c r="K534" s="18"/>
      <c r="L534" s="69">
        <f>SUM(F534:K534)</f>
        <v>4442433.7600000007</v>
      </c>
      <c r="M534" s="8"/>
      <c r="N534" s="164"/>
    </row>
    <row r="535" spans="1:14" s="3" customFormat="1" ht="12.2" customHeight="1" thickTop="1" x14ac:dyDescent="0.15">
      <c r="A535" s="97" t="s">
        <v>67</v>
      </c>
      <c r="B535" s="41">
        <v>21</v>
      </c>
      <c r="C535" s="41">
        <v>12</v>
      </c>
      <c r="D535" s="115" t="s">
        <v>432</v>
      </c>
      <c r="E535" s="41"/>
      <c r="F535" s="70">
        <f>SUM(F532:F534)</f>
        <v>272822.25</v>
      </c>
      <c r="G535" s="70">
        <f t="shared" ref="G535:L535" si="38">SUM(G532:G534)</f>
        <v>196170.81</v>
      </c>
      <c r="H535" s="70">
        <f t="shared" si="38"/>
        <v>4553961.7600000007</v>
      </c>
      <c r="I535" s="70">
        <f t="shared" si="38"/>
        <v>1311.9499999999998</v>
      </c>
      <c r="J535" s="70">
        <f t="shared" si="38"/>
        <v>308</v>
      </c>
      <c r="K535" s="70">
        <f t="shared" si="38"/>
        <v>0</v>
      </c>
      <c r="L535" s="70">
        <f t="shared" si="38"/>
        <v>5024574.7700000005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11040</v>
      </c>
      <c r="I537" s="18"/>
      <c r="J537" s="18"/>
      <c r="K537" s="18"/>
      <c r="L537" s="69">
        <f>SUM(F537:K537)</f>
        <v>11040</v>
      </c>
      <c r="M537" s="8"/>
      <c r="N537" s="164"/>
    </row>
    <row r="538" spans="1:14" s="3" customFormat="1" ht="12.2" customHeight="1" x14ac:dyDescent="0.15">
      <c r="A538" s="21" t="s">
        <v>634</v>
      </c>
      <c r="B538" s="22">
        <v>21</v>
      </c>
      <c r="C538" s="22">
        <v>14</v>
      </c>
      <c r="D538" s="2" t="s">
        <v>432</v>
      </c>
      <c r="E538" s="22"/>
      <c r="F538" s="18"/>
      <c r="G538" s="18"/>
      <c r="H538" s="18">
        <v>5583.52</v>
      </c>
      <c r="I538" s="18"/>
      <c r="J538" s="18"/>
      <c r="K538" s="18"/>
      <c r="L538" s="69">
        <f>SUM(F538:K538)</f>
        <v>5583.52</v>
      </c>
      <c r="M538" s="8"/>
      <c r="N538" s="164"/>
    </row>
    <row r="539" spans="1:14" s="3" customFormat="1" ht="12.2" customHeight="1" thickBot="1" x14ac:dyDescent="0.2">
      <c r="A539" s="21" t="s">
        <v>635</v>
      </c>
      <c r="B539" s="22">
        <v>21</v>
      </c>
      <c r="C539" s="22">
        <v>15</v>
      </c>
      <c r="D539" s="2" t="s">
        <v>432</v>
      </c>
      <c r="E539" s="22"/>
      <c r="F539" s="18"/>
      <c r="G539" s="18"/>
      <c r="H539" s="18">
        <v>8755.9699999999993</v>
      </c>
      <c r="I539" s="18"/>
      <c r="J539" s="18"/>
      <c r="K539" s="18"/>
      <c r="L539" s="69">
        <f>SUM(F539:K539)</f>
        <v>8755.9699999999993</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25379.489999999998</v>
      </c>
      <c r="I540" s="70">
        <f t="shared" si="39"/>
        <v>0</v>
      </c>
      <c r="J540" s="70">
        <f t="shared" si="39"/>
        <v>0</v>
      </c>
      <c r="K540" s="70">
        <f t="shared" si="39"/>
        <v>0</v>
      </c>
      <c r="L540" s="70">
        <f t="shared" si="39"/>
        <v>25379.489999999998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63083.33+63083.33+156000+117810.34</f>
        <v>399977</v>
      </c>
      <c r="I542" s="18"/>
      <c r="J542" s="18"/>
      <c r="K542" s="18"/>
      <c r="L542" s="69">
        <f>SUM(F542:K542)</f>
        <v>399977</v>
      </c>
      <c r="M542" s="8"/>
      <c r="N542" s="164"/>
    </row>
    <row r="543" spans="1:14" s="3" customFormat="1" ht="12.2" customHeight="1" x14ac:dyDescent="0.15">
      <c r="A543" s="21" t="s">
        <v>634</v>
      </c>
      <c r="B543" s="22">
        <v>21</v>
      </c>
      <c r="C543" s="22">
        <v>18</v>
      </c>
      <c r="D543" s="2" t="s">
        <v>432</v>
      </c>
      <c r="E543" s="22"/>
      <c r="F543" s="18"/>
      <c r="G543" s="18"/>
      <c r="H543" s="18">
        <f>63083.34+111000</f>
        <v>174083.34</v>
      </c>
      <c r="I543" s="18"/>
      <c r="J543" s="18"/>
      <c r="K543" s="18"/>
      <c r="L543" s="69">
        <f>SUM(F543:K543)</f>
        <v>174083.34</v>
      </c>
      <c r="M543" s="8"/>
      <c r="N543" s="164"/>
    </row>
    <row r="544" spans="1:14" s="3" customFormat="1" ht="12.2" customHeight="1" thickBot="1" x14ac:dyDescent="0.2">
      <c r="A544" s="21" t="s">
        <v>635</v>
      </c>
      <c r="B544" s="22">
        <v>21</v>
      </c>
      <c r="C544" s="22">
        <v>19</v>
      </c>
      <c r="D544" s="2" t="s">
        <v>432</v>
      </c>
      <c r="E544" s="22"/>
      <c r="F544" s="18"/>
      <c r="G544" s="18"/>
      <c r="H544" s="18">
        <v>1129000</v>
      </c>
      <c r="I544" s="18"/>
      <c r="J544" s="18"/>
      <c r="K544" s="18"/>
      <c r="L544" s="69">
        <f>SUM(F544:K544)</f>
        <v>1129000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1703060.3399999999</v>
      </c>
      <c r="I545" s="140">
        <f t="shared" si="40"/>
        <v>0</v>
      </c>
      <c r="J545" s="140">
        <f t="shared" si="40"/>
        <v>0</v>
      </c>
      <c r="K545" s="140">
        <f t="shared" si="40"/>
        <v>0</v>
      </c>
      <c r="L545" s="140">
        <f t="shared" si="40"/>
        <v>1703060.3399999999</v>
      </c>
      <c r="M545" s="8"/>
      <c r="N545" s="164"/>
    </row>
    <row r="546" spans="1:14" s="3" customFormat="1" ht="12.2" customHeight="1" thickTop="1" x14ac:dyDescent="0.15">
      <c r="A546" s="75" t="s">
        <v>72</v>
      </c>
      <c r="B546" s="41">
        <v>21</v>
      </c>
      <c r="C546" s="41">
        <v>21</v>
      </c>
      <c r="D546" s="115" t="s">
        <v>432</v>
      </c>
      <c r="E546" s="41"/>
      <c r="F546" s="70">
        <f>F525+F530+F535+F540+F545</f>
        <v>1426587.83</v>
      </c>
      <c r="G546" s="70">
        <f t="shared" ref="G546:L546" si="41">G525+G530+G535+G540+G545</f>
        <v>953920.51</v>
      </c>
      <c r="H546" s="70">
        <f t="shared" si="41"/>
        <v>9367549.0800000019</v>
      </c>
      <c r="I546" s="70">
        <f t="shared" si="41"/>
        <v>124457.06999999999</v>
      </c>
      <c r="J546" s="70">
        <f t="shared" si="41"/>
        <v>308</v>
      </c>
      <c r="K546" s="70">
        <f t="shared" si="41"/>
        <v>0</v>
      </c>
      <c r="L546" s="70">
        <f t="shared" si="41"/>
        <v>11872822.49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784182.36</v>
      </c>
      <c r="G550" s="69">
        <f>L527</f>
        <v>1948768.7300000002</v>
      </c>
      <c r="H550" s="69">
        <f>L532</f>
        <v>307140.06</v>
      </c>
      <c r="I550" s="69">
        <f>L537</f>
        <v>11040</v>
      </c>
      <c r="J550" s="69">
        <f>L542</f>
        <v>399977</v>
      </c>
      <c r="K550" s="69">
        <f>SUM(F550:J550)</f>
        <v>3451108.1500000004</v>
      </c>
      <c r="L550" s="23" t="s">
        <v>288</v>
      </c>
      <c r="M550" s="8"/>
      <c r="N550" s="164"/>
    </row>
    <row r="551" spans="1:14" s="3" customFormat="1" ht="12.2" customHeight="1" x14ac:dyDescent="0.15">
      <c r="A551" s="21" t="s">
        <v>634</v>
      </c>
      <c r="B551" s="22">
        <v>21</v>
      </c>
      <c r="C551" s="22">
        <v>23</v>
      </c>
      <c r="D551" s="2" t="s">
        <v>432</v>
      </c>
      <c r="E551" s="22"/>
      <c r="F551" s="69">
        <f>L523</f>
        <v>544118.1</v>
      </c>
      <c r="G551" s="69">
        <f>L528</f>
        <v>759275.36</v>
      </c>
      <c r="H551" s="69">
        <f>L533</f>
        <v>275000.95</v>
      </c>
      <c r="I551" s="69">
        <f>L538</f>
        <v>5583.52</v>
      </c>
      <c r="J551" s="69">
        <f>L543</f>
        <v>174083.34</v>
      </c>
      <c r="K551" s="69">
        <f>SUM(F551:J551)</f>
        <v>1758061.27</v>
      </c>
      <c r="L551" s="23" t="s">
        <v>288</v>
      </c>
      <c r="M551" s="8"/>
      <c r="N551" s="164"/>
    </row>
    <row r="552" spans="1:14" s="3" customFormat="1" ht="12.2" customHeight="1" thickBot="1" x14ac:dyDescent="0.2">
      <c r="A552" s="21" t="s">
        <v>635</v>
      </c>
      <c r="B552" s="22">
        <v>21</v>
      </c>
      <c r="C552" s="22">
        <v>24</v>
      </c>
      <c r="D552" s="2" t="s">
        <v>432</v>
      </c>
      <c r="E552" s="22"/>
      <c r="F552" s="69">
        <f>L524</f>
        <v>208011.51</v>
      </c>
      <c r="G552" s="69">
        <f>L529</f>
        <v>875451.83</v>
      </c>
      <c r="H552" s="69">
        <f>L534</f>
        <v>4442433.7600000007</v>
      </c>
      <c r="I552" s="69">
        <f>L539</f>
        <v>8755.9699999999993</v>
      </c>
      <c r="J552" s="69">
        <f>L544</f>
        <v>1129000</v>
      </c>
      <c r="K552" s="69">
        <f>SUM(F552:J552)</f>
        <v>6663653.0700000003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1536311.97</v>
      </c>
      <c r="G553" s="70">
        <f t="shared" si="42"/>
        <v>3583495.9200000004</v>
      </c>
      <c r="H553" s="70">
        <f t="shared" si="42"/>
        <v>5024574.7700000005</v>
      </c>
      <c r="I553" s="70">
        <f t="shared" si="42"/>
        <v>25379.489999999998</v>
      </c>
      <c r="J553" s="70">
        <f t="shared" si="42"/>
        <v>1703060.3399999999</v>
      </c>
      <c r="K553" s="70">
        <f t="shared" si="42"/>
        <v>11872822.49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130990</v>
      </c>
      <c r="G563" s="18">
        <v>89433.71</v>
      </c>
      <c r="H563" s="18">
        <v>4466.8999999999996</v>
      </c>
      <c r="I563" s="18">
        <v>242.37</v>
      </c>
      <c r="J563" s="18"/>
      <c r="K563" s="18"/>
      <c r="L563" s="69">
        <f>SUM(F563:K563)</f>
        <v>225132.98</v>
      </c>
      <c r="M563" s="8"/>
      <c r="N563" s="164"/>
    </row>
    <row r="564" spans="1:14" s="3" customFormat="1" ht="12.2" customHeight="1" x14ac:dyDescent="0.15">
      <c r="A564" s="21" t="s">
        <v>634</v>
      </c>
      <c r="B564" s="22">
        <v>22</v>
      </c>
      <c r="C564" s="22">
        <v>6</v>
      </c>
      <c r="D564" s="2" t="s">
        <v>432</v>
      </c>
      <c r="E564" s="22"/>
      <c r="F564" s="18">
        <v>47140</v>
      </c>
      <c r="G564" s="18">
        <v>16948.099999999999</v>
      </c>
      <c r="H564" s="18">
        <v>266.55</v>
      </c>
      <c r="I564" s="18">
        <v>304</v>
      </c>
      <c r="J564" s="18"/>
      <c r="K564" s="18"/>
      <c r="L564" s="69">
        <f>SUM(F564:K564)</f>
        <v>64658.65</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178130</v>
      </c>
      <c r="G566" s="70">
        <f t="shared" si="44"/>
        <v>106381.81</v>
      </c>
      <c r="H566" s="70">
        <f t="shared" si="44"/>
        <v>4733.45</v>
      </c>
      <c r="I566" s="70">
        <f t="shared" si="44"/>
        <v>546.37</v>
      </c>
      <c r="J566" s="70">
        <f t="shared" si="44"/>
        <v>0</v>
      </c>
      <c r="K566" s="70">
        <f t="shared" si="44"/>
        <v>0</v>
      </c>
      <c r="L566" s="70">
        <f t="shared" si="44"/>
        <v>289791.63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f>84530</f>
        <v>84530</v>
      </c>
      <c r="G568" s="18">
        <v>54413.13</v>
      </c>
      <c r="H568" s="18">
        <f>323.34+571.09</f>
        <v>894.43000000000006</v>
      </c>
      <c r="I568" s="18"/>
      <c r="J568" s="18"/>
      <c r="K568" s="18">
        <v>475</v>
      </c>
      <c r="L568" s="69">
        <f>SUM(F568:K568)</f>
        <v>140312.56</v>
      </c>
      <c r="M568" s="8"/>
      <c r="N568" s="164"/>
    </row>
    <row r="569" spans="1:14" s="3" customFormat="1" ht="12.2" customHeight="1" x14ac:dyDescent="0.15">
      <c r="A569" s="21" t="s">
        <v>634</v>
      </c>
      <c r="B569" s="22">
        <v>22</v>
      </c>
      <c r="C569" s="22">
        <v>10</v>
      </c>
      <c r="D569" s="2" t="s">
        <v>432</v>
      </c>
      <c r="E569" s="22"/>
      <c r="F569" s="18">
        <f>81435.5</f>
        <v>81435.5</v>
      </c>
      <c r="G569" s="18">
        <v>53094.47</v>
      </c>
      <c r="H569" s="18">
        <f>114.1</f>
        <v>114.1</v>
      </c>
      <c r="I569" s="18">
        <v>666.79</v>
      </c>
      <c r="J569" s="18"/>
      <c r="K569" s="18"/>
      <c r="L569" s="69">
        <f>SUM(F569:K569)</f>
        <v>135310.86000000002</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165965.5</v>
      </c>
      <c r="G571" s="140">
        <f t="shared" ref="G571:L571" si="45">SUM(G568:G570)</f>
        <v>107507.6</v>
      </c>
      <c r="H571" s="140">
        <f t="shared" si="45"/>
        <v>1008.5300000000001</v>
      </c>
      <c r="I571" s="140">
        <f t="shared" si="45"/>
        <v>666.79</v>
      </c>
      <c r="J571" s="140">
        <f t="shared" si="45"/>
        <v>0</v>
      </c>
      <c r="K571" s="140">
        <f t="shared" si="45"/>
        <v>475</v>
      </c>
      <c r="L571" s="140">
        <f t="shared" si="45"/>
        <v>275623.42000000004</v>
      </c>
      <c r="M571" s="8"/>
      <c r="N571" s="164"/>
    </row>
    <row r="572" spans="1:14" s="3" customFormat="1" ht="12.2" customHeight="1" thickTop="1" x14ac:dyDescent="0.15">
      <c r="A572" s="75" t="s">
        <v>88</v>
      </c>
      <c r="B572" s="41">
        <v>22</v>
      </c>
      <c r="C572" s="41">
        <v>13</v>
      </c>
      <c r="D572" s="115" t="s">
        <v>432</v>
      </c>
      <c r="E572" s="41"/>
      <c r="F572" s="70">
        <f>F561+F566+F571</f>
        <v>344095.5</v>
      </c>
      <c r="G572" s="70">
        <f t="shared" ref="G572:L572" si="46">G561+G566+G571</f>
        <v>213889.41</v>
      </c>
      <c r="H572" s="70">
        <f t="shared" si="46"/>
        <v>5741.98</v>
      </c>
      <c r="I572" s="70">
        <f t="shared" si="46"/>
        <v>1213.1599999999999</v>
      </c>
      <c r="J572" s="70">
        <f t="shared" si="46"/>
        <v>0</v>
      </c>
      <c r="K572" s="70">
        <f t="shared" si="46"/>
        <v>475</v>
      </c>
      <c r="L572" s="70">
        <f t="shared" si="46"/>
        <v>565415.05000000005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18622.830000000002</v>
      </c>
      <c r="H576" s="18">
        <v>1898047.3</v>
      </c>
      <c r="I576" s="69">
        <f>SUM(F576:H576)</f>
        <v>1916670.1300000001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6221181.2699999996</v>
      </c>
      <c r="I578" s="69">
        <f t="shared" si="47"/>
        <v>6221181.2699999996</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536874.32999999996</v>
      </c>
      <c r="I580" s="69">
        <f t="shared" si="47"/>
        <v>536874.32999999996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566371.5</v>
      </c>
      <c r="I581" s="69">
        <f t="shared" si="47"/>
        <v>566371.5</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2053685.6</v>
      </c>
      <c r="I582" s="69">
        <f t="shared" si="47"/>
        <v>2053685.6</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89830+1680+23373.96+1320</f>
        <v>116203.95999999999</v>
      </c>
      <c r="G583" s="18">
        <f>169891.19+23495.03+114.1</f>
        <v>193500.32</v>
      </c>
      <c r="H583" s="18">
        <f>1129529.55+17971.55</f>
        <v>1147501.1000000001</v>
      </c>
      <c r="I583" s="69">
        <f t="shared" si="47"/>
        <v>1457205.3800000001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0" t="s">
        <v>677</v>
      </c>
      <c r="B588" s="58">
        <v>22</v>
      </c>
      <c r="C588" s="58">
        <v>26</v>
      </c>
      <c r="D588" s="52" t="s">
        <v>432</v>
      </c>
      <c r="E588" s="58">
        <v>564</v>
      </c>
      <c r="F588" s="53"/>
      <c r="G588" s="53"/>
      <c r="H588" s="53"/>
      <c r="I588" s="311">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116203.95999999999</v>
      </c>
      <c r="G589" s="79">
        <f t="shared" ref="G589:I589" si="48">SUM(G576:G588)</f>
        <v>212123.15000000002</v>
      </c>
      <c r="H589" s="79">
        <f t="shared" si="48"/>
        <v>12423661.099999998</v>
      </c>
      <c r="I589" s="79">
        <f t="shared" si="48"/>
        <v>12751988.209999999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565807.21</v>
      </c>
      <c r="I592" s="18">
        <v>286155.37</v>
      </c>
      <c r="J592" s="18">
        <v>448743.64</v>
      </c>
      <c r="K592" s="80">
        <f t="shared" ref="K592:K598" si="49">SUM(H592:J592)</f>
        <v>1300706.22</v>
      </c>
      <c r="L592" s="23" t="s">
        <v>288</v>
      </c>
      <c r="M592" s="8"/>
      <c r="N592" s="164"/>
    </row>
    <row r="593" spans="1:14" s="3" customFormat="1" ht="12.2" customHeight="1" x14ac:dyDescent="0.15">
      <c r="A593" s="3" t="s">
        <v>638</v>
      </c>
      <c r="B593" s="22">
        <v>23</v>
      </c>
      <c r="C593" s="22">
        <v>2</v>
      </c>
      <c r="D593" s="2" t="s">
        <v>432</v>
      </c>
      <c r="E593" s="22"/>
      <c r="F593" s="78">
        <v>2722</v>
      </c>
      <c r="G593" s="79" t="s">
        <v>97</v>
      </c>
      <c r="H593" s="18">
        <f>63083.33+63083.33+156000+117810.34</f>
        <v>399977</v>
      </c>
      <c r="I593" s="18">
        <f>63083.34+111000</f>
        <v>174083.34</v>
      </c>
      <c r="J593" s="18">
        <f>1129000</f>
        <v>1129000</v>
      </c>
      <c r="K593" s="80">
        <f t="shared" si="49"/>
        <v>1703060.3399999999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20586.22</v>
      </c>
      <c r="J595" s="18"/>
      <c r="K595" s="80">
        <f t="shared" si="49"/>
        <v>20586.22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6468.18</f>
        <v>6468.18</v>
      </c>
      <c r="I596" s="18">
        <f>19446.32</f>
        <v>19446.32</v>
      </c>
      <c r="J596" s="18"/>
      <c r="K596" s="80">
        <f t="shared" si="49"/>
        <v>25914.5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972252.39</v>
      </c>
      <c r="I599" s="81">
        <f>SUM(I592:I598)</f>
        <v>500271.24999999994</v>
      </c>
      <c r="J599" s="81">
        <f>SUM(J592:J598)</f>
        <v>1577743.6400000001</v>
      </c>
      <c r="K599" s="81">
        <f>SUM(K592:K598)</f>
        <v>3050267.28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20790+67198.72+6909.72+374+10734.49+8683.6+80792.73-26323.78</f>
        <v>169159.48</v>
      </c>
      <c r="I605" s="18">
        <f>74167+5021.41+24876.66+4909.9+199+362.07+1229.84+45445.91+37799.28-14807.12</f>
        <v>179203.95</v>
      </c>
      <c r="J605" s="18"/>
      <c r="K605" s="80">
        <f>SUM(H605:J605)</f>
        <v>348363.43000000005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169159.48</v>
      </c>
      <c r="I606" s="81">
        <f>SUM(I603:I605)</f>
        <v>179203.95</v>
      </c>
      <c r="J606" s="81">
        <f>SUM(J603:J605)</f>
        <v>0</v>
      </c>
      <c r="K606" s="81">
        <f>SUM(K603:K605)</f>
        <v>348363.43000000005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1208465.21</v>
      </c>
      <c r="H618" s="80">
        <f>SUM(F52)</f>
        <v>1208465.21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61719.839999999997</v>
      </c>
      <c r="H619" s="80">
        <f>SUM(G52)</f>
        <v>61719.839999999997</v>
      </c>
      <c r="I619" s="87" t="s">
        <v>872</v>
      </c>
      <c r="J619" s="80">
        <f>G619-H619</f>
        <v>0</v>
      </c>
      <c r="K619" s="80"/>
      <c r="L619" s="80"/>
      <c r="M619" s="8"/>
    </row>
    <row r="620" spans="1:14" s="3" customFormat="1" ht="12.2" customHeight="1" x14ac:dyDescent="0.15">
      <c r="A620" s="74"/>
      <c r="B620" s="22"/>
      <c r="C620" s="22"/>
      <c r="D620" s="22"/>
      <c r="E620" s="22"/>
      <c r="F620" s="87" t="s">
        <v>685</v>
      </c>
      <c r="G620" s="80">
        <f>SUM(H19)</f>
        <v>200654.93</v>
      </c>
      <c r="H620" s="80">
        <f>SUM(H52)</f>
        <v>200654.93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517086.77</v>
      </c>
      <c r="H622" s="80">
        <f>SUM(J52)</f>
        <v>517086.77</v>
      </c>
      <c r="I622" s="87" t="s">
        <v>875</v>
      </c>
      <c r="J622" s="80">
        <f>G622-H622</f>
        <v>0</v>
      </c>
      <c r="K622" s="80"/>
      <c r="L622" s="80"/>
      <c r="M622" s="8"/>
    </row>
    <row r="623" spans="1:14" s="3" customFormat="1" ht="12.2" customHeight="1" x14ac:dyDescent="0.15">
      <c r="A623" s="74"/>
      <c r="B623" s="22"/>
      <c r="C623" s="22"/>
      <c r="D623" s="22"/>
      <c r="E623" s="22"/>
      <c r="F623" s="87" t="s">
        <v>861</v>
      </c>
      <c r="G623" s="80">
        <f>F51</f>
        <v>291223.12</v>
      </c>
      <c r="H623" s="80">
        <f>F477</f>
        <v>291223.12000000477</v>
      </c>
      <c r="I623" s="87" t="s">
        <v>101</v>
      </c>
      <c r="J623" s="80">
        <f t="shared" ref="J623:J656" si="51">G623-H623</f>
        <v>-4.7730281949043274E-9</v>
      </c>
      <c r="K623" s="80"/>
      <c r="L623" s="80"/>
      <c r="M623" s="8"/>
    </row>
    <row r="624" spans="1:14" s="3" customFormat="1" ht="12.2" customHeight="1" x14ac:dyDescent="0.15">
      <c r="A624" s="74"/>
      <c r="B624" s="22"/>
      <c r="C624" s="85"/>
      <c r="D624" s="85"/>
      <c r="E624" s="85"/>
      <c r="F624" s="85" t="s">
        <v>862</v>
      </c>
      <c r="G624" s="80">
        <f>G51</f>
        <v>40761.39</v>
      </c>
      <c r="H624" s="80">
        <f>G477</f>
        <v>40761.390000000014</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517086.77</v>
      </c>
      <c r="H627" s="80">
        <f>J477</f>
        <v>517086.77</v>
      </c>
      <c r="I627" s="87" t="s">
        <v>105</v>
      </c>
      <c r="J627" s="80">
        <f t="shared" si="51"/>
        <v>0</v>
      </c>
      <c r="K627" s="67"/>
      <c r="L627" s="69"/>
      <c r="M627" s="8"/>
    </row>
    <row r="628" spans="1:13" s="3" customFormat="1" ht="12.2" customHeight="1" x14ac:dyDescent="0.15">
      <c r="A628" s="21"/>
      <c r="B628" s="22"/>
      <c r="C628" s="22"/>
      <c r="D628" s="22"/>
      <c r="E628" s="22"/>
      <c r="F628" s="86" t="s">
        <v>658</v>
      </c>
      <c r="G628" s="80">
        <f>F194</f>
        <v>37475783.140000001</v>
      </c>
      <c r="H628" s="80">
        <f>SUM(F469)</f>
        <v>37475783.140000001</v>
      </c>
      <c r="I628" s="87" t="s">
        <v>106</v>
      </c>
      <c r="J628" s="80">
        <f>G628-H628</f>
        <v>0</v>
      </c>
      <c r="K628" s="67"/>
      <c r="L628" s="69"/>
      <c r="M628" s="8"/>
    </row>
    <row r="629" spans="1:13" s="3" customFormat="1" ht="12.2" customHeight="1" x14ac:dyDescent="0.15">
      <c r="A629" s="21"/>
      <c r="B629" s="22"/>
      <c r="C629" s="22"/>
      <c r="D629" s="22"/>
      <c r="E629" s="22"/>
      <c r="F629" s="86" t="s">
        <v>659</v>
      </c>
      <c r="G629" s="80">
        <f>G194</f>
        <v>735582.80999999994</v>
      </c>
      <c r="H629" s="80">
        <f>SUM(G469)</f>
        <v>735582.81</v>
      </c>
      <c r="I629" s="87" t="s">
        <v>107</v>
      </c>
      <c r="J629" s="80">
        <f>G629-H629</f>
        <v>0</v>
      </c>
      <c r="K629" s="67"/>
      <c r="L629" s="69"/>
      <c r="M629" s="8"/>
    </row>
    <row r="630" spans="1:13" s="3" customFormat="1" ht="12.2" customHeight="1" x14ac:dyDescent="0.15">
      <c r="A630" s="21"/>
      <c r="B630" s="22"/>
      <c r="C630" s="22"/>
      <c r="D630" s="22"/>
      <c r="E630" s="22"/>
      <c r="F630" s="86" t="s">
        <v>660</v>
      </c>
      <c r="G630" s="80">
        <f>H194</f>
        <v>2794786.5000000005</v>
      </c>
      <c r="H630" s="80">
        <f>SUM(H469)</f>
        <v>2794786.5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308152.71000000002</v>
      </c>
      <c r="H632" s="80">
        <f>SUM(J469)</f>
        <v>308152.71000000002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38905471.329999998</v>
      </c>
      <c r="H633" s="80">
        <f>SUM(F473)</f>
        <v>38905471.329999998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2794786.5</v>
      </c>
      <c r="H634" s="80">
        <f>SUM(H473)</f>
        <v>2794786.5</v>
      </c>
      <c r="I634" s="87" t="s">
        <v>112</v>
      </c>
      <c r="J634" s="80">
        <f>G634-H634</f>
        <v>0</v>
      </c>
      <c r="K634" s="67"/>
      <c r="L634" s="69"/>
      <c r="M634" s="8"/>
    </row>
    <row r="635" spans="1:13" s="124" customFormat="1" ht="12.2" customHeight="1" x14ac:dyDescent="0.15">
      <c r="A635" s="21"/>
      <c r="B635" s="22"/>
      <c r="C635" s="22"/>
      <c r="D635" s="22"/>
      <c r="E635" s="22"/>
      <c r="F635" s="99" t="s">
        <v>247</v>
      </c>
      <c r="G635" s="80">
        <f>I363</f>
        <v>390229.7</v>
      </c>
      <c r="H635" s="80">
        <f>I370</f>
        <v>390229.7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860532.52</v>
      </c>
      <c r="H636" s="80">
        <f>SUM(G473)</f>
        <v>860532.52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308152.71000000002</v>
      </c>
      <c r="H638" s="108">
        <f>SUM(J469)</f>
        <v>308152.71000000002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361085</v>
      </c>
      <c r="H639" s="108">
        <f>SUM(J473)</f>
        <v>361085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517086.77</v>
      </c>
      <c r="H641" s="80">
        <f>SUM(G462)</f>
        <v>517086.77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517086.77</v>
      </c>
      <c r="H643" s="80">
        <f>SUM(I462)</f>
        <v>517086.77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58152.71</v>
      </c>
      <c r="H645" s="80">
        <f>H409</f>
        <v>58152.71</v>
      </c>
      <c r="I645" s="87" t="s">
        <v>480</v>
      </c>
      <c r="J645" s="80">
        <f t="shared" si="51"/>
        <v>0</v>
      </c>
      <c r="K645" s="67"/>
      <c r="L645" s="69"/>
      <c r="M645" s="8"/>
    </row>
    <row r="646" spans="1:13" s="3" customFormat="1" ht="12.2" customHeight="1" x14ac:dyDescent="0.15">
      <c r="A646" s="21"/>
      <c r="B646" s="22"/>
      <c r="C646" s="22"/>
      <c r="D646" s="22"/>
      <c r="E646" s="22"/>
      <c r="F646" s="86" t="s">
        <v>664</v>
      </c>
      <c r="G646" s="80">
        <f>J184</f>
        <v>250000</v>
      </c>
      <c r="H646" s="80">
        <f>G409</f>
        <v>250000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308152.71000000002</v>
      </c>
      <c r="H647" s="80">
        <f>L409</f>
        <v>308152.71000000002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3050267.28</v>
      </c>
      <c r="H648" s="80">
        <f>L209+L227+L245</f>
        <v>3050267.2800000003</v>
      </c>
      <c r="I648" s="87" t="s">
        <v>396</v>
      </c>
      <c r="J648" s="80">
        <f t="shared" si="51"/>
        <v>0</v>
      </c>
      <c r="K648" s="67"/>
      <c r="L648" s="69"/>
      <c r="M648" s="8"/>
    </row>
    <row r="649" spans="1:13" s="3" customFormat="1" ht="12.2" customHeight="1" x14ac:dyDescent="0.15">
      <c r="A649" s="21"/>
      <c r="B649" s="22"/>
      <c r="C649" s="22"/>
      <c r="D649" s="22"/>
      <c r="E649" s="22"/>
      <c r="F649" s="86" t="s">
        <v>52</v>
      </c>
      <c r="G649" s="80">
        <f>K606</f>
        <v>348363.43000000005</v>
      </c>
      <c r="H649" s="80">
        <f>(J258+J339)-(J256+J337)</f>
        <v>348363.42999999993</v>
      </c>
      <c r="I649" s="87" t="s">
        <v>699</v>
      </c>
      <c r="J649" s="80">
        <f t="shared" si="51"/>
        <v>0</v>
      </c>
      <c r="K649" s="67"/>
      <c r="L649" s="69"/>
      <c r="M649" s="8"/>
    </row>
    <row r="650" spans="1:13" s="3" customFormat="1" ht="12.2" customHeight="1" x14ac:dyDescent="0.15">
      <c r="A650" s="21"/>
      <c r="B650" s="22"/>
      <c r="C650" s="22"/>
      <c r="D650" s="22"/>
      <c r="E650" s="22"/>
      <c r="F650" s="86" t="s">
        <v>387</v>
      </c>
      <c r="G650" s="80">
        <f>L209</f>
        <v>972252.3899999999</v>
      </c>
      <c r="H650" s="80">
        <f>H599</f>
        <v>972252.39</v>
      </c>
      <c r="I650" s="87" t="s">
        <v>388</v>
      </c>
      <c r="J650" s="80">
        <f t="shared" si="51"/>
        <v>0</v>
      </c>
      <c r="K650" s="67"/>
      <c r="L650" s="69"/>
      <c r="M650" s="8"/>
    </row>
    <row r="651" spans="1:13" s="3" customFormat="1" ht="12.2" customHeight="1" x14ac:dyDescent="0.15">
      <c r="A651" s="21"/>
      <c r="B651" s="22"/>
      <c r="C651" s="22"/>
      <c r="D651" s="22"/>
      <c r="E651" s="22"/>
      <c r="F651" s="86" t="s">
        <v>392</v>
      </c>
      <c r="G651" s="80">
        <f>L227</f>
        <v>500271.25</v>
      </c>
      <c r="H651" s="80">
        <f>I599</f>
        <v>500271.24999999994</v>
      </c>
      <c r="I651" s="87" t="s">
        <v>389</v>
      </c>
      <c r="J651" s="80">
        <f t="shared" si="51"/>
        <v>0</v>
      </c>
      <c r="K651" s="67"/>
      <c r="L651" s="69"/>
      <c r="M651" s="8"/>
    </row>
    <row r="652" spans="1:13" s="3" customFormat="1" ht="12.2" customHeight="1" x14ac:dyDescent="0.15">
      <c r="A652" s="21"/>
      <c r="B652" s="22"/>
      <c r="C652" s="22"/>
      <c r="D652" s="22"/>
      <c r="E652" s="22"/>
      <c r="F652" s="86" t="s">
        <v>393</v>
      </c>
      <c r="G652" s="80">
        <f>L245</f>
        <v>1577743.6400000001</v>
      </c>
      <c r="H652" s="80">
        <f>J599</f>
        <v>1577743.6400000001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250000</v>
      </c>
      <c r="H656" s="80">
        <f>K267+K348</f>
        <v>250000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17234770.470000003</v>
      </c>
      <c r="G661" s="13">
        <f>(L230+L310+L360)</f>
        <v>9541307.7100000009</v>
      </c>
      <c r="H661" s="13">
        <f>(L248+L329+L361)</f>
        <v>15470680.370000001</v>
      </c>
      <c r="I661" s="13">
        <f>SUM(F661:H661)</f>
        <v>42246758.550000004</v>
      </c>
      <c r="J661" s="13"/>
      <c r="K661" s="13"/>
      <c r="L661" s="13"/>
      <c r="M661" s="9"/>
    </row>
    <row r="662" spans="1:13" s="3" customFormat="1" ht="12.2" customHeight="1" x14ac:dyDescent="0.2">
      <c r="A662" s="1" t="s">
        <v>127</v>
      </c>
      <c r="F662" s="13">
        <f>(L359/IF(SUM(L359:L361)=0,1,SUM(L359:L361))*(SUM(G97:G110)))</f>
        <v>347696.02500583773</v>
      </c>
      <c r="G662" s="13">
        <f>(L360/IF(SUM(L359:L361)=0,1,SUM(L359:L361))*(SUM(G97:G110)))</f>
        <v>188382.83499416223</v>
      </c>
      <c r="H662" s="13">
        <f>(L361/IF(SUM(L359:L361)=0,1,SUM(L359:L361))*(SUM(G97:G110)))</f>
        <v>0</v>
      </c>
      <c r="I662" s="13">
        <f>SUM(F662:H662)</f>
        <v>536078.86</v>
      </c>
      <c r="J662"/>
      <c r="K662" s="13"/>
      <c r="L662" s="13"/>
      <c r="M662" s="8"/>
    </row>
    <row r="663" spans="1:13" s="3" customFormat="1" ht="12.2" customHeight="1" x14ac:dyDescent="0.2">
      <c r="A663" s="1" t="s">
        <v>128</v>
      </c>
      <c r="F663" s="13">
        <f>(L209+L288)-(J209+J288)</f>
        <v>1002520.5599999999</v>
      </c>
      <c r="G663" s="13">
        <f>(L227+L307)-(J227+J307)</f>
        <v>515519.12</v>
      </c>
      <c r="H663" s="13">
        <f>(L245+L326)-(J245+J326)</f>
        <v>1577743.6400000001</v>
      </c>
      <c r="I663" s="13">
        <f>SUM(F663:H663)</f>
        <v>3095783.3200000003</v>
      </c>
      <c r="J663"/>
      <c r="K663" s="13"/>
      <c r="L663" s="13"/>
      <c r="M663" s="9"/>
    </row>
    <row r="664" spans="1:13" s="3" customFormat="1" ht="12.2" customHeight="1" x14ac:dyDescent="0.15">
      <c r="A664" s="141" t="s">
        <v>129</v>
      </c>
      <c r="B664" s="124"/>
      <c r="C664" s="124"/>
      <c r="D664" s="124"/>
      <c r="E664" s="124"/>
      <c r="F664" s="142">
        <f>SUM(F576:F588)+SUM(H603:H605)+SUM(L612)</f>
        <v>285363.44</v>
      </c>
      <c r="G664" s="142">
        <f>SUM(G576:G588)+SUM(I603:I605)+L613</f>
        <v>391327.10000000003</v>
      </c>
      <c r="H664" s="142">
        <f>SUM(H576:H588)+SUM(J603:J605)+L614</f>
        <v>12423661.099999998</v>
      </c>
      <c r="I664" s="13">
        <f>SUM(F664:H664)</f>
        <v>13100351.639999997</v>
      </c>
      <c r="J664" s="13"/>
      <c r="K664" s="13"/>
      <c r="L664" s="13"/>
      <c r="M664" s="9"/>
    </row>
    <row r="665" spans="1:13" s="3" customFormat="1" ht="12.2" customHeight="1" x14ac:dyDescent="0.15">
      <c r="A665" s="1" t="s">
        <v>130</v>
      </c>
      <c r="F665" s="13">
        <f>F661-SUM(F662:F664)</f>
        <v>15599190.444994165</v>
      </c>
      <c r="G665" s="13">
        <f>G661-SUM(G662:G664)</f>
        <v>8446078.6550058387</v>
      </c>
      <c r="H665" s="13">
        <f>H661-SUM(H662:H664)</f>
        <v>1469275.6300000027</v>
      </c>
      <c r="I665" s="13">
        <f>I661-SUM(I662:I664)</f>
        <v>25514544.730000008</v>
      </c>
      <c r="J665" s="13"/>
      <c r="K665" s="13"/>
      <c r="L665" s="13"/>
      <c r="M665" s="8"/>
    </row>
    <row r="666" spans="1:13" s="3" customFormat="1" ht="12.2" customHeight="1" x14ac:dyDescent="0.2">
      <c r="A666" s="1" t="s">
        <v>131</v>
      </c>
      <c r="F666" s="182">
        <v>828.17</v>
      </c>
      <c r="G666" s="183">
        <v>418.68</v>
      </c>
      <c r="H666" s="183">
        <v>0</v>
      </c>
      <c r="I666" s="13">
        <f>SUM(F666:H666)</f>
        <v>1246.8499999999999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18835.73</v>
      </c>
      <c r="G668" s="13">
        <f>ROUND(G665/G666,2)</f>
        <v>20173.11</v>
      </c>
      <c r="H668" s="13" t="e">
        <f>ROUND(H665/H666,2)</f>
        <v>#DIV/0!</v>
      </c>
      <c r="I668" s="13">
        <f>ROUND(I665/I666,2)</f>
        <v>20463.2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-1469275.6300000027</v>
      </c>
      <c r="I670" s="13">
        <f>SUM(F670:H670)</f>
        <v>-1469275.6300000027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18835.73</v>
      </c>
      <c r="G673" s="13">
        <f>ROUND((G665+G670)/(G666+G671),2)</f>
        <v>20173.11</v>
      </c>
      <c r="H673" s="13" t="e">
        <f>ROUND((H665+H670)/(H666+H671),2)</f>
        <v>#DIV/0!</v>
      </c>
      <c r="I673" s="13">
        <f>ROUND((I665+I670)/(I666+I671),2)</f>
        <v>19284.810000000001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4" sqref="C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161985.26999999999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100398.73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61586.54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Hooksett</v>
      </c>
      <c r="C5" s="321"/>
      <c r="D5" s="321"/>
      <c r="E5" s="321"/>
      <c r="F5" s="321"/>
    </row>
    <row r="8" spans="1:9" ht="18" x14ac:dyDescent="0.25">
      <c r="A8" s="239" t="s">
        <v>1548</v>
      </c>
      <c r="F8" s="246" t="s">
        <v>1566</v>
      </c>
    </row>
    <row r="9" spans="1:9" ht="15" x14ac:dyDescent="0.2">
      <c r="A9" s="237" t="s">
        <v>1549</v>
      </c>
      <c r="B9" s="240">
        <f>'DOE25'!G97</f>
        <v>529040.98</v>
      </c>
      <c r="F9" s="237" t="s">
        <v>1562</v>
      </c>
    </row>
    <row r="10" spans="1:9" ht="15" x14ac:dyDescent="0.2">
      <c r="A10" s="237" t="s">
        <v>1550</v>
      </c>
      <c r="B10" s="240">
        <f>'DOE25'!G112-'DOE25'!G97</f>
        <v>7037.8800000000047</v>
      </c>
      <c r="F10" s="237" t="s">
        <v>1563</v>
      </c>
    </row>
    <row r="11" spans="1:9" ht="15" x14ac:dyDescent="0.2">
      <c r="A11" s="237" t="s">
        <v>1551</v>
      </c>
      <c r="B11" s="240">
        <f>'DOE25'!G140</f>
        <v>9442.09</v>
      </c>
      <c r="F11" s="237" t="s">
        <v>1564</v>
      </c>
    </row>
    <row r="12" spans="1:9" ht="15" x14ac:dyDescent="0.2">
      <c r="A12" s="237" t="s">
        <v>1552</v>
      </c>
      <c r="B12" s="240">
        <f>'DOE25'!G170</f>
        <v>190061.86</v>
      </c>
      <c r="F12" s="237" t="s">
        <v>1565</v>
      </c>
    </row>
    <row r="13" spans="1:9" ht="15" x14ac:dyDescent="0.2">
      <c r="A13" s="237" t="s">
        <v>1553</v>
      </c>
      <c r="B13" s="240">
        <f>'DOE25'!G193-'DOE25'!G180</f>
        <v>0</v>
      </c>
      <c r="F13" s="237" t="s">
        <v>1575</v>
      </c>
    </row>
    <row r="14" spans="1:9" ht="18" x14ac:dyDescent="0.25">
      <c r="A14" s="239" t="s">
        <v>732</v>
      </c>
      <c r="B14" s="241">
        <f>SUM(B9:B13)</f>
        <v>735582.80999999994</v>
      </c>
    </row>
    <row r="16" spans="1:9" ht="18" x14ac:dyDescent="0.25">
      <c r="A16" s="239" t="s">
        <v>783</v>
      </c>
      <c r="F16" s="246" t="s">
        <v>1567</v>
      </c>
    </row>
    <row r="17" spans="1:6" ht="15" x14ac:dyDescent="0.2">
      <c r="A17" s="237" t="s">
        <v>1554</v>
      </c>
      <c r="B17" s="240">
        <f>'DOE25'!L363-'DOE25'!L362</f>
        <v>860532.52</v>
      </c>
      <c r="F17" s="237" t="s">
        <v>1568</v>
      </c>
    </row>
    <row r="18" spans="1:6" ht="15" x14ac:dyDescent="0.2">
      <c r="A18" s="237" t="s">
        <v>1555</v>
      </c>
      <c r="B18" s="250"/>
      <c r="F18" s="246" t="s">
        <v>1592</v>
      </c>
    </row>
    <row r="19" spans="1:6" ht="18" x14ac:dyDescent="0.25">
      <c r="A19" s="239" t="s">
        <v>725</v>
      </c>
      <c r="B19" s="241">
        <f>SUM(B17:B18)</f>
        <v>860532.52</v>
      </c>
    </row>
    <row r="21" spans="1:6" ht="18.75" thickBot="1" x14ac:dyDescent="0.3">
      <c r="A21" s="239" t="s">
        <v>1556</v>
      </c>
    </row>
    <row r="22" spans="1:6" ht="18.75" thickTop="1" x14ac:dyDescent="0.25">
      <c r="A22" s="239" t="s">
        <v>1557</v>
      </c>
      <c r="B22" s="245">
        <f>B14-B19</f>
        <v>-124949.71000000008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165711.1</v>
      </c>
      <c r="F31" s="237" t="s">
        <v>1572</v>
      </c>
    </row>
    <row r="33" spans="1:6" ht="15" x14ac:dyDescent="0.2">
      <c r="A33" s="237" t="s">
        <v>1790</v>
      </c>
      <c r="B33" s="240">
        <f>'DOE25'!G477</f>
        <v>40761.390000000014</v>
      </c>
      <c r="F33" s="237" t="s">
        <v>1573</v>
      </c>
    </row>
    <row r="36" spans="1:6" ht="15" x14ac:dyDescent="0.2">
      <c r="A36" s="237" t="s">
        <v>1559</v>
      </c>
      <c r="B36" s="251">
        <v>25829.07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Hooksett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6222338.7199999997</v>
      </c>
      <c r="C9" s="166">
        <f>'DOE25'!G198+'DOE25'!G216+'DOE25'!G234+'DOE25'!G277+'DOE25'!G296+'DOE25'!G315</f>
        <v>3492617.52</v>
      </c>
    </row>
    <row r="10" spans="1:3" x14ac:dyDescent="0.2">
      <c r="A10" t="s">
        <v>772</v>
      </c>
      <c r="B10" s="176">
        <f>1666615.41+1527406.62+2217526.6</f>
        <v>5411548.6300000008</v>
      </c>
      <c r="C10" s="176">
        <f>1789625.96+1177051.68</f>
        <v>2966677.6399999997</v>
      </c>
    </row>
    <row r="11" spans="1:3" x14ac:dyDescent="0.2">
      <c r="A11" t="s">
        <v>773</v>
      </c>
      <c r="B11" s="176">
        <f>189240.31+8387.9+18080+7416+86985.29+2115.44</f>
        <v>312224.94</v>
      </c>
      <c r="C11" s="176">
        <f>96094.43+99423.66+641.67</f>
        <v>196159.76</v>
      </c>
    </row>
    <row r="12" spans="1:3" x14ac:dyDescent="0.2">
      <c r="A12" t="s">
        <v>774</v>
      </c>
      <c r="B12" s="176">
        <f>1920+74038.76+11458.33+29292.79+13958.33+70139.23+20000+186617.71+91140</f>
        <v>498565.15</v>
      </c>
      <c r="C12" s="176">
        <f>55139.53+113908.5+99423.67+61308.42</f>
        <v>329780.12</v>
      </c>
    </row>
    <row r="13" spans="1:3" x14ac:dyDescent="0.2">
      <c r="A13" t="str">
        <f>IF(B9=B13,IF(C9=C13,"Check Total OK","Check Total Error"),"Check Total Error")</f>
        <v>Check Total OK</v>
      </c>
      <c r="B13" s="168">
        <f>SUM(B10:B12)</f>
        <v>6222338.7200000016</v>
      </c>
      <c r="C13" s="168">
        <f>SUM(C10:C12)</f>
        <v>3492617.5199999996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1766810.53</v>
      </c>
      <c r="C18" s="166">
        <f>'DOE25'!G199+'DOE25'!G217+'DOE25'!G235+'DOE25'!G278+'DOE25'!G297+'DOE25'!G316</f>
        <v>1099418.5900000001</v>
      </c>
    </row>
    <row r="19" spans="1:3" x14ac:dyDescent="0.2">
      <c r="A19" t="s">
        <v>772</v>
      </c>
      <c r="B19" s="176">
        <f>175380+8130+44640+81435.5+3602.32+4702+3663.46+255350+137076.54+3565+390+73815+57175+84530+9281.25+74309.38+95575</f>
        <v>1112620.4500000002</v>
      </c>
      <c r="C19" s="176">
        <f>310467.9+275.58+1274.06+74182.48+344979.62</f>
        <v>731179.64</v>
      </c>
    </row>
    <row r="20" spans="1:3" x14ac:dyDescent="0.2">
      <c r="A20" t="s">
        <v>773</v>
      </c>
      <c r="B20" s="176">
        <f>102265.72+2700+25250.44+51542.9+66767.78+50+3710+12280</f>
        <v>264566.83999999997</v>
      </c>
      <c r="C20" s="176">
        <f>104887.8+9991.96+5157.07+66502.1</f>
        <v>186538.93000000002</v>
      </c>
    </row>
    <row r="21" spans="1:3" x14ac:dyDescent="0.2">
      <c r="A21" t="s">
        <v>774</v>
      </c>
      <c r="B21" s="176">
        <f>2500+2500+112964.46+189679.7+79479.08+2500</f>
        <v>389623.24000000005</v>
      </c>
      <c r="C21" s="176">
        <f>4195.52+59804.65+196628.57+4156.38-83085.1</f>
        <v>181700.02</v>
      </c>
    </row>
    <row r="22" spans="1:3" x14ac:dyDescent="0.2">
      <c r="A22" t="str">
        <f>IF(B18=B22,IF(C18=C22,"Check Total OK","Check Total Error"),"Check Total Error")</f>
        <v>Check Total OK</v>
      </c>
      <c r="B22" s="168">
        <f>SUM(B19:B21)</f>
        <v>1766810.53</v>
      </c>
      <c r="C22" s="168">
        <f>SUM(C19:C21)</f>
        <v>1099418.5900000001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107273</v>
      </c>
      <c r="C36" s="172">
        <f>'DOE25'!G201+'DOE25'!G219+'DOE25'!G237+'DOE25'!G280+'DOE25'!G299+'DOE25'!G318</f>
        <v>24892.46</v>
      </c>
    </row>
    <row r="37" spans="1:3" x14ac:dyDescent="0.2">
      <c r="A37" t="s">
        <v>772</v>
      </c>
      <c r="B37" s="176"/>
      <c r="C37" s="176"/>
    </row>
    <row r="38" spans="1:3" x14ac:dyDescent="0.2">
      <c r="A38" t="s">
        <v>773</v>
      </c>
      <c r="B38" s="176"/>
      <c r="C38" s="176"/>
    </row>
    <row r="39" spans="1:3" x14ac:dyDescent="0.2">
      <c r="A39" t="s">
        <v>774</v>
      </c>
      <c r="B39" s="176">
        <v>107273</v>
      </c>
      <c r="C39" s="176">
        <v>24892.46</v>
      </c>
    </row>
    <row r="40" spans="1:3" x14ac:dyDescent="0.2">
      <c r="A40" t="str">
        <f>IF(B36=B40,IF(C36=C40,"Check Total OK","Check Total Error"),"Check Total Error")</f>
        <v>Check Total OK</v>
      </c>
      <c r="B40" s="168">
        <f>SUM(B37:B39)</f>
        <v>107273</v>
      </c>
      <c r="C40" s="168">
        <f>SUM(C37:C39)</f>
        <v>24892.46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8" sqref="E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Hooksett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27247773.579999998</v>
      </c>
      <c r="D5" s="19">
        <f>SUM('DOE25'!L198:L201)+SUM('DOE25'!L216:L219)+SUM('DOE25'!L234:L237)-F5-G5-H5</f>
        <v>26829142.059999999</v>
      </c>
      <c r="E5" s="179"/>
      <c r="F5" s="180">
        <v>377055.24</v>
      </c>
      <c r="G5" s="19">
        <f>SUM('DOE25'!J198:J201)+SUM('DOE25'!J216:J219)+SUM('DOE25'!J234:J237)</f>
        <v>37004.28</v>
      </c>
      <c r="H5" s="19">
        <f>SUM('DOE25'!K198:K201)+SUM('DOE25'!K216:K219)+SUM('DOE25'!K234:K237)</f>
        <v>4572</v>
      </c>
      <c r="I5" s="191"/>
    </row>
    <row r="6" spans="1:9" x14ac:dyDescent="0.2">
      <c r="A6" s="31">
        <v>2100</v>
      </c>
      <c r="B6" t="s">
        <v>793</v>
      </c>
      <c r="C6" s="205">
        <f t="shared" si="0"/>
        <v>2623312.04</v>
      </c>
      <c r="D6" s="19">
        <f>'DOE25'!L203+'DOE25'!L221+'DOE25'!L239-F6-G6-H6</f>
        <v>2409753.79</v>
      </c>
      <c r="E6" s="179"/>
      <c r="F6" s="180">
        <f>105920+41161.5+140903.75-75000</f>
        <v>212985.25</v>
      </c>
      <c r="G6" s="19">
        <f>'DOE25'!J203+'DOE25'!J221+'DOE25'!J239</f>
        <v>573</v>
      </c>
      <c r="H6" s="19">
        <f>'DOE25'!K203+'DOE25'!K221+'DOE25'!K239</f>
        <v>0</v>
      </c>
      <c r="I6" s="191"/>
    </row>
    <row r="7" spans="1:9" x14ac:dyDescent="0.2">
      <c r="A7" s="31">
        <v>2200</v>
      </c>
      <c r="B7" t="s">
        <v>817</v>
      </c>
      <c r="C7" s="205">
        <f t="shared" si="0"/>
        <v>523985.26999999996</v>
      </c>
      <c r="D7" s="19">
        <f>'DOE25'!L204+'DOE25'!L222+'DOE25'!L240-F7-G7-H7</f>
        <v>507168.3</v>
      </c>
      <c r="E7" s="179"/>
      <c r="F7" s="180"/>
      <c r="G7" s="19">
        <f>'DOE25'!J204+'DOE25'!J222+'DOE25'!J240</f>
        <v>16117.97</v>
      </c>
      <c r="H7" s="19">
        <f>'DOE25'!K204+'DOE25'!K222+'DOE25'!K240</f>
        <v>699</v>
      </c>
      <c r="I7" s="191"/>
    </row>
    <row r="8" spans="1:9" x14ac:dyDescent="0.2">
      <c r="A8" s="31">
        <v>2300</v>
      </c>
      <c r="B8" t="s">
        <v>794</v>
      </c>
      <c r="C8" s="205">
        <f t="shared" si="0"/>
        <v>1.2096279533579946E-10</v>
      </c>
      <c r="D8" s="179"/>
      <c r="E8" s="19">
        <f>'DOE25'!L205+'DOE25'!L223+'DOE25'!L241-F8-G8-H8-D9-D11</f>
        <v>-7296.6199999998789</v>
      </c>
      <c r="F8" s="180"/>
      <c r="G8" s="19">
        <f>'DOE25'!J205+'DOE25'!J223+'DOE25'!J241</f>
        <v>0</v>
      </c>
      <c r="H8" s="19">
        <f>'DOE25'!K205+'DOE25'!K223+'DOE25'!K241</f>
        <v>7296.62</v>
      </c>
      <c r="I8" s="191"/>
    </row>
    <row r="9" spans="1:9" ht="14.25" x14ac:dyDescent="0.2">
      <c r="A9" s="31">
        <v>2310</v>
      </c>
      <c r="B9" s="71" t="s">
        <v>884</v>
      </c>
      <c r="C9" s="205">
        <f t="shared" si="0"/>
        <v>924778.37</v>
      </c>
      <c r="D9" s="180">
        <v>924778.37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1422232.51</v>
      </c>
      <c r="D12" s="19">
        <f>'DOE25'!L206+'DOE25'!L224+'DOE25'!L242-F12-G12-H12</f>
        <v>1417508.51</v>
      </c>
      <c r="E12" s="179"/>
      <c r="F12" s="180"/>
      <c r="G12" s="19">
        <f>'DOE25'!J206+'DOE25'!J224+'DOE25'!J242</f>
        <v>0</v>
      </c>
      <c r="H12" s="19">
        <f>'DOE25'!K206+'DOE25'!K224+'DOE25'!K242</f>
        <v>4724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2316272.2600000002</v>
      </c>
      <c r="D14" s="19">
        <f>'DOE25'!L208+'DOE25'!L226+'DOE25'!L244-F14-G14-H14</f>
        <v>2095070.3200000003</v>
      </c>
      <c r="E14" s="179"/>
      <c r="F14" s="180">
        <f>53405</f>
        <v>53405</v>
      </c>
      <c r="G14" s="19">
        <f>'DOE25'!J208+'DOE25'!J226+'DOE25'!J244</f>
        <v>167796.94</v>
      </c>
      <c r="H14" s="19">
        <f>'DOE25'!K208+'DOE25'!K226+'DOE25'!K244</f>
        <v>0</v>
      </c>
      <c r="I14" s="191"/>
    </row>
    <row r="15" spans="1:9" x14ac:dyDescent="0.2">
      <c r="A15" s="31">
        <v>2700</v>
      </c>
      <c r="B15" t="s">
        <v>796</v>
      </c>
      <c r="C15" s="205">
        <f t="shared" si="0"/>
        <v>3050267.2800000003</v>
      </c>
      <c r="D15" s="19">
        <f>'DOE25'!L209+'DOE25'!L227+'DOE25'!L245-F15-G15-H15</f>
        <v>2176043.9000000004</v>
      </c>
      <c r="E15" s="179"/>
      <c r="F15" s="180">
        <v>874223.38</v>
      </c>
      <c r="G15" s="19">
        <f>'DOE25'!J209+'DOE25'!J227+'DOE25'!J245</f>
        <v>0</v>
      </c>
      <c r="H15" s="19">
        <f>'DOE25'!K209+'DOE25'!K227+'DOE25'!K245</f>
        <v>0</v>
      </c>
      <c r="I15" s="191"/>
    </row>
    <row r="16" spans="1:9" x14ac:dyDescent="0.2">
      <c r="A16" s="31">
        <v>2800</v>
      </c>
      <c r="B16" t="s">
        <v>797</v>
      </c>
      <c r="C16" s="205">
        <f t="shared" si="0"/>
        <v>482818.22000000003</v>
      </c>
      <c r="D16" s="179"/>
      <c r="E16" s="19">
        <f>'DOE25'!L210+'DOE25'!L228+'DOE25'!L246-F16-G16-H16</f>
        <v>430217.45</v>
      </c>
      <c r="F16" s="180"/>
      <c r="G16" s="19">
        <f>'DOE25'!J210+'DOE25'!J228+'DOE25'!J246</f>
        <v>51215.89</v>
      </c>
      <c r="H16" s="19">
        <f>'DOE25'!K210+'DOE25'!K228+'DOE25'!K246</f>
        <v>1384.88</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533486.59000000008</v>
      </c>
      <c r="D29" s="211">
        <f>'DOE25'!L359+'DOE25'!L360+'DOE25'!L361-'DOE25'!I368-F29-G29-H29-F39</f>
        <v>532518.64000000013</v>
      </c>
      <c r="E29" s="179"/>
      <c r="F29" s="179"/>
      <c r="G29" s="19">
        <f>'DOE25'!J359+'DOE25'!J360+'DOE25'!J361</f>
        <v>0</v>
      </c>
      <c r="H29" s="19">
        <f>'DOE25'!K359+'DOE25'!K360+'DOE25'!K361</f>
        <v>967.95</v>
      </c>
      <c r="I29" s="191"/>
    </row>
    <row r="30" spans="1:9" x14ac:dyDescent="0.2">
      <c r="A30" s="31"/>
      <c r="C30" s="206"/>
      <c r="D30" s="19"/>
      <c r="F30" s="200"/>
      <c r="G30" s="19"/>
      <c r="H30" s="19"/>
      <c r="I30" s="191"/>
    </row>
    <row r="31" spans="1:9" x14ac:dyDescent="0.2">
      <c r="A31" s="31" t="s">
        <v>814</v>
      </c>
      <c r="B31" t="s">
        <v>813</v>
      </c>
      <c r="C31" s="205">
        <f>SUM(D31:I31)</f>
        <v>2794786.5</v>
      </c>
      <c r="D31" s="19">
        <f>'DOE25'!L291+'DOE25'!L310+'DOE25'!L329+'DOE25'!L334+'DOE25'!L335+'DOE25'!L336-F31-G31-H31</f>
        <v>1383207.4399999997</v>
      </c>
      <c r="E31" s="179"/>
      <c r="F31" s="180">
        <f>1235485+65422.12+55004.78-75000</f>
        <v>1280911.9000000001</v>
      </c>
      <c r="G31" s="19">
        <f>'DOE25'!J291+'DOE25'!J310+'DOE25'!J329+'DOE25'!J334+'DOE25'!J335+'DOE25'!J336</f>
        <v>75655.350000000006</v>
      </c>
      <c r="H31" s="19">
        <f>'DOE25'!K291+'DOE25'!K310+'DOE25'!K329+'DOE25'!K334+'DOE25'!K335+'DOE25'!K336</f>
        <v>55011.81</v>
      </c>
      <c r="I31" s="191"/>
    </row>
    <row r="32" spans="1:9" ht="12" thickBot="1" x14ac:dyDescent="0.25">
      <c r="C32" s="206"/>
      <c r="G32" s="187"/>
      <c r="H32" s="187"/>
      <c r="I32" s="193"/>
    </row>
    <row r="33" spans="1:9" ht="12" thickTop="1" x14ac:dyDescent="0.2">
      <c r="B33" t="s">
        <v>806</v>
      </c>
      <c r="D33" s="181">
        <f t="shared" ref="D33:I33" si="1">SUM(D5:D31)</f>
        <v>38275191.329999998</v>
      </c>
      <c r="E33" s="181">
        <f t="shared" si="1"/>
        <v>422920.83000000013</v>
      </c>
      <c r="F33" s="181">
        <f t="shared" si="1"/>
        <v>2798580.7700000005</v>
      </c>
      <c r="G33" s="181">
        <f t="shared" si="1"/>
        <v>348363.43000000005</v>
      </c>
      <c r="H33" s="181">
        <f t="shared" si="1"/>
        <v>74656.259999999995</v>
      </c>
      <c r="I33" s="181">
        <f t="shared" si="1"/>
        <v>0</v>
      </c>
    </row>
    <row r="34" spans="1:9" ht="12" thickBot="1" x14ac:dyDescent="0.25"/>
    <row r="35" spans="1:9" ht="12" thickBot="1" x14ac:dyDescent="0.25">
      <c r="B35" s="187" t="s">
        <v>827</v>
      </c>
      <c r="D35" s="188">
        <f>E33</f>
        <v>422920.83000000013</v>
      </c>
      <c r="E35" s="184"/>
      <c r="F35" s="294" t="s">
        <v>1596</v>
      </c>
      <c r="G35" s="295"/>
      <c r="H35" s="295"/>
      <c r="I35" s="296"/>
    </row>
    <row r="36" spans="1:9" ht="12" thickTop="1" x14ac:dyDescent="0.2">
      <c r="B36" t="s">
        <v>807</v>
      </c>
      <c r="D36" s="19">
        <f>D33</f>
        <v>38275191.329999998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17">
        <v>5000</v>
      </c>
      <c r="G42" s="303"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K12" sqref="K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29" t="s">
        <v>1802</v>
      </c>
      <c r="P1" s="330"/>
      <c r="Q1" s="330"/>
      <c r="R1" s="330"/>
      <c r="S1" s="330"/>
      <c r="T1" s="330"/>
      <c r="U1" s="330"/>
      <c r="V1" s="330"/>
    </row>
    <row r="2" spans="1:22" ht="15.75" customHeight="1" thickBot="1" x14ac:dyDescent="0.25">
      <c r="A2" s="220" t="str">
        <f>'DOE25'!A2</f>
        <v>Hooksett</v>
      </c>
      <c r="B2">
        <f>'DOE25'!B2</f>
        <v>261</v>
      </c>
      <c r="J2" s="223" t="s">
        <v>1799</v>
      </c>
      <c r="K2" s="307">
        <f>SUM('DOE25'!L198:L201)+SUM('DOE25'!L277:L280)</f>
        <v>9064343.7000000011</v>
      </c>
      <c r="L2" s="307">
        <f>'DOE25'!L203+'DOE25'!L282</f>
        <v>1536942.51</v>
      </c>
      <c r="M2" s="307">
        <f>'DOE25'!L204+'DOE25'!L283</f>
        <v>512502.70999999996</v>
      </c>
      <c r="N2" s="307">
        <f>'DOE25'!L206+'DOE25'!L285</f>
        <v>936022.31</v>
      </c>
      <c r="O2" s="315">
        <f>'Salaries-Benefits'!B10+'Salaries-Benefits'!B12+'Salaries-Benefits'!B19+'Salaries-Benefits'!B21+'Salaries-Benefits'!B28+'Salaries-Benefits'!B30+'Salaries-Benefits'!B37+'Salaries-Benefits'!B39</f>
        <v>7519630.4700000016</v>
      </c>
      <c r="P2" s="315">
        <f>'Salaries-Benefits'!B11+'Salaries-Benefits'!B20+'Salaries-Benefits'!B29+'Salaries-Benefits'!B38</f>
        <v>576791.78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2" t="str">
        <f>IF(SUM('DOE25'!F576:F588)&lt;=(SUM('School Level Expenditures'!D5:E5)),"","ERROR!! Other District Expenditures Line Less Than Page 22 Elementary Tuition Total")</f>
        <v/>
      </c>
      <c r="J3" s="223" t="s">
        <v>1516</v>
      </c>
      <c r="K3" s="309">
        <f>K21-K2</f>
        <v>0</v>
      </c>
      <c r="L3" s="309">
        <f t="shared" ref="L3:N3" si="0">L21-L2</f>
        <v>0</v>
      </c>
      <c r="M3" s="309">
        <f t="shared" si="0"/>
        <v>0</v>
      </c>
      <c r="N3" s="309">
        <f t="shared" si="0"/>
        <v>0</v>
      </c>
      <c r="O3" s="309">
        <f t="shared" ref="O3:P3" si="1">O21+O34+O45-O2</f>
        <v>0</v>
      </c>
      <c r="P3" s="309">
        <f t="shared" si="1"/>
        <v>0</v>
      </c>
      <c r="Q3" s="308"/>
      <c r="R3" s="304"/>
      <c r="S3" s="214"/>
      <c r="T3" s="214"/>
      <c r="U3" s="215"/>
    </row>
    <row r="4" spans="1:22" ht="85.5" customHeight="1" thickBot="1" x14ac:dyDescent="0.25">
      <c r="A4" s="223" t="s">
        <v>1514</v>
      </c>
      <c r="B4" s="223" t="s">
        <v>1515</v>
      </c>
      <c r="C4" s="223" t="s">
        <v>893</v>
      </c>
      <c r="D4" s="223" t="s">
        <v>783</v>
      </c>
      <c r="E4" s="223" t="s">
        <v>783</v>
      </c>
      <c r="F4" s="227">
        <f>SUM(F5:F20)</f>
        <v>16676636.66</v>
      </c>
      <c r="G4" s="228">
        <f>'DOE25'!L212+'DOE25'!L291</f>
        <v>16676636.660000002</v>
      </c>
      <c r="H4" s="263">
        <f>F4-G4</f>
        <v>0</v>
      </c>
      <c r="I4" s="312" t="str">
        <f>IF(H4=0,"","ERROR!! Please review pages 7 and 11 totals in comparison with total on this page")</f>
        <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v>365391.83</v>
      </c>
      <c r="E5" s="219"/>
      <c r="F5" s="231">
        <f>D5+E5</f>
        <v>365391.83</v>
      </c>
      <c r="G5" s="222"/>
      <c r="H5" s="222"/>
      <c r="J5" s="71" t="s">
        <v>1840</v>
      </c>
      <c r="K5" s="20">
        <v>1246711.56</v>
      </c>
      <c r="L5" s="20"/>
      <c r="M5" s="20"/>
      <c r="N5" s="20"/>
      <c r="O5" s="20"/>
      <c r="P5" s="20"/>
      <c r="Q5" s="20"/>
    </row>
    <row r="6" spans="1:22" x14ac:dyDescent="0.2">
      <c r="A6" t="str" cm="1">
        <f t="array" ref="A6">IFERROR(INDEX('School Tables'!$A$4:$G$365,'School Tables'!$J4,3),"")</f>
        <v>Fred C. Underhill School</v>
      </c>
      <c r="B6" s="229">
        <f>IFERROR(VLOOKUP(A6,'School Tables'!$C$3:$D$365,2,FALSE),"")</f>
        <v>20550</v>
      </c>
      <c r="C6" s="222" t="str">
        <f>IFERROR(INDEX('School Tables'!$B$3:$B$365,MATCH('School Level Expenditures'!B6,'School Tables'!$D$3:$D$365,0)),"")</f>
        <v>Hooksett</v>
      </c>
      <c r="D6" s="219">
        <v>7477003.5</v>
      </c>
      <c r="E6" s="219">
        <v>1136118.0900000001</v>
      </c>
      <c r="F6" s="231">
        <f t="shared" ref="F6:F20" si="2">D6+E6</f>
        <v>8613121.5899999999</v>
      </c>
      <c r="G6" s="222"/>
      <c r="H6" s="222"/>
      <c r="J6" t="str">
        <f t="shared" ref="J6:J20" si="3">A6</f>
        <v>Fred C. Underhill School</v>
      </c>
      <c r="K6" s="20">
        <v>4143345.03</v>
      </c>
      <c r="L6" s="20">
        <v>814579.53</v>
      </c>
      <c r="M6" s="306">
        <v>271626.44</v>
      </c>
      <c r="N6" s="20">
        <v>496091.82</v>
      </c>
      <c r="O6" s="20">
        <v>3271039.25</v>
      </c>
      <c r="P6" s="20">
        <v>250904.42</v>
      </c>
      <c r="Q6" s="20">
        <v>8484.75</v>
      </c>
    </row>
    <row r="7" spans="1:22" x14ac:dyDescent="0.2">
      <c r="A7" t="str" cm="1">
        <f t="array" ref="A7">IFERROR(INDEX('School Tables'!$A$4:$G$365,'School Tables'!$J5,3),"")</f>
        <v>Hooksett Memorial School</v>
      </c>
      <c r="B7" s="229">
        <f>IFERROR(VLOOKUP(A7,'School Tables'!$C$3:$D$365,2,FALSE),"")</f>
        <v>20540</v>
      </c>
      <c r="C7" s="222" t="str">
        <f>IFERROR(INDEX('School Tables'!$B$3:$B$365,MATCH('School Level Expenditures'!B7,'School Tables'!$D$3:$D$365,0)),"")</f>
        <v>Hooksett</v>
      </c>
      <c r="D7" s="219">
        <v>6562005.1399999997</v>
      </c>
      <c r="E7" s="219">
        <v>1136118.1000000001</v>
      </c>
      <c r="F7" s="231">
        <f t="shared" si="2"/>
        <v>7698123.2400000002</v>
      </c>
      <c r="G7" s="222"/>
      <c r="H7" s="222"/>
      <c r="J7" t="str">
        <f t="shared" si="3"/>
        <v>Hooksett Memorial School</v>
      </c>
      <c r="K7" s="20">
        <v>3674287.11</v>
      </c>
      <c r="L7" s="20">
        <v>722362.98</v>
      </c>
      <c r="M7" s="306">
        <v>240876.27</v>
      </c>
      <c r="N7" s="20">
        <v>439930.49</v>
      </c>
      <c r="O7" s="20">
        <v>1654318.7</v>
      </c>
      <c r="P7" s="20">
        <v>126894.19</v>
      </c>
      <c r="Q7" s="20">
        <v>5331.82</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6"/>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6"/>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14404400.469999999</v>
      </c>
      <c r="E21" s="261">
        <f>SUM(E5:E20)</f>
        <v>2272236.1900000004</v>
      </c>
      <c r="F21" s="216"/>
      <c r="G21" s="216"/>
      <c r="H21" s="216"/>
      <c r="K21" s="262">
        <f t="shared" ref="K21:Q21" si="4">SUM(K5:K20)</f>
        <v>9064343.6999999993</v>
      </c>
      <c r="L21" s="262">
        <f t="shared" si="4"/>
        <v>1536942.51</v>
      </c>
      <c r="M21" s="262">
        <f t="shared" si="4"/>
        <v>512502.70999999996</v>
      </c>
      <c r="N21" s="262">
        <f t="shared" si="4"/>
        <v>936022.31</v>
      </c>
      <c r="O21" s="262">
        <f t="shared" si="4"/>
        <v>4925357.95</v>
      </c>
      <c r="P21" s="262">
        <f t="shared" si="4"/>
        <v>377798.61</v>
      </c>
      <c r="Q21" s="262">
        <f t="shared" si="4"/>
        <v>13816.57</v>
      </c>
    </row>
    <row r="22" spans="1:17" ht="12" thickTop="1" x14ac:dyDescent="0.2">
      <c r="B22" s="230"/>
      <c r="C22" s="216"/>
      <c r="D22" s="219"/>
      <c r="E22" s="219"/>
      <c r="F22" s="216"/>
      <c r="G22" s="216"/>
      <c r="H22" s="216"/>
      <c r="K22" s="308"/>
      <c r="L22" s="308"/>
      <c r="M22" s="308"/>
      <c r="N22" s="308"/>
      <c r="O22" s="308"/>
      <c r="P22" s="308"/>
      <c r="Q22" s="308"/>
    </row>
    <row r="23" spans="1:17" ht="27.75" customHeight="1" thickBot="1" x14ac:dyDescent="0.25">
      <c r="B23" s="230"/>
      <c r="C23" s="216"/>
      <c r="D23" s="219"/>
      <c r="E23" s="219"/>
      <c r="F23" s="216"/>
      <c r="G23" s="216"/>
      <c r="H23" s="216"/>
      <c r="J23" s="223" t="s">
        <v>1800</v>
      </c>
      <c r="K23" s="19">
        <f>SUM('DOE25'!L216:L219)+SUM('DOE25'!L296:L299)</f>
        <v>5719225.419999999</v>
      </c>
      <c r="L23" s="19">
        <f>'DOE25'!L221+'DOE25'!L301</f>
        <v>888644.26000000013</v>
      </c>
      <c r="M23" s="19">
        <f>'DOE25'!L222+'DOE25'!L302</f>
        <v>153461.88999999998</v>
      </c>
      <c r="N23" s="19">
        <f>'DOE25'!L224+'DOE25'!L304</f>
        <v>486210.19999999995</v>
      </c>
    </row>
    <row r="24" spans="1:17" ht="63" customHeight="1" x14ac:dyDescent="0.25">
      <c r="A24" s="221" t="s">
        <v>1526</v>
      </c>
      <c r="B24" s="222"/>
      <c r="C24" s="222"/>
      <c r="D24" s="223" t="s">
        <v>1524</v>
      </c>
      <c r="E24" s="223" t="s">
        <v>1525</v>
      </c>
      <c r="F24" s="224" t="s">
        <v>1532</v>
      </c>
      <c r="G24" s="225" t="s">
        <v>1534</v>
      </c>
      <c r="H24" s="226" t="s">
        <v>1516</v>
      </c>
      <c r="I24" s="312" t="str">
        <f>IF(SUM('DOE25'!G576:G588)&lt;=(SUM('School Level Expenditures'!D26:E26)),"","ERROR!! Other District Expenditures Line Less Than Page 22 Middle School Tuition Total")</f>
        <v/>
      </c>
      <c r="J24" s="223" t="s">
        <v>1516</v>
      </c>
      <c r="K24" s="309">
        <f>K34-K23</f>
        <v>0</v>
      </c>
      <c r="L24" s="309">
        <f t="shared" ref="L24:N24" si="5">L34-L23</f>
        <v>0</v>
      </c>
      <c r="M24" s="309">
        <f t="shared" si="5"/>
        <v>0</v>
      </c>
      <c r="N24" s="309">
        <f t="shared" si="5"/>
        <v>0</v>
      </c>
    </row>
    <row r="25" spans="1:17" ht="61.5" customHeight="1" thickBot="1" x14ac:dyDescent="0.25">
      <c r="A25" s="223" t="s">
        <v>1527</v>
      </c>
      <c r="B25" s="223" t="s">
        <v>1528</v>
      </c>
      <c r="C25" s="223" t="s">
        <v>893</v>
      </c>
      <c r="D25" s="223" t="s">
        <v>783</v>
      </c>
      <c r="E25" s="223" t="s">
        <v>783</v>
      </c>
      <c r="F25" s="232">
        <f>SUM(F26:F33)</f>
        <v>9238909.0000000019</v>
      </c>
      <c r="G25" s="228">
        <f>'DOE25'!L230+'DOE25'!L310</f>
        <v>9238909</v>
      </c>
      <c r="H25" s="263">
        <f>F25-G25</f>
        <v>0</v>
      </c>
      <c r="I25" s="312" t="str">
        <f>IF(H25=0,"","ERROR!! Please review pages 8 and 12 totals in comparison with total on this page")</f>
        <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v>300772.39</v>
      </c>
      <c r="E26" s="219"/>
      <c r="F26" s="231">
        <f>D26+E26</f>
        <v>300772.39</v>
      </c>
      <c r="G26" s="222"/>
      <c r="H26" s="222"/>
      <c r="J26" s="71" t="s">
        <v>1840</v>
      </c>
      <c r="K26" s="314">
        <v>733258.44</v>
      </c>
      <c r="L26" s="314"/>
      <c r="M26" s="314"/>
      <c r="N26" s="314"/>
      <c r="O26" s="314"/>
      <c r="P26" s="314"/>
      <c r="Q26" s="314"/>
    </row>
    <row r="27" spans="1:17" x14ac:dyDescent="0.2">
      <c r="A27" t="str" cm="1">
        <f t="array" ref="A27">IFERROR(INDEX('School Tables'!$L$4:$R$100,'School Tables'!$U4,3),"")</f>
        <v>David R. Cawley Middle School</v>
      </c>
      <c r="B27" s="229">
        <f>IFERROR(VLOOKUP(A27,'School Tables'!$N$4:$O$100,2,FALSE),"")</f>
        <v>28050</v>
      </c>
      <c r="C27" s="222" t="str">
        <f>IFERROR(INDEX('School Tables'!$M$4:$M$100,MATCH('School Level Expenditures'!A27,'School Tables'!$N$4:$N$100,0)),"")</f>
        <v>Hooksett</v>
      </c>
      <c r="D27" s="219">
        <v>8415586.3000000007</v>
      </c>
      <c r="E27" s="219">
        <v>522550.31</v>
      </c>
      <c r="F27" s="231">
        <f t="shared" ref="F27:F33" si="6">D27+E27</f>
        <v>8938136.6100000013</v>
      </c>
      <c r="G27" s="222"/>
      <c r="H27" s="222"/>
      <c r="J27" t="str">
        <f t="shared" ref="J27:J33" si="7">A27</f>
        <v>David R. Cawley Middle School</v>
      </c>
      <c r="K27" s="20">
        <v>4985966.9800000004</v>
      </c>
      <c r="L27" s="20">
        <v>888644.26</v>
      </c>
      <c r="M27" s="306">
        <v>153461.89000000001</v>
      </c>
      <c r="N27" s="20">
        <v>486210.2</v>
      </c>
      <c r="O27" s="20">
        <v>2594272.52</v>
      </c>
      <c r="P27" s="20">
        <v>198993.17</v>
      </c>
      <c r="Q27" s="20">
        <v>5363.79</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8716358.6900000013</v>
      </c>
      <c r="E34" s="261">
        <f>SUM(E26:E33)</f>
        <v>522550.31</v>
      </c>
      <c r="F34" s="216"/>
      <c r="G34" s="216"/>
      <c r="H34" s="216"/>
      <c r="K34" s="262">
        <f t="shared" ref="K34:Q34" si="8">SUM(K26:K33)</f>
        <v>5719225.4199999999</v>
      </c>
      <c r="L34" s="262">
        <f t="shared" si="8"/>
        <v>888644.26</v>
      </c>
      <c r="M34" s="262">
        <f t="shared" si="8"/>
        <v>153461.89000000001</v>
      </c>
      <c r="N34" s="262">
        <f t="shared" si="8"/>
        <v>486210.2</v>
      </c>
      <c r="O34" s="262">
        <f t="shared" si="8"/>
        <v>2594272.52</v>
      </c>
      <c r="P34" s="262">
        <f t="shared" si="8"/>
        <v>198993.17</v>
      </c>
      <c r="Q34" s="262">
        <f t="shared" si="8"/>
        <v>5363.79</v>
      </c>
    </row>
    <row r="35" spans="1:17" ht="12" thickTop="1" x14ac:dyDescent="0.2">
      <c r="B35" s="230"/>
      <c r="C35" s="216"/>
      <c r="D35" s="219"/>
      <c r="E35" s="219"/>
      <c r="F35" s="216"/>
      <c r="G35" s="216"/>
      <c r="H35" s="216"/>
      <c r="K35" s="308"/>
      <c r="L35" s="308"/>
      <c r="M35" s="308"/>
      <c r="N35" s="308"/>
      <c r="O35" s="308"/>
      <c r="P35" s="308"/>
      <c r="Q35" s="308"/>
    </row>
    <row r="36" spans="1:17" ht="26.25" customHeight="1" thickBot="1" x14ac:dyDescent="0.25">
      <c r="B36" s="230"/>
      <c r="C36" s="216"/>
      <c r="D36" s="219"/>
      <c r="E36" s="219"/>
      <c r="F36" s="216"/>
      <c r="G36" s="216"/>
      <c r="H36" s="216"/>
      <c r="J36" s="223" t="s">
        <v>1801</v>
      </c>
      <c r="K36" s="19">
        <f>SUM('DOE25'!L234:L237)+SUM('DOE25'!L315:L318)</f>
        <v>13688678.700000001</v>
      </c>
      <c r="L36" s="19">
        <f>'DOE25'!L239+'DOE25'!L320</f>
        <v>204258.02999999997</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2" t="str">
        <f>IF(SUM('DOE25'!H576:H588)&lt;=(SUM('School Level Expenditures'!D39:E39)),"","ERROR!! Other District Expenditures Line Less Than Page 22 High School Tuition Total")</f>
        <v/>
      </c>
      <c r="J37" s="223" t="s">
        <v>1516</v>
      </c>
      <c r="K37" s="309">
        <f>K45-K36</f>
        <v>0</v>
      </c>
      <c r="L37" s="309">
        <f t="shared" ref="L37:N37" si="9">L45-L36</f>
        <v>0</v>
      </c>
      <c r="M37" s="309">
        <f t="shared" si="9"/>
        <v>0</v>
      </c>
      <c r="N37" s="309">
        <f t="shared" si="9"/>
        <v>0</v>
      </c>
    </row>
    <row r="38" spans="1:17" ht="63.75" customHeight="1" thickBot="1" x14ac:dyDescent="0.25">
      <c r="A38" s="218"/>
      <c r="B38" s="223" t="s">
        <v>1530</v>
      </c>
      <c r="C38" s="223" t="s">
        <v>893</v>
      </c>
      <c r="D38" s="223" t="s">
        <v>783</v>
      </c>
      <c r="E38" s="223" t="s">
        <v>783</v>
      </c>
      <c r="F38" s="232">
        <f>SUM(F39:F44)</f>
        <v>15470680.369999999</v>
      </c>
      <c r="G38" s="228">
        <f>'DOE25'!L248+'DOE25'!L329</f>
        <v>15470680.370000001</v>
      </c>
      <c r="H38" s="263">
        <f>F38-G38</f>
        <v>0</v>
      </c>
      <c r="I38" s="312" t="str">
        <f>IF(H38=0,"","ERROR!! Please review pages 9 and 13 totals in comparison with total on this page")</f>
        <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v>15470680.369999999</v>
      </c>
      <c r="E39" s="219"/>
      <c r="F39" s="231">
        <f t="shared" ref="F39:F44" si="10">D39+E39</f>
        <v>15470680.369999999</v>
      </c>
      <c r="G39" s="222"/>
      <c r="H39" s="222"/>
      <c r="J39" s="71" t="s">
        <v>1840</v>
      </c>
      <c r="K39" s="314">
        <v>13688678.699999999</v>
      </c>
      <c r="L39" s="314">
        <v>204258.03</v>
      </c>
      <c r="M39" s="314"/>
      <c r="N39" s="314"/>
      <c r="O39" s="314"/>
      <c r="P39" s="314"/>
      <c r="Q39" s="314"/>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6"/>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15470680.369999999</v>
      </c>
      <c r="E45" s="262">
        <f>SUM(E39:E44)</f>
        <v>0</v>
      </c>
      <c r="K45" s="262">
        <f t="shared" ref="K45:Q45" si="11">SUM(K39:K44)</f>
        <v>13688678.699999999</v>
      </c>
      <c r="L45" s="262">
        <f t="shared" si="11"/>
        <v>204258.03</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9" zoomScale="80" zoomScaleNormal="80" workbookViewId="0">
      <selection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Hooksett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465547.34</v>
      </c>
      <c r="D8" s="73">
        <f>'DOE25'!G9</f>
        <v>0</v>
      </c>
      <c r="E8" s="73">
        <f>'DOE25'!H9</f>
        <v>0</v>
      </c>
      <c r="F8" s="73">
        <f>'DOE25'!I9</f>
        <v>0</v>
      </c>
      <c r="G8" s="73">
        <f>'DOE25'!J9</f>
        <v>0</v>
      </c>
      <c r="H8" s="13">
        <f>SUM(C8:G8)</f>
        <v>465547.34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551499.74</v>
      </c>
      <c r="D11" s="73">
        <f>'DOE25'!G12</f>
        <v>3776.56</v>
      </c>
      <c r="E11" s="73">
        <f>'DOE25'!H12</f>
        <v>0</v>
      </c>
      <c r="F11" s="73">
        <f>'DOE25'!I12</f>
        <v>0</v>
      </c>
      <c r="G11" s="73">
        <f>'DOE25'!J12</f>
        <v>0</v>
      </c>
      <c r="H11" s="13">
        <f t="shared" si="0"/>
        <v>555276.30000000005</v>
      </c>
      <c r="I11" s="90"/>
    </row>
    <row r="12" spans="1:9" x14ac:dyDescent="0.2">
      <c r="A12" s="1" t="s">
        <v>143</v>
      </c>
      <c r="B12" s="6">
        <v>140</v>
      </c>
      <c r="C12" s="73">
        <f>'DOE25'!F13</f>
        <v>186266.13</v>
      </c>
      <c r="D12" s="73">
        <f>'DOE25'!G13</f>
        <v>41178.6</v>
      </c>
      <c r="E12" s="73">
        <f>'DOE25'!H13</f>
        <v>200654.93</v>
      </c>
      <c r="F12" s="73">
        <f>'DOE25'!I13</f>
        <v>0</v>
      </c>
      <c r="G12" s="73">
        <f>'DOE25'!J13</f>
        <v>517086.77</v>
      </c>
      <c r="H12" s="13">
        <f t="shared" si="0"/>
        <v>945186.43</v>
      </c>
      <c r="I12" s="90"/>
    </row>
    <row r="13" spans="1:9" x14ac:dyDescent="0.2">
      <c r="A13" s="1" t="s">
        <v>144</v>
      </c>
      <c r="B13" s="6">
        <v>150</v>
      </c>
      <c r="C13" s="73">
        <f>'DOE25'!F14</f>
        <v>5152</v>
      </c>
      <c r="D13" s="73">
        <f>'DOE25'!G14</f>
        <v>0</v>
      </c>
      <c r="E13" s="73">
        <f>'DOE25'!H14</f>
        <v>0</v>
      </c>
      <c r="F13" s="73">
        <f>'DOE25'!I14</f>
        <v>0</v>
      </c>
      <c r="G13" s="73">
        <f>'DOE25'!J14</f>
        <v>0</v>
      </c>
      <c r="H13" s="13">
        <f t="shared" si="0"/>
        <v>5152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16764.68</v>
      </c>
      <c r="E15" s="73">
        <f>'DOE25'!H16</f>
        <v>0</v>
      </c>
      <c r="F15" s="73">
        <f>'DOE25'!I16</f>
        <v>0</v>
      </c>
      <c r="G15" s="23" t="s">
        <v>288</v>
      </c>
      <c r="H15" s="13">
        <f t="shared" si="0"/>
        <v>16764.68</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1208465.21</v>
      </c>
      <c r="D18" s="38">
        <f>SUM(D8:D17)</f>
        <v>61719.839999999997</v>
      </c>
      <c r="E18" s="38">
        <f>SUM(E8:E17)</f>
        <v>200654.93</v>
      </c>
      <c r="F18" s="38">
        <f>SUM(F8:F17)</f>
        <v>0</v>
      </c>
      <c r="G18" s="38">
        <f>SUM(G8:G17)</f>
        <v>517086.77</v>
      </c>
      <c r="H18" s="38">
        <f t="shared" si="0"/>
        <v>1987926.75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3776.56</v>
      </c>
      <c r="D21" s="73">
        <f>'DOE25'!G22</f>
        <v>0</v>
      </c>
      <c r="E21" s="73">
        <f>'DOE25'!H22</f>
        <v>200654.93</v>
      </c>
      <c r="F21" s="73">
        <f>'DOE25'!I22</f>
        <v>0</v>
      </c>
      <c r="G21" s="73">
        <f>'DOE25'!J22</f>
        <v>0</v>
      </c>
      <c r="H21" s="13">
        <f t="shared" ref="H21:H31" si="1">SUM(C21:G21)</f>
        <v>204431.49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445001.26</v>
      </c>
      <c r="D23" s="73">
        <f>'DOE25'!G24</f>
        <v>0</v>
      </c>
      <c r="E23" s="73">
        <f>'DOE25'!H24</f>
        <v>0</v>
      </c>
      <c r="F23" s="73">
        <f>'DOE25'!I24</f>
        <v>0</v>
      </c>
      <c r="G23" s="73">
        <f>'DOE25'!J24</f>
        <v>0</v>
      </c>
      <c r="H23" s="13">
        <f t="shared" si="1"/>
        <v>445001.26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61742.48</v>
      </c>
      <c r="D27" s="73">
        <f>'DOE25'!G28</f>
        <v>4303.33</v>
      </c>
      <c r="E27" s="73">
        <f>'DOE25'!H28</f>
        <v>0</v>
      </c>
      <c r="F27" s="73">
        <f>'DOE25'!I28</f>
        <v>0</v>
      </c>
      <c r="G27" s="23" t="s">
        <v>288</v>
      </c>
      <c r="H27" s="13">
        <f t="shared" si="1"/>
        <v>66045.81</v>
      </c>
      <c r="I27" s="90"/>
    </row>
    <row r="28" spans="1:9" x14ac:dyDescent="0.2">
      <c r="A28" s="1" t="s">
        <v>157</v>
      </c>
      <c r="B28" s="6">
        <v>470</v>
      </c>
      <c r="C28" s="73">
        <f>'DOE25'!F29</f>
        <v>406721.79</v>
      </c>
      <c r="D28" s="73">
        <f>'DOE25'!G29</f>
        <v>0</v>
      </c>
      <c r="E28" s="73">
        <f>'DOE25'!H29</f>
        <v>0</v>
      </c>
      <c r="F28" s="73">
        <f>'DOE25'!I29</f>
        <v>0</v>
      </c>
      <c r="G28" s="23" t="s">
        <v>288</v>
      </c>
      <c r="H28" s="13">
        <f t="shared" si="1"/>
        <v>406721.79</v>
      </c>
      <c r="I28" s="90"/>
    </row>
    <row r="29" spans="1:9" x14ac:dyDescent="0.2">
      <c r="A29" s="1" t="s">
        <v>158</v>
      </c>
      <c r="B29" s="6">
        <v>480</v>
      </c>
      <c r="C29" s="73">
        <f>'DOE25'!F30</f>
        <v>0</v>
      </c>
      <c r="D29" s="73">
        <f>'DOE25'!G30</f>
        <v>16655.12</v>
      </c>
      <c r="E29" s="73">
        <f>'DOE25'!H30</f>
        <v>0</v>
      </c>
      <c r="F29" s="73">
        <f>'DOE25'!I30</f>
        <v>0</v>
      </c>
      <c r="G29" s="23" t="s">
        <v>288</v>
      </c>
      <c r="H29" s="13">
        <f t="shared" si="1"/>
        <v>16655.12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917242.09</v>
      </c>
      <c r="D31" s="38">
        <f>SUM(D21:D30)</f>
        <v>20958.449999999997</v>
      </c>
      <c r="E31" s="38">
        <f>SUM(E21:E30)</f>
        <v>200654.93</v>
      </c>
      <c r="F31" s="38">
        <f>SUM(F21:F30)</f>
        <v>0</v>
      </c>
      <c r="G31" s="38">
        <f>SUM(G21:G30)</f>
        <v>0</v>
      </c>
      <c r="H31" s="38">
        <f t="shared" si="1"/>
        <v>1138855.47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40761.39</v>
      </c>
      <c r="E39" s="23" t="s">
        <v>288</v>
      </c>
      <c r="F39" s="23" t="s">
        <v>288</v>
      </c>
      <c r="G39" s="23" t="s">
        <v>288</v>
      </c>
      <c r="H39" s="13">
        <f t="shared" si="2"/>
        <v>40761.39</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250000</v>
      </c>
      <c r="D43" s="73">
        <f>'DOE25'!G44</f>
        <v>0</v>
      </c>
      <c r="E43" s="73">
        <f>'DOE25'!H44</f>
        <v>0</v>
      </c>
      <c r="F43" s="73">
        <f>'DOE25'!I44</f>
        <v>0</v>
      </c>
      <c r="G43" s="23" t="s">
        <v>288</v>
      </c>
      <c r="H43" s="13">
        <f t="shared" si="2"/>
        <v>250000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17524.060000000001</v>
      </c>
      <c r="D45" s="23" t="s">
        <v>288</v>
      </c>
      <c r="E45" s="23" t="s">
        <v>288</v>
      </c>
      <c r="F45" s="23" t="s">
        <v>288</v>
      </c>
      <c r="G45" s="23" t="s">
        <v>288</v>
      </c>
      <c r="H45" s="13">
        <f t="shared" si="2"/>
        <v>17524.060000000001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517086.77</v>
      </c>
      <c r="H47" s="13">
        <f t="shared" si="2"/>
        <v>517086.77</v>
      </c>
      <c r="I47" s="90"/>
    </row>
    <row r="48" spans="1:9" x14ac:dyDescent="0.2">
      <c r="A48" s="1" t="s">
        <v>878</v>
      </c>
      <c r="B48" s="6">
        <v>753</v>
      </c>
      <c r="C48" s="73">
        <f>'DOE25'!F49</f>
        <v>23699.06</v>
      </c>
      <c r="D48" s="73">
        <f>'DOE25'!G49</f>
        <v>0</v>
      </c>
      <c r="E48" s="73">
        <f>'DOE25'!H49</f>
        <v>0</v>
      </c>
      <c r="F48" s="73">
        <f>'DOE25'!I49</f>
        <v>0</v>
      </c>
      <c r="G48" s="73">
        <f>'DOE25'!J49</f>
        <v>0</v>
      </c>
      <c r="H48" s="13">
        <f t="shared" si="2"/>
        <v>23699.06</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291223.12</v>
      </c>
      <c r="D50" s="38">
        <f>SUM(D34:D49)</f>
        <v>40761.39</v>
      </c>
      <c r="E50" s="38">
        <f>SUM(E34:E49)</f>
        <v>0</v>
      </c>
      <c r="F50" s="38">
        <f>SUM(F34:F49)</f>
        <v>0</v>
      </c>
      <c r="G50" s="38">
        <f>SUM(G34:G49)</f>
        <v>517086.77</v>
      </c>
      <c r="H50" s="38">
        <f t="shared" si="2"/>
        <v>849071.28</v>
      </c>
      <c r="I50" s="90"/>
    </row>
    <row r="51" spans="1:9" ht="12" thickTop="1" x14ac:dyDescent="0.2">
      <c r="A51" s="35" t="s">
        <v>881</v>
      </c>
      <c r="B51" s="2"/>
      <c r="C51" s="38">
        <f>C50+C31</f>
        <v>1208465.21</v>
      </c>
      <c r="D51" s="38">
        <f>D50+D31</f>
        <v>61719.839999999997</v>
      </c>
      <c r="E51" s="38">
        <f>E50+E31</f>
        <v>200654.93</v>
      </c>
      <c r="F51" s="38">
        <f>F50+F31</f>
        <v>0</v>
      </c>
      <c r="G51" s="38">
        <f>G50+G31</f>
        <v>517086.77</v>
      </c>
      <c r="H51" s="38">
        <f t="shared" si="2"/>
        <v>1987926.75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26899409</v>
      </c>
      <c r="D56" s="73">
        <f>'DOE25'!G60</f>
        <v>0</v>
      </c>
      <c r="E56" s="73">
        <f>'DOE25'!H60</f>
        <v>0</v>
      </c>
      <c r="F56" s="73">
        <f>'DOE25'!I60</f>
        <v>0</v>
      </c>
      <c r="G56" s="73">
        <f>'DOE25'!J60</f>
        <v>0</v>
      </c>
      <c r="H56" s="13">
        <f t="shared" ref="H56:H63" si="3">SUM(C56:G56)</f>
        <v>26899409</v>
      </c>
      <c r="I56"/>
    </row>
    <row r="57" spans="1:9" x14ac:dyDescent="0.2">
      <c r="A57" s="1" t="s">
        <v>164</v>
      </c>
      <c r="B57" s="6" t="s">
        <v>165</v>
      </c>
      <c r="C57" s="73">
        <f>'DOE25'!F79</f>
        <v>6460.4</v>
      </c>
      <c r="D57" s="23" t="s">
        <v>288</v>
      </c>
      <c r="E57" s="73">
        <f>'DOE25'!H79</f>
        <v>0</v>
      </c>
      <c r="F57" s="23" t="s">
        <v>288</v>
      </c>
      <c r="G57" s="23" t="s">
        <v>288</v>
      </c>
      <c r="H57" s="13">
        <f t="shared" si="3"/>
        <v>6460.4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106790.02</v>
      </c>
      <c r="D59" s="73">
        <f>'DOE25'!G96</f>
        <v>0</v>
      </c>
      <c r="E59" s="73">
        <f>'DOE25'!H96</f>
        <v>0</v>
      </c>
      <c r="F59" s="73">
        <f>'DOE25'!I96</f>
        <v>0</v>
      </c>
      <c r="G59" s="73">
        <f>'DOE25'!J96</f>
        <v>58152.71</v>
      </c>
      <c r="H59" s="13">
        <f t="shared" si="3"/>
        <v>164942.73000000001</v>
      </c>
      <c r="I59"/>
    </row>
    <row r="60" spans="1:9" x14ac:dyDescent="0.2">
      <c r="A60" s="1" t="s">
        <v>170</v>
      </c>
      <c r="B60" s="22" t="s">
        <v>171</v>
      </c>
      <c r="C60" s="23" t="s">
        <v>288</v>
      </c>
      <c r="D60" s="73">
        <f>'DOE25'!G97</f>
        <v>529040.98</v>
      </c>
      <c r="E60" s="23" t="s">
        <v>288</v>
      </c>
      <c r="F60" s="23" t="s">
        <v>288</v>
      </c>
      <c r="G60" s="23" t="s">
        <v>288</v>
      </c>
      <c r="H60" s="13">
        <f t="shared" si="3"/>
        <v>529040.98</v>
      </c>
      <c r="I60"/>
    </row>
    <row r="61" spans="1:9" ht="12" thickBot="1" x14ac:dyDescent="0.25">
      <c r="A61" s="1" t="s">
        <v>172</v>
      </c>
      <c r="B61" s="22" t="s">
        <v>173</v>
      </c>
      <c r="C61" s="73">
        <f>SUM('DOE25'!F98:F110)</f>
        <v>67135.22</v>
      </c>
      <c r="D61" s="73">
        <f>SUM('DOE25'!G98:G110)</f>
        <v>7037.88</v>
      </c>
      <c r="E61" s="73">
        <f>SUM('DOE25'!H98:H110)</f>
        <v>24788.18</v>
      </c>
      <c r="F61" s="73">
        <f>SUM('DOE25'!I98:I110)</f>
        <v>0</v>
      </c>
      <c r="G61" s="73">
        <f>SUM('DOE25'!J98:J110)</f>
        <v>0</v>
      </c>
      <c r="H61" s="13">
        <f t="shared" si="3"/>
        <v>98961.279999999999</v>
      </c>
      <c r="I61"/>
    </row>
    <row r="62" spans="1:9" ht="12.75" thickTop="1" thickBot="1" x14ac:dyDescent="0.25">
      <c r="A62" s="28" t="s">
        <v>174</v>
      </c>
      <c r="B62" s="6"/>
      <c r="C62" s="93">
        <f>SUM(C57:C61)</f>
        <v>180385.64</v>
      </c>
      <c r="D62" s="93">
        <f>SUM(D57:D61)</f>
        <v>536078.86</v>
      </c>
      <c r="E62" s="93">
        <f>SUM(E57:E61)</f>
        <v>24788.18</v>
      </c>
      <c r="F62" s="93">
        <f>SUM(F57:F61)</f>
        <v>0</v>
      </c>
      <c r="G62" s="93">
        <f>SUM(G57:G61)</f>
        <v>58152.71</v>
      </c>
      <c r="H62" s="13">
        <f t="shared" si="3"/>
        <v>799405.39</v>
      </c>
      <c r="I62"/>
    </row>
    <row r="63" spans="1:9" ht="12" thickTop="1" x14ac:dyDescent="0.2">
      <c r="A63" s="28" t="s">
        <v>175</v>
      </c>
      <c r="B63" s="6"/>
      <c r="C63" s="21">
        <f>C56+C62</f>
        <v>27079794.640000001</v>
      </c>
      <c r="D63" s="21">
        <f>D56+D62</f>
        <v>536078.86</v>
      </c>
      <c r="E63" s="21">
        <f>E56+E62</f>
        <v>24788.18</v>
      </c>
      <c r="F63" s="21">
        <f>F56+F62</f>
        <v>0</v>
      </c>
      <c r="G63" s="21">
        <f>G56+G62</f>
        <v>58152.71</v>
      </c>
      <c r="H63" s="13">
        <f t="shared" si="3"/>
        <v>27698814.390000001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5452497.7000000002</v>
      </c>
      <c r="D66" s="23" t="s">
        <v>288</v>
      </c>
      <c r="E66" s="23" t="s">
        <v>288</v>
      </c>
      <c r="F66" s="23" t="s">
        <v>288</v>
      </c>
      <c r="G66" s="23" t="s">
        <v>288</v>
      </c>
      <c r="H66" s="13">
        <f t="shared" ref="H66:H81" si="4">SUM(C66:G66)</f>
        <v>5452497.7000000002</v>
      </c>
      <c r="I66"/>
    </row>
    <row r="67" spans="1:9" x14ac:dyDescent="0.2">
      <c r="A67" s="1" t="s">
        <v>767</v>
      </c>
      <c r="B67" s="6">
        <v>3112</v>
      </c>
      <c r="C67" s="73">
        <f>'DOE25'!F118</f>
        <v>3785751</v>
      </c>
      <c r="D67" s="23"/>
      <c r="E67" s="23"/>
      <c r="F67" s="23"/>
      <c r="G67" s="23"/>
      <c r="H67" s="13">
        <f t="shared" si="4"/>
        <v>3785751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13608.52</v>
      </c>
      <c r="D69" s="73">
        <f>'DOE25'!G120</f>
        <v>0</v>
      </c>
      <c r="E69" s="73">
        <f>'DOE25'!H120</f>
        <v>0</v>
      </c>
      <c r="F69" s="73">
        <f>'DOE25'!I120</f>
        <v>0</v>
      </c>
      <c r="G69" s="73">
        <f>'DOE25'!J120</f>
        <v>0</v>
      </c>
      <c r="H69" s="13">
        <f t="shared" si="4"/>
        <v>13608.52</v>
      </c>
      <c r="I69"/>
    </row>
    <row r="70" spans="1:9" ht="12" thickTop="1" x14ac:dyDescent="0.2">
      <c r="A70" s="28" t="s">
        <v>252</v>
      </c>
      <c r="B70" s="2"/>
      <c r="C70" s="97">
        <f>SUM(C66:C69)</f>
        <v>9251857.2199999988</v>
      </c>
      <c r="D70" s="97">
        <f>D69</f>
        <v>0</v>
      </c>
      <c r="E70" s="97">
        <f>E69</f>
        <v>0</v>
      </c>
      <c r="F70" s="97">
        <f>F69</f>
        <v>0</v>
      </c>
      <c r="G70" s="97">
        <f>G69</f>
        <v>0</v>
      </c>
      <c r="H70" s="13">
        <f t="shared" si="4"/>
        <v>9251857.2199999988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829017.35</v>
      </c>
      <c r="D75" s="23" t="s">
        <v>288</v>
      </c>
      <c r="E75" s="23" t="s">
        <v>288</v>
      </c>
      <c r="F75" s="23" t="s">
        <v>288</v>
      </c>
      <c r="G75" s="23" t="s">
        <v>288</v>
      </c>
      <c r="H75" s="13">
        <f t="shared" si="4"/>
        <v>829017.35</v>
      </c>
      <c r="I75"/>
    </row>
    <row r="76" spans="1:9" x14ac:dyDescent="0.2">
      <c r="A76" s="1" t="s">
        <v>257</v>
      </c>
      <c r="B76" s="6" t="s">
        <v>179</v>
      </c>
      <c r="C76" s="73">
        <f>SUM('DOE25'!F127:F130)</f>
        <v>1981.7</v>
      </c>
      <c r="D76" s="23" t="s">
        <v>288</v>
      </c>
      <c r="E76" s="73">
        <f>SUM('DOE25'!H127:H130)</f>
        <v>0</v>
      </c>
      <c r="F76" s="73">
        <f>SUM('DOE25'!I127:I130)</f>
        <v>0</v>
      </c>
      <c r="G76" s="23" t="s">
        <v>288</v>
      </c>
      <c r="H76" s="13">
        <f t="shared" si="4"/>
        <v>1981.7</v>
      </c>
      <c r="I76"/>
    </row>
    <row r="77" spans="1:9" ht="12" thickBot="1" x14ac:dyDescent="0.25">
      <c r="A77" s="1" t="s">
        <v>258</v>
      </c>
      <c r="B77" s="6" t="s">
        <v>180</v>
      </c>
      <c r="C77" s="73">
        <f>SUM('DOE25'!F131:F135)</f>
        <v>0</v>
      </c>
      <c r="D77" s="73">
        <f>SUM('DOE25'!G131:G135)</f>
        <v>9442.09</v>
      </c>
      <c r="E77" s="73">
        <f>SUM('DOE25'!H131:H135)</f>
        <v>0</v>
      </c>
      <c r="F77" s="73">
        <f>SUM('DOE25'!I131:I135)</f>
        <v>0</v>
      </c>
      <c r="G77" s="73">
        <f>SUM('DOE25'!J131:J135)</f>
        <v>0</v>
      </c>
      <c r="H77" s="13">
        <f t="shared" si="4"/>
        <v>9442.09</v>
      </c>
      <c r="I77"/>
    </row>
    <row r="78" spans="1:9" ht="12.75" thickTop="1" thickBot="1" x14ac:dyDescent="0.25">
      <c r="A78" s="28" t="s">
        <v>259</v>
      </c>
      <c r="B78" s="6"/>
      <c r="C78" s="93">
        <f>SUM(C72:C77)</f>
        <v>830999.04999999993</v>
      </c>
      <c r="D78" s="93">
        <f>SUM(D72:D77)</f>
        <v>9442.09</v>
      </c>
      <c r="E78" s="93">
        <f>SUM(E72:E77)</f>
        <v>0</v>
      </c>
      <c r="F78" s="93">
        <f>SUM(F72:F77)</f>
        <v>0</v>
      </c>
      <c r="G78" s="93">
        <f>SUM(G72:G77)</f>
        <v>0</v>
      </c>
      <c r="H78" s="13">
        <f t="shared" si="4"/>
        <v>840441.1399999999</v>
      </c>
      <c r="I78"/>
    </row>
    <row r="79" spans="1:9" ht="12" thickTop="1" x14ac:dyDescent="0.2">
      <c r="A79" s="1" t="s">
        <v>260</v>
      </c>
      <c r="B79" s="6">
        <v>3700</v>
      </c>
      <c r="C79" s="73">
        <f>'DOE25'!F137</f>
        <v>0</v>
      </c>
      <c r="D79" s="73">
        <f>'DOE25'!G137</f>
        <v>0</v>
      </c>
      <c r="E79" s="73">
        <f>'DOE25'!H137</f>
        <v>3420</v>
      </c>
      <c r="F79" s="23" t="s">
        <v>288</v>
      </c>
      <c r="G79" s="23" t="s">
        <v>288</v>
      </c>
      <c r="H79" s="13">
        <f t="shared" si="4"/>
        <v>3420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10082856.27</v>
      </c>
      <c r="D81" s="93">
        <f>SUM(D79:D80)+D78+D70</f>
        <v>9442.09</v>
      </c>
      <c r="E81" s="93">
        <f>SUM(E79:E80)+E78+E70</f>
        <v>3420</v>
      </c>
      <c r="F81" s="93">
        <f>SUM(F79:F80)+F78+F70</f>
        <v>0</v>
      </c>
      <c r="G81" s="93">
        <f>SUM(G79:G80)+G78+G70</f>
        <v>0</v>
      </c>
      <c r="H81" s="93">
        <f t="shared" si="4"/>
        <v>10095718.359999999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5645.21</v>
      </c>
      <c r="D88" s="252">
        <f>SUM('DOE25'!G153:G162)</f>
        <v>190061.86</v>
      </c>
      <c r="E88" s="252">
        <f>SUM('DOE25'!H153:H162)</f>
        <v>2725401.74</v>
      </c>
      <c r="F88" s="252">
        <f>SUM('DOE25'!I153:I162)</f>
        <v>0</v>
      </c>
      <c r="G88" s="23" t="s">
        <v>288</v>
      </c>
      <c r="H88" s="13">
        <f t="shared" si="5"/>
        <v>2921108.81</v>
      </c>
    </row>
    <row r="89" spans="1:9" x14ac:dyDescent="0.2">
      <c r="A89" t="s">
        <v>745</v>
      </c>
      <c r="B89" s="31" t="s">
        <v>185</v>
      </c>
      <c r="C89" s="73">
        <f>'DOE25'!F164+'DOE25'!F167+'DOE25'!F169</f>
        <v>0</v>
      </c>
      <c r="D89" s="73">
        <f>'DOE25'!G164+'DOE25'!G169</f>
        <v>0</v>
      </c>
      <c r="E89" s="73">
        <f>'DOE25'!H164+'DOE25'!H169</f>
        <v>41176.58</v>
      </c>
      <c r="F89" s="73">
        <f>'DOE25'!I164</f>
        <v>0</v>
      </c>
      <c r="G89" s="23" t="s">
        <v>288</v>
      </c>
      <c r="H89" s="13">
        <f t="shared" si="5"/>
        <v>41176.58</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5645.21</v>
      </c>
      <c r="D91" s="94">
        <f>SUM(D85:D90)</f>
        <v>190061.86</v>
      </c>
      <c r="E91" s="94">
        <f>SUM(E85:E90)</f>
        <v>2766578.3200000003</v>
      </c>
      <c r="F91" s="94">
        <f>SUM(F85:F90)</f>
        <v>0</v>
      </c>
      <c r="G91" s="23" t="s">
        <v>288</v>
      </c>
      <c r="H91" s="13">
        <f t="shared" si="5"/>
        <v>2962285.39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250000</v>
      </c>
      <c r="H96" s="13">
        <f t="shared" si="5"/>
        <v>250000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307487.02</v>
      </c>
      <c r="D99" s="73">
        <f>'DOE25'!G186</f>
        <v>0</v>
      </c>
      <c r="E99" s="73">
        <f>'DOE25'!H186</f>
        <v>0</v>
      </c>
      <c r="F99" s="73">
        <f>'DOE25'!I186</f>
        <v>0</v>
      </c>
      <c r="G99" s="23" t="s">
        <v>288</v>
      </c>
      <c r="H99" s="13">
        <f t="shared" si="5"/>
        <v>307487.02</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307487.02</v>
      </c>
      <c r="D103" s="68">
        <f>SUM(D93:D102)</f>
        <v>0</v>
      </c>
      <c r="E103" s="68">
        <f>SUM(E93:E102)</f>
        <v>0</v>
      </c>
      <c r="F103" s="68">
        <f>SUM(F93:F102)</f>
        <v>0</v>
      </c>
      <c r="G103" s="68">
        <f>SUM(G93:G102)</f>
        <v>250000</v>
      </c>
      <c r="H103" s="68">
        <f t="shared" si="5"/>
        <v>557487.02</v>
      </c>
    </row>
    <row r="104" spans="1:8" ht="12.75" thickTop="1" thickBot="1" x14ac:dyDescent="0.25">
      <c r="A104" s="32" t="s">
        <v>758</v>
      </c>
      <c r="C104" s="68">
        <f>C63+C81+C91+C103</f>
        <v>37475783.140000001</v>
      </c>
      <c r="D104" s="68">
        <f>D63+D81+D91+D103</f>
        <v>735582.80999999994</v>
      </c>
      <c r="E104" s="68">
        <f>E63+E81+E91+E103</f>
        <v>2794786.5000000005</v>
      </c>
      <c r="F104" s="68">
        <f>F63+F81+F91+F103</f>
        <v>0</v>
      </c>
      <c r="G104" s="68">
        <f>G63+G81+G103</f>
        <v>308152.71000000002</v>
      </c>
      <c r="H104" s="68">
        <f t="shared" si="5"/>
        <v>41314305.160000004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17734793.879999999</v>
      </c>
      <c r="D109" s="23" t="s">
        <v>288</v>
      </c>
      <c r="E109" s="73">
        <f>('DOE25'!L277)+('DOE25'!L296)+('DOE25'!L315)</f>
        <v>641099.90999999992</v>
      </c>
      <c r="F109" s="23" t="s">
        <v>288</v>
      </c>
      <c r="G109" s="23" t="s">
        <v>288</v>
      </c>
      <c r="H109" s="13">
        <f t="shared" ref="H109:H115" si="6">SUM(C109:G109)</f>
        <v>18375893.789999999</v>
      </c>
    </row>
    <row r="110" spans="1:8" x14ac:dyDescent="0.2">
      <c r="A110" t="s">
        <v>198</v>
      </c>
      <c r="B110" s="31" t="s">
        <v>199</v>
      </c>
      <c r="C110" s="73">
        <f>('DOE25'!L199)+('DOE25'!L217)+('DOE25'!L235)</f>
        <v>9353818.1600000001</v>
      </c>
      <c r="D110" s="23" t="s">
        <v>288</v>
      </c>
      <c r="E110" s="73">
        <f>('DOE25'!L278)+('DOE25'!L297)+('DOE25'!L316)</f>
        <v>581374.33000000007</v>
      </c>
      <c r="F110" s="23" t="s">
        <v>288</v>
      </c>
      <c r="G110" s="23" t="s">
        <v>288</v>
      </c>
      <c r="H110" s="13">
        <f t="shared" si="6"/>
        <v>9935192.4900000002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159161.54</v>
      </c>
      <c r="D112" s="23" t="s">
        <v>288</v>
      </c>
      <c r="E112" s="73">
        <f>+('DOE25'!L280)+('DOE25'!L299)+('DOE25'!L318)</f>
        <v>2000</v>
      </c>
      <c r="F112" s="23" t="s">
        <v>288</v>
      </c>
      <c r="G112" s="23" t="s">
        <v>288</v>
      </c>
      <c r="H112" s="13">
        <f t="shared" si="6"/>
        <v>161161.54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27247773.579999998</v>
      </c>
      <c r="D115" s="68">
        <f>SUM(D109:D114)</f>
        <v>0</v>
      </c>
      <c r="E115" s="68">
        <f>SUM(E109:E114)</f>
        <v>1224474.24</v>
      </c>
      <c r="F115" s="68">
        <f>SUM(F109:F114)</f>
        <v>0</v>
      </c>
      <c r="G115" s="68">
        <f>SUM(G109:G114)</f>
        <v>0</v>
      </c>
      <c r="H115" s="68">
        <f t="shared" si="6"/>
        <v>28472247.819999997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2623312.04</v>
      </c>
      <c r="D118" s="23" t="s">
        <v>288</v>
      </c>
      <c r="E118" s="73">
        <f>+('DOE25'!L282)+('DOE25'!L301)+('DOE25'!L320)</f>
        <v>6532.76</v>
      </c>
      <c r="F118" s="23" t="s">
        <v>288</v>
      </c>
      <c r="G118" s="23" t="s">
        <v>288</v>
      </c>
      <c r="H118" s="13">
        <f t="shared" ref="H118:H145" si="7">SUM(C118:G118)</f>
        <v>2629844.7999999998</v>
      </c>
    </row>
    <row r="119" spans="1:8" x14ac:dyDescent="0.2">
      <c r="A119" t="s">
        <v>208</v>
      </c>
      <c r="B119" s="31" t="s">
        <v>209</v>
      </c>
      <c r="C119" s="73">
        <f>('DOE25'!L204)+('DOE25'!L222)+('DOE25'!L240)</f>
        <v>523985.26999999996</v>
      </c>
      <c r="D119" s="23" t="s">
        <v>288</v>
      </c>
      <c r="E119" s="73">
        <f>+('DOE25'!L283)+('DOE25'!L302)+('DOE25'!L321)</f>
        <v>141979.33000000002</v>
      </c>
      <c r="F119" s="23" t="s">
        <v>288</v>
      </c>
      <c r="G119" s="23" t="s">
        <v>288</v>
      </c>
      <c r="H119" s="13">
        <f t="shared" si="7"/>
        <v>665964.6</v>
      </c>
    </row>
    <row r="120" spans="1:8" x14ac:dyDescent="0.2">
      <c r="A120" t="s">
        <v>210</v>
      </c>
      <c r="B120" s="31" t="s">
        <v>211</v>
      </c>
      <c r="C120" s="73">
        <f>('DOE25'!L205)+('DOE25'!L223)+('DOE25'!L241)</f>
        <v>924778.37000000011</v>
      </c>
      <c r="D120" s="23" t="s">
        <v>288</v>
      </c>
      <c r="E120" s="73">
        <f>+('DOE25'!L284)+('DOE25'!L303)+('DOE25'!L322)</f>
        <v>0</v>
      </c>
      <c r="F120" s="23" t="s">
        <v>288</v>
      </c>
      <c r="G120" s="23" t="s">
        <v>288</v>
      </c>
      <c r="H120" s="13">
        <f t="shared" si="7"/>
        <v>924778.37000000011</v>
      </c>
    </row>
    <row r="121" spans="1:8" x14ac:dyDescent="0.2">
      <c r="A121" t="s">
        <v>212</v>
      </c>
      <c r="B121" s="31" t="s">
        <v>213</v>
      </c>
      <c r="C121" s="73">
        <f>('DOE25'!L206)+('DOE25'!L224)+('DOE25'!L242)</f>
        <v>1422232.51</v>
      </c>
      <c r="D121" s="23" t="s">
        <v>288</v>
      </c>
      <c r="E121" s="73">
        <f>+('DOE25'!L285)+('DOE25'!L304)+('DOE25'!L323)</f>
        <v>0</v>
      </c>
      <c r="F121" s="23" t="s">
        <v>288</v>
      </c>
      <c r="G121" s="23" t="s">
        <v>288</v>
      </c>
      <c r="H121" s="13">
        <f t="shared" si="7"/>
        <v>1422232.51</v>
      </c>
    </row>
    <row r="122" spans="1:8" x14ac:dyDescent="0.2">
      <c r="A122" t="s">
        <v>214</v>
      </c>
      <c r="B122" s="31" t="s">
        <v>215</v>
      </c>
      <c r="C122" s="73">
        <f>('DOE25'!L207)+('DOE25'!L225)+('DOE25'!L243)</f>
        <v>0</v>
      </c>
      <c r="D122" s="23" t="s">
        <v>288</v>
      </c>
      <c r="E122" s="73">
        <f>+('DOE25'!L286)+('DOE25'!L305)+('DOE25'!L324)</f>
        <v>55011.81</v>
      </c>
      <c r="F122" s="23" t="s">
        <v>288</v>
      </c>
      <c r="G122" s="23" t="s">
        <v>288</v>
      </c>
      <c r="H122" s="13">
        <f t="shared" si="7"/>
        <v>55011.81</v>
      </c>
    </row>
    <row r="123" spans="1:8" x14ac:dyDescent="0.2">
      <c r="A123" t="s">
        <v>216</v>
      </c>
      <c r="B123" s="31" t="s">
        <v>217</v>
      </c>
      <c r="C123" s="73">
        <f>('DOE25'!L208)+('DOE25'!L226)+('DOE25'!L244)</f>
        <v>2316272.2600000002</v>
      </c>
      <c r="D123" s="23" t="s">
        <v>288</v>
      </c>
      <c r="E123" s="73">
        <f>+('DOE25'!L287)+('DOE25'!L306)+('DOE25'!L325)</f>
        <v>1257307.56</v>
      </c>
      <c r="F123" s="23" t="s">
        <v>288</v>
      </c>
      <c r="G123" s="23" t="s">
        <v>288</v>
      </c>
      <c r="H123" s="13">
        <f t="shared" si="7"/>
        <v>3573579.8200000003</v>
      </c>
    </row>
    <row r="124" spans="1:8" x14ac:dyDescent="0.2">
      <c r="A124" t="s">
        <v>218</v>
      </c>
      <c r="B124" s="31" t="s">
        <v>219</v>
      </c>
      <c r="C124" s="73">
        <f>('DOE25'!L209)+('DOE25'!L227)+('DOE25'!L245+'DOE25'!L255)</f>
        <v>3050267.2800000003</v>
      </c>
      <c r="D124" s="23" t="s">
        <v>288</v>
      </c>
      <c r="E124" s="73">
        <f>+('DOE25'!L288)+('DOE25'!L307)+('DOE25'!L326)</f>
        <v>45516.04</v>
      </c>
      <c r="F124" s="23" t="s">
        <v>288</v>
      </c>
      <c r="G124" s="23" t="s">
        <v>288</v>
      </c>
      <c r="H124" s="13">
        <f t="shared" si="7"/>
        <v>3095783.3200000003</v>
      </c>
    </row>
    <row r="125" spans="1:8" x14ac:dyDescent="0.2">
      <c r="A125" t="s">
        <v>220</v>
      </c>
      <c r="B125" s="31" t="s">
        <v>221</v>
      </c>
      <c r="C125" s="73">
        <f>('DOE25'!L210)+('DOE25'!L228)+('DOE25'!L246)</f>
        <v>482818.22000000003</v>
      </c>
      <c r="D125" s="23" t="s">
        <v>288</v>
      </c>
      <c r="E125" s="73">
        <f>+('DOE25'!L289)+('DOE25'!L308)+('DOE25'!L327)</f>
        <v>63964.76</v>
      </c>
      <c r="F125" s="23" t="s">
        <v>288</v>
      </c>
      <c r="G125" s="23" t="s">
        <v>288</v>
      </c>
      <c r="H125" s="13">
        <f t="shared" si="7"/>
        <v>546782.98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860532.52</v>
      </c>
      <c r="E127" s="23" t="s">
        <v>288</v>
      </c>
      <c r="F127" s="23" t="s">
        <v>288</v>
      </c>
      <c r="G127" s="23" t="s">
        <v>288</v>
      </c>
      <c r="H127" s="13">
        <f t="shared" si="7"/>
        <v>860532.52</v>
      </c>
    </row>
    <row r="128" spans="1:8" ht="12.75" thickTop="1" thickBot="1" x14ac:dyDescent="0.25">
      <c r="A128" s="32" t="s">
        <v>226</v>
      </c>
      <c r="C128" s="68">
        <f>SUM(C118:C127)</f>
        <v>11343665.950000001</v>
      </c>
      <c r="D128" s="68">
        <f>SUM(D118:D127)</f>
        <v>860532.52</v>
      </c>
      <c r="E128" s="68">
        <f>SUM(E118:E127)</f>
        <v>1570312.26</v>
      </c>
      <c r="F128" s="68">
        <f>SUM(F118:F127)</f>
        <v>0</v>
      </c>
      <c r="G128" s="68">
        <f>SUM(G118:G127)</f>
        <v>0</v>
      </c>
      <c r="H128" s="68">
        <f t="shared" si="7"/>
        <v>13774510.73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308152.71000000002</v>
      </c>
      <c r="D139" s="23" t="s">
        <v>288</v>
      </c>
      <c r="E139" s="23" t="s">
        <v>288</v>
      </c>
      <c r="F139" s="23" t="s">
        <v>288</v>
      </c>
      <c r="G139" s="23" t="s">
        <v>288</v>
      </c>
      <c r="H139" s="13">
        <f t="shared" si="7"/>
        <v>308152.71000000002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-58152.710000000021</v>
      </c>
      <c r="D141" s="23" t="s">
        <v>288</v>
      </c>
      <c r="E141" s="23" t="s">
        <v>288</v>
      </c>
      <c r="F141" s="23" t="s">
        <v>288</v>
      </c>
      <c r="G141" s="23" t="s">
        <v>288</v>
      </c>
      <c r="H141" s="13">
        <f t="shared" si="7"/>
        <v>-58152.710000000021</v>
      </c>
    </row>
    <row r="142" spans="1:8" x14ac:dyDescent="0.2">
      <c r="A142" t="s">
        <v>241</v>
      </c>
      <c r="B142" s="31">
        <v>5310</v>
      </c>
      <c r="C142" s="92">
        <f>'DOE25'!L269</f>
        <v>64031.8</v>
      </c>
      <c r="D142" s="23" t="s">
        <v>288</v>
      </c>
      <c r="E142" s="92">
        <f>'DOE25'!L350</f>
        <v>0</v>
      </c>
      <c r="F142" s="23" t="s">
        <v>288</v>
      </c>
      <c r="G142" s="23" t="s">
        <v>288</v>
      </c>
      <c r="H142" s="13">
        <f t="shared" si="7"/>
        <v>64031.8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314031.8</v>
      </c>
      <c r="D144" s="98">
        <f>SUM(D130:D143)</f>
        <v>0</v>
      </c>
      <c r="E144" s="98">
        <f>SUM(E130:E143)</f>
        <v>0</v>
      </c>
      <c r="F144" s="98">
        <f>SUM(F130:F143)</f>
        <v>0</v>
      </c>
      <c r="G144" s="98">
        <f>SUM(G130:G143)</f>
        <v>0</v>
      </c>
      <c r="H144" s="98">
        <f t="shared" si="7"/>
        <v>314031.8</v>
      </c>
    </row>
    <row r="145" spans="1:9" ht="12.75" thickTop="1" thickBot="1" x14ac:dyDescent="0.25">
      <c r="A145" s="32" t="s">
        <v>244</v>
      </c>
      <c r="C145" s="68">
        <f>(C115+C128+C144)</f>
        <v>38905471.329999998</v>
      </c>
      <c r="D145" s="68">
        <f>(D115+D128+D144)</f>
        <v>860532.52</v>
      </c>
      <c r="E145" s="68">
        <f>(E115+E128+E144)</f>
        <v>2794786.5</v>
      </c>
      <c r="F145" s="68">
        <f>(F115+F128+F144)</f>
        <v>0</v>
      </c>
      <c r="G145" s="68">
        <f>(G115+G128+G144)</f>
        <v>0</v>
      </c>
      <c r="H145" s="68">
        <f t="shared" si="7"/>
        <v>42560790.350000001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6"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Hooksett</v>
      </c>
    </row>
    <row r="3" spans="1:4" x14ac:dyDescent="0.2">
      <c r="B3" s="136" t="s">
        <v>1792</v>
      </c>
    </row>
    <row r="4" spans="1:4" x14ac:dyDescent="0.2">
      <c r="B4" t="s">
        <v>61</v>
      </c>
      <c r="C4" s="128">
        <f>IF('DOE25'!F666+'DOE25'!F671=0,0,ROUND('DOE25'!F673,0))</f>
        <v>18836</v>
      </c>
    </row>
    <row r="5" spans="1:4" x14ac:dyDescent="0.2">
      <c r="B5" t="s">
        <v>700</v>
      </c>
      <c r="C5" s="128">
        <f>IF('DOE25'!G666+'DOE25'!G671=0,0,ROUND('DOE25'!G673,0))</f>
        <v>20173</v>
      </c>
    </row>
    <row r="6" spans="1:4" x14ac:dyDescent="0.2">
      <c r="B6" t="s">
        <v>62</v>
      </c>
      <c r="C6" s="128">
        <f>IF('DOE25'!H666+'DOE25'!H671=0,0,ROUND('DOE25'!H673,0))</f>
        <v>0</v>
      </c>
    </row>
    <row r="7" spans="1:4" x14ac:dyDescent="0.2">
      <c r="B7" t="s">
        <v>701</v>
      </c>
      <c r="C7" s="128">
        <f>IF('DOE25'!I666+'DOE25'!I671=0,0,ROUND('DOE25'!I673,0))</f>
        <v>19285</v>
      </c>
    </row>
    <row r="9" spans="1:4" x14ac:dyDescent="0.2">
      <c r="A9" s="135" t="s">
        <v>94</v>
      </c>
      <c r="B9" s="136" t="s">
        <v>1793</v>
      </c>
      <c r="C9" s="130" t="s">
        <v>720</v>
      </c>
      <c r="D9" s="130" t="s">
        <v>721</v>
      </c>
    </row>
    <row r="10" spans="1:4" x14ac:dyDescent="0.2">
      <c r="A10">
        <v>1100</v>
      </c>
      <c r="B10" t="s">
        <v>702</v>
      </c>
      <c r="C10" s="128">
        <f>ROUND('DOE25'!L198+'DOE25'!L216+'DOE25'!L234+'DOE25'!L277+'DOE25'!L296+'DOE25'!L315,0)</f>
        <v>18375894</v>
      </c>
      <c r="D10" s="131">
        <f>ROUND((C10/$C$28)*100,1)</f>
        <v>44</v>
      </c>
    </row>
    <row r="11" spans="1:4" x14ac:dyDescent="0.2">
      <c r="A11">
        <v>1200</v>
      </c>
      <c r="B11" t="s">
        <v>703</v>
      </c>
      <c r="C11" s="128">
        <f>ROUND('DOE25'!L199+'DOE25'!L217+'DOE25'!L235+'DOE25'!L278+'DOE25'!L297+'DOE25'!L316,0)</f>
        <v>9935192</v>
      </c>
      <c r="D11" s="131">
        <f>ROUND((C11/$C$28)*100,1)</f>
        <v>23.8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161162</v>
      </c>
      <c r="D13" s="131">
        <f>ROUND((C13/$C$28)*100,1)</f>
        <v>0.4</v>
      </c>
    </row>
    <row r="14" spans="1:4" x14ac:dyDescent="0.2">
      <c r="D14" s="131"/>
    </row>
    <row r="15" spans="1:4" x14ac:dyDescent="0.2">
      <c r="A15">
        <v>2100</v>
      </c>
      <c r="B15" t="s">
        <v>706</v>
      </c>
      <c r="C15" s="128">
        <f>ROUND('DOE25'!L203+'DOE25'!L221+'DOE25'!L239+'DOE25'!L282+'DOE25'!L301+'DOE25'!L320,0)</f>
        <v>2629845</v>
      </c>
      <c r="D15" s="131">
        <f t="shared" ref="D15:D27" si="0">ROUND((C15/$C$28)*100,1)</f>
        <v>6.3</v>
      </c>
    </row>
    <row r="16" spans="1:4" x14ac:dyDescent="0.2">
      <c r="A16">
        <v>2200</v>
      </c>
      <c r="B16" t="s">
        <v>707</v>
      </c>
      <c r="C16" s="128">
        <f>ROUND('DOE25'!L204+'DOE25'!L222+'DOE25'!L240+'DOE25'!L283+'DOE25'!L302+'DOE25'!L321,0)</f>
        <v>665965</v>
      </c>
      <c r="D16" s="131">
        <f t="shared" si="0"/>
        <v>1.6</v>
      </c>
    </row>
    <row r="17" spans="1:4" x14ac:dyDescent="0.2">
      <c r="A17" s="132" t="s">
        <v>723</v>
      </c>
      <c r="B17" t="s">
        <v>738</v>
      </c>
      <c r="C17" s="128">
        <f>ROUND('DOE25'!L205+'DOE25'!L210+'DOE25'!L223+'DOE25'!L228+'DOE25'!L241+'DOE25'!L246+'DOE25'!L284+'DOE25'!L289+'DOE25'!L303+'DOE25'!L308+'DOE25'!L322+'DOE25'!L327,0)</f>
        <v>1471561</v>
      </c>
      <c r="D17" s="131">
        <f t="shared" si="0"/>
        <v>3.5</v>
      </c>
    </row>
    <row r="18" spans="1:4" x14ac:dyDescent="0.2">
      <c r="A18">
        <v>2400</v>
      </c>
      <c r="B18" t="s">
        <v>711</v>
      </c>
      <c r="C18" s="128">
        <f>ROUND('DOE25'!L206+'DOE25'!L224+'DOE25'!L242+'DOE25'!L285+'DOE25'!L304+'DOE25'!L323,0)</f>
        <v>1422233</v>
      </c>
      <c r="D18" s="131">
        <f t="shared" si="0"/>
        <v>3.4</v>
      </c>
    </row>
    <row r="19" spans="1:4" x14ac:dyDescent="0.2">
      <c r="A19">
        <v>2500</v>
      </c>
      <c r="B19" t="s">
        <v>708</v>
      </c>
      <c r="C19" s="128">
        <f>ROUND('DOE25'!L207+'DOE25'!L225+'DOE25'!L243+'DOE25'!L286+'DOE25'!L305+'DOE25'!L324,0)</f>
        <v>55012</v>
      </c>
      <c r="D19" s="131">
        <f t="shared" si="0"/>
        <v>0.1</v>
      </c>
    </row>
    <row r="20" spans="1:4" x14ac:dyDescent="0.2">
      <c r="A20">
        <v>2600</v>
      </c>
      <c r="B20" t="s">
        <v>709</v>
      </c>
      <c r="C20" s="128">
        <f>ROUND('DOE25'!L208+'DOE25'!L226+'DOE25'!L244+'DOE25'!L287+'DOE25'!L306+'DOE25'!L325,0)</f>
        <v>3573580</v>
      </c>
      <c r="D20" s="131">
        <f t="shared" si="0"/>
        <v>8.6</v>
      </c>
    </row>
    <row r="21" spans="1:4" x14ac:dyDescent="0.2">
      <c r="A21">
        <v>2700</v>
      </c>
      <c r="B21" t="s">
        <v>710</v>
      </c>
      <c r="C21" s="128">
        <f>ROUND('DOE25'!L209+'DOE25'!L227+'DOE25'!L245+'DOE25'!L288+'DOE25'!L307+'DOE25'!L326,0)</f>
        <v>3095783</v>
      </c>
      <c r="D21" s="131">
        <f t="shared" si="0"/>
        <v>7.4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64031.8</v>
      </c>
      <c r="D26" s="131">
        <f t="shared" si="0"/>
        <v>0.2</v>
      </c>
    </row>
    <row r="27" spans="1:4" x14ac:dyDescent="0.2">
      <c r="A27">
        <v>3100</v>
      </c>
      <c r="B27" t="s">
        <v>11</v>
      </c>
      <c r="C27" s="128">
        <f>ROUND('DOE25'!L363-'DOE25'!L362,0)-SUM('DOE25'!G97:G110)</f>
        <v>324454.14</v>
      </c>
      <c r="D27" s="131">
        <f t="shared" si="0"/>
        <v>0.8</v>
      </c>
    </row>
    <row r="28" spans="1:4" x14ac:dyDescent="0.2">
      <c r="B28" s="135" t="s">
        <v>719</v>
      </c>
      <c r="C28" s="129">
        <f>SUM(C10:C27)</f>
        <v>41774712.939999998</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41774712.939999998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26899409</v>
      </c>
      <c r="D35" s="131">
        <f t="shared" ref="D35:D40" si="1">ROUND((C35/$C$41)*100,1)</f>
        <v>66.900000000000006</v>
      </c>
    </row>
    <row r="36" spans="1:4" x14ac:dyDescent="0.2">
      <c r="B36" s="71" t="s">
        <v>739</v>
      </c>
      <c r="C36" s="128">
        <f>SUM('DOE25'!F112:J112)-SUM('DOE25'!G97:G110)+('DOE25'!F175+'DOE25'!F176+'DOE25'!I175+'DOE25'!I176)-C35</f>
        <v>263326.52999999747</v>
      </c>
      <c r="D36" s="131">
        <f t="shared" si="1"/>
        <v>0.7</v>
      </c>
    </row>
    <row r="37" spans="1:4" x14ac:dyDescent="0.2">
      <c r="A37" s="132" t="s">
        <v>831</v>
      </c>
      <c r="B37" s="71" t="s">
        <v>728</v>
      </c>
      <c r="C37" s="128">
        <f>ROUND('DOE25'!F117+'DOE25'!F118,0)</f>
        <v>9238249</v>
      </c>
      <c r="D37" s="131">
        <f t="shared" si="1"/>
        <v>23</v>
      </c>
    </row>
    <row r="38" spans="1:4" x14ac:dyDescent="0.2">
      <c r="A38" s="132" t="s">
        <v>734</v>
      </c>
      <c r="B38" s="71" t="s">
        <v>729</v>
      </c>
      <c r="C38" s="128">
        <f>ROUND(SUM('DOE25'!F140:J140)-SUM('DOE25'!F117:F119),0)</f>
        <v>857470</v>
      </c>
      <c r="D38" s="131">
        <f t="shared" si="1"/>
        <v>2.1</v>
      </c>
    </row>
    <row r="39" spans="1:4" x14ac:dyDescent="0.2">
      <c r="A39">
        <v>4000</v>
      </c>
      <c r="B39" s="71" t="s">
        <v>730</v>
      </c>
      <c r="C39" s="128">
        <f>ROUND('DOE25'!F170+'DOE25'!G170+'DOE25'!H170+'DOE25'!I170,0)</f>
        <v>2962285</v>
      </c>
      <c r="D39" s="131">
        <f t="shared" si="1"/>
        <v>7.4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40220739.530000001</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Hooksett</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6"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94</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14</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135</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f>IF('School Level Expenditures'!$B$2='School Tables'!L17,'School Tables'!S17,"")</f>
        <v>14</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f>IF('School Level Expenditures'!$B$2=A97,'School Tables'!H97,"")</f>
        <v>94</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f>IF('School Level Expenditures'!$B$2=A138,'School Tables'!H138,"")</f>
        <v>135</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2024-09-27T18:34:50Z</cp:lastPrinted>
  <dcterms:created xsi:type="dcterms:W3CDTF">1997-12-04T19:04:30Z</dcterms:created>
  <dcterms:modified xsi:type="dcterms:W3CDTF">2024-10-08T18:08:27Z</dcterms:modified>
</cp:coreProperties>
</file>