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6B45835F-7615-464F-A779-C921B96C9558}"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1" l="1"/>
  <c r="F46" i="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H125" i="2" s="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F121" i="1"/>
  <c r="F136" i="1"/>
  <c r="G121" i="1"/>
  <c r="G136" i="1"/>
  <c r="H121" i="1"/>
  <c r="H136" i="1"/>
  <c r="H140" i="1" s="1"/>
  <c r="I121" i="1"/>
  <c r="I136" i="1"/>
  <c r="J121" i="1"/>
  <c r="J136" i="1"/>
  <c r="J140" i="1" s="1"/>
  <c r="F147" i="1"/>
  <c r="F170" i="1" s="1"/>
  <c r="G147" i="1"/>
  <c r="D85" i="2" s="1"/>
  <c r="H147" i="1"/>
  <c r="H170" i="1" s="1"/>
  <c r="I147" i="1"/>
  <c r="I170" i="1" s="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H79" i="2" s="1"/>
  <c r="D79" i="2"/>
  <c r="E79" i="2"/>
  <c r="C80" i="2"/>
  <c r="E80" i="2"/>
  <c r="C85" i="2"/>
  <c r="C87" i="2"/>
  <c r="E87" i="2"/>
  <c r="F87" i="2"/>
  <c r="C89" i="2"/>
  <c r="D89" i="2"/>
  <c r="E89" i="2"/>
  <c r="F89" i="2"/>
  <c r="C90" i="2"/>
  <c r="H90" i="2" s="1"/>
  <c r="C93" i="2"/>
  <c r="F93" i="2"/>
  <c r="C94" i="2"/>
  <c r="H94" i="2" s="1"/>
  <c r="F94" i="2"/>
  <c r="D96" i="2"/>
  <c r="E96" i="2"/>
  <c r="F96" i="2"/>
  <c r="G96" i="2"/>
  <c r="C97" i="2"/>
  <c r="D97" i="2"/>
  <c r="E97" i="2"/>
  <c r="F97" i="2"/>
  <c r="G97" i="2"/>
  <c r="C98" i="2"/>
  <c r="H98" i="2" s="1"/>
  <c r="D98" i="2"/>
  <c r="E98" i="2"/>
  <c r="G98" i="2"/>
  <c r="C99" i="2"/>
  <c r="H99" i="2" s="1"/>
  <c r="D99" i="2"/>
  <c r="E99" i="2"/>
  <c r="F99" i="2"/>
  <c r="C100" i="2"/>
  <c r="D100" i="2"/>
  <c r="E100" i="2"/>
  <c r="F100" i="2"/>
  <c r="C101" i="2"/>
  <c r="H101" i="2" s="1"/>
  <c r="D101" i="2"/>
  <c r="E101" i="2"/>
  <c r="F101" i="2"/>
  <c r="C102" i="2"/>
  <c r="H102" i="2" s="1"/>
  <c r="D102" i="2"/>
  <c r="E102" i="2"/>
  <c r="F102" i="2"/>
  <c r="E111" i="2"/>
  <c r="E112" i="2"/>
  <c r="D115" i="2"/>
  <c r="F115" i="2"/>
  <c r="G11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H93" i="2" l="1"/>
  <c r="H34" i="2"/>
  <c r="H28" i="2"/>
  <c r="H24" i="2"/>
  <c r="J112" i="1"/>
  <c r="H100" i="2"/>
  <c r="I112" i="1"/>
  <c r="H97" i="2"/>
  <c r="C32" i="10"/>
  <c r="C12" i="10"/>
  <c r="H96" i="2"/>
  <c r="H89" i="2"/>
  <c r="H9" i="2"/>
  <c r="H132" i="2"/>
  <c r="H36" i="2"/>
  <c r="H43" i="2"/>
  <c r="H48" i="2"/>
  <c r="D144" i="2"/>
  <c r="H134" i="2"/>
  <c r="H30" i="2"/>
  <c r="H27" i="2"/>
  <c r="H23" i="2"/>
  <c r="H87" i="2"/>
  <c r="H26" i="2"/>
  <c r="H80" i="2"/>
  <c r="F85" i="2"/>
  <c r="H35" i="2"/>
  <c r="H29" i="2"/>
  <c r="H38" i="2"/>
  <c r="H44" i="2"/>
  <c r="H85" i="2"/>
  <c r="H69" i="2"/>
  <c r="H22" i="2"/>
  <c r="H17" i="2"/>
  <c r="J652" i="1"/>
  <c r="D15" i="13"/>
  <c r="C15" i="13" s="1"/>
  <c r="E13" i="13"/>
  <c r="C13" i="13" s="1"/>
  <c r="C112" i="2"/>
  <c r="C120" i="2"/>
  <c r="C119" i="2"/>
  <c r="H112" i="2"/>
  <c r="H76" i="2"/>
  <c r="H61" i="2"/>
  <c r="H59" i="2"/>
  <c r="H13" i="2"/>
  <c r="H12" i="2"/>
  <c r="C13" i="10"/>
  <c r="K36" i="14"/>
  <c r="K37" i="14" s="1"/>
  <c r="E124" i="2"/>
  <c r="E120" i="2"/>
  <c r="K2" i="14"/>
  <c r="K3" i="14" s="1"/>
  <c r="H477" i="1"/>
  <c r="H625" i="1" s="1"/>
  <c r="H11" i="2"/>
  <c r="G662" i="1"/>
  <c r="D29" i="13"/>
  <c r="C29" i="13" s="1"/>
  <c r="D78" i="2"/>
  <c r="H77" i="2"/>
  <c r="G477" i="1"/>
  <c r="B33" i="16" s="1"/>
  <c r="H47" i="2"/>
  <c r="H8" i="2"/>
  <c r="G409" i="1"/>
  <c r="H646" i="1" s="1"/>
  <c r="J646" i="1" s="1"/>
  <c r="G646" i="1"/>
  <c r="G6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6" i="2" l="1"/>
  <c r="H21" i="2"/>
  <c r="H42" i="2"/>
  <c r="H57" i="2"/>
  <c r="H114" i="2"/>
  <c r="H124" i="2"/>
  <c r="H122" i="2"/>
  <c r="H120" i="2"/>
  <c r="H123" i="2"/>
  <c r="C81" i="2"/>
  <c r="H81" i="2" s="1"/>
  <c r="F194" i="1"/>
  <c r="G628" i="1" s="1"/>
  <c r="J628" i="1" s="1"/>
  <c r="H50" i="2"/>
  <c r="H91" i="2"/>
  <c r="H78" i="2"/>
  <c r="H62" i="2"/>
  <c r="E51" i="2"/>
  <c r="L572" i="1"/>
  <c r="H103" i="2"/>
  <c r="D128" i="2"/>
  <c r="D145" i="2" s="1"/>
  <c r="H127" i="2"/>
  <c r="I662" i="1"/>
  <c r="D5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s="1"/>
  <c r="H63" i="2"/>
  <c r="H51" i="2"/>
  <c r="C144" i="2"/>
  <c r="H144" i="2" s="1"/>
  <c r="H141" i="2"/>
  <c r="H128" i="2"/>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<sst xmlns="http://schemas.openxmlformats.org/spreadsheetml/2006/main" count="6640" uniqueCount="1842">
  <si>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</si>
  <si>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</si>
  <si>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</si>
  <si>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</si>
  <si>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</si>
  <si>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</si>
  <si>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</si>
  <si>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</si>
  <si>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</si>
  <si>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</si>
  <si>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</si>
  <si>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</si>
  <si>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</si>
  <si>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</si>
  <si>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</si>
  <si>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</si>
  <si>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</si>
  <si>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</si>
  <si>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</si>
  <si>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</si>
  <si>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</si>
  <si>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</si>
  <si>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</si>
  <si>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</si>
  <si>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</si>
  <si>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</si>
  <si>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</si>
  <si>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</si>
  <si>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</si>
  <si>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</si>
  <si>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</si>
  <si>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</si>
  <si>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</si>
  <si>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</si>
  <si>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</si>
  <si>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</si>
  <si>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</si>
  <si>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</si>
  <si>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</si>
  <si>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</si>
  <si>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</si>
  <si>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</si>
  <si>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</si>
  <si>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</si>
  <si>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</si>
  <si>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</si>
  <si>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</si>
  <si>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</si>
  <si>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</si>
  <si>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</si>
  <si>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</si>
  <si>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</si>
  <si>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</si>
  <si>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</si>
  <si>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</si>
  <si>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</si>
  <si>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</si>
  <si>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</si>
  <si>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</si>
  <si>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</si>
  <si>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</si>
  <si>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</si>
  <si>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</si>
  <si>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</si>
  <si>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</si>
  <si>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</si>
  <si>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</si>
  <si>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</si>
  <si>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</si>
  <si>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</si>
  <si>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</si>
  <si>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</si>
  <si>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</si>
  <si>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</si>
  <si>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</si>
  <si>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</si>
  <si>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</si>
  <si>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</si>
  <si>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</si>
  <si>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</si>
  <si>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</si>
  <si>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</si>
  <si>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</si>
  <si>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</si>
  <si>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</si>
  <si>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</si>
  <si>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</si>
  <si>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</si>
  <si>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</si>
  <si>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</si>
  <si>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</si>
  <si>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</si>
  <si>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</si>
  <si>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</si>
  <si>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</si>
  <si>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</si>
  <si>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</si>
  <si>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</si>
  <si>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</si>
  <si>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</si>
  <si>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</si>
  <si>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</si>
  <si>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</si>
  <si>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</si>
  <si>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</si>
  <si>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</si>
  <si>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</si>
  <si>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</si>
  <si>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</si>
  <si>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</si>
  <si>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</si>
  <si>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</si>
  <si>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</si>
  <si>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</si>
  <si>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</si>
  <si>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</si>
  <si>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</si>
  <si>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</si>
  <si>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</si>
  <si>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</si>
  <si>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</si>
  <si>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</si>
  <si>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</si>
  <si>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</si>
  <si>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</si>
  <si>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</si>
  <si>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</si>
  <si>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</si>
  <si>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</si>
  <si>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</si>
  <si>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</si>
  <si>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</si>
  <si>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</si>
  <si>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</si>
  <si>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</si>
  <si>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</si>
  <si>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</si>
  <si>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</si>
  <si>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</si>
  <si>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</si>
  <si>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</si>
  <si>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</si>
  <si>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</si>
  <si>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</si>
  <si>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</si>
  <si>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</si>
  <si>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</si>
  <si>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</si>
  <si>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</si>
  <si>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</si>
  <si>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</si>
  <si>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</si>
  <si>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</si>
  <si>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</si>
  <si>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</si>
  <si>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</si>
  <si>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</si>
  <si>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</si>
  <si>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</si>
  <si>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</si>
  <si>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</si>
  <si>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</si>
  <si>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</si>
  <si>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</si>
  <si>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</si>
  <si>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</si>
  <si>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</si>
  <si>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</si>
  <si>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</si>
  <si>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</si>
  <si>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</si>
  <si>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</si>
  <si>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</si>
  <si>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</si>
  <si>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</si>
  <si>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</si>
  <si>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</si>
  <si>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</si>
  <si>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</si>
  <si>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</si>
  <si>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</si>
  <si>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</si>
  <si>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</si>
  <si>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</si>
  <si>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</si>
  <si>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</si>
  <si>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</si>
  <si>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</si>
  <si>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</si>
  <si>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</si>
  <si>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</si>
  <si>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</si>
  <si>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</si>
  <si>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</si>
  <si>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</si>
  <si>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</si>
  <si>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</si>
  <si>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</si>
  <si>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</si>
  <si>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</si>
  <si>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</si>
  <si>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</si>
  <si>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</si>
  <si>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</si>
  <si>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</si>
  <si>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</si>
  <si>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</si>
  <si>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</si>
  <si>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</si>
  <si>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</si>
  <si>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</si>
  <si>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</si>
  <si>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</si>
  <si>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</si>
  <si>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</si>
  <si>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</si>
  <si>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</si>
  <si>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</si>
  <si>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</si>
  <si>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</si>
  <si>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</si>
  <si>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</si>
  <si>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</si>
  <si>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</si>
  <si>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</si>
  <si>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</si>
  <si>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</si>
  <si>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</si>
  <si>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</si>
  <si>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</si>
  <si>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</si>
  <si>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</si>
  <si>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</si>
  <si>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</si>
  <si>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</si>
  <si>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</si>
  <si>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</si>
  <si>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</si>
  <si>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</si>
  <si>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</si>
  <si>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</si>
  <si>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</si>
  <si>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</si>
  <si>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</si>
  <si>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</si>
  <si>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</si>
  <si>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</si>
  <si>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</si>
  <si>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</si>
  <si>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</si>
  <si>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</si>
  <si>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</si>
  <si>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</si>
  <si>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</si>
  <si>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</si>
  <si>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</si>
  <si>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</si>
  <si>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</si>
  <si>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</si>
  <si>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</si>
  <si>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</si>
  <si>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</si>
  <si>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</si>
  <si>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</si>
  <si>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</si>
  <si>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</si>
  <si>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</si>
  <si>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</si>
  <si>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</si>
  <si>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</si>
  <si>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</si>
  <si>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</si>
  <si>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</si>
  <si>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</si>
  <si>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</si>
  <si>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</si>
  <si>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</si>
  <si>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</si>
  <si>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</si>
  <si>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</si>
  <si>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</si>
  <si>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</si>
  <si>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</si>
  <si>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</si>
  <si>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</si>
  <si>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</si>
  <si>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</si>
  <si>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</si>
  <si>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</si>
  <si>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</si>
  <si>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</si>
  <si>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</si>
  <si>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</si>
  <si>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</si>
  <si>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</si>
  <si>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</si>
  <si>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</si>
  <si>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</si>
  <si>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</si>
  <si>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</si>
  <si>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</si>
  <si>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</si>
  <si>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</si>
  <si>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</si>
  <si>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</si>
  <si>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</si>
  <si>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</si>
  <si>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</si>
  <si>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</si>
  <si>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</si>
  <si>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</si>
  <si>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</si>
  <si>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</si>
  <si>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</si>
  <si>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</si>
  <si>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</si>
  <si>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</si>
  <si>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</si>
  <si>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</si>
  <si>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</si>
  <si>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</si>
  <si>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</si>
  <si>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</si>
  <si>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</si>
  <si>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</si>
  <si>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</si>
  <si>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</si>
  <si>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</si>
  <si>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</si>
  <si>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</si>
  <si>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</si>
  <si>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</si>
  <si>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</si>
  <si>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</si>
  <si>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</si>
  <si>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</si>
  <si>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</si>
  <si>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</si>
  <si>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</si>
  <si>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</si>
  <si>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</si>
  <si>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</si>
  <si>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</si>
  <si>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</si>
  <si>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</si>
  <si>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</si>
  <si>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</si>
  <si>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</si>
  <si>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</si>
  <si>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</si>
  <si>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</si>
  <si>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</si>
  <si>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</si>
  <si>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</si>
  <si>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</si>
  <si>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</si>
  <si>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</si>
  <si>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</si>
  <si>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</si>
  <si>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</si>
  <si>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</si>
  <si>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</si>
  <si>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</si>
  <si>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</si>
  <si>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</si>
  <si>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</si>
  <si>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</si>
  <si>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</si>
  <si>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</si>
  <si>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</si>
  <si>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</si>
  <si>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</si>
  <si>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</si>
  <si>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</si>
  <si>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</si>
  <si>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</si>
  <si>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</si>
  <si>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</si>
  <si>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</si>
  <si>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</si>
  <si>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</si>
  <si>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</si>
  <si>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</si>
  <si>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</si>
  <si>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</si>
  <si>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</si>
  <si>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</si>
  <si>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</si>
  <si>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</si>
  <si>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</si>
  <si>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</si>
  <si>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</si>
  <si>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</si>
  <si>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</si>
  <si>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</si>
  <si>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</si>
  <si>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</si>
  <si>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</si>
  <si>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</si>
  <si>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</si>
  <si>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</si>
  <si>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</si>
  <si>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</si>
  <si>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</si>
  <si>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</si>
  <si>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</si>
  <si>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</si>
  <si>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</si>
  <si>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</si>
  <si>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</si>
  <si>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</si>
  <si>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</si>
  <si>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</si>
  <si>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</si>
  <si>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</si>
  <si>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</si>
  <si>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</si>
  <si>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</si>
  <si>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</si>
  <si>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</si>
  <si>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</si>
  <si>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</si>
  <si>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</si>
  <si>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</si>
  <si>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</si>
  <si>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</si>
  <si>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</si>
  <si>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</si>
  <si>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</si>
  <si>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</si>
  <si>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</si>
  <si>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</si>
  <si>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</si>
  <si>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</si>
  <si>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</si>
  <si>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</si>
  <si>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</si>
  <si>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</si>
  <si>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</si>
  <si>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</si>
  <si>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</si>
  <si>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</si>
  <si>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</si>
  <si>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</si>
  <si>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</si>
  <si>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</si>
  <si>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</si>
  <si>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</si>
  <si>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</si>
  <si>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</si>
  <si>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</si>
  <si>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</si>
  <si>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</si>
  <si>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</si>
  <si>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</si>
  <si>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</si>
  <si>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</si>
  <si>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</si>
  <si>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</si>
  <si>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</si>
  <si>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</si>
  <si>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</si>
  <si>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</si>
  <si>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</si>
  <si>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</si>
  <si>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</si>
  <si>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</si>
  <si>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</si>
  <si>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</si>
  <si>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</si>
  <si>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</si>
  <si>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</si>
  <si>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</si>
  <si>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</si>
  <si>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</si>
  <si>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</si>
  <si>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</si>
  <si>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</si>
  <si>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</si>
  <si>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</si>
  <si>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</si>
  <si>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</si>
  <si>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</si>
  <si>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</si>
  <si>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</si>
  <si>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</si>
  <si>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</si>
  <si>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</si>
  <si>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</si>
  <si>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</si>
  <si>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</si>
  <si>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</si>
  <si>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</si>
  <si>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</si>
  <si>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</si>
  <si>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</si>
  <si>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</si>
  <si>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</si>
  <si>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</si>
  <si>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</si>
  <si>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</si>
  <si>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</si>
  <si>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</si>
  <si>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</si>
  <si>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</si>
  <si>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</si>
  <si>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</si>
  <si>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</si>
  <si>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</si>
  <si>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</si>
  <si>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</si>
  <si>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</si>
  <si>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</si>
  <si>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</si>
  <si>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</si>
  <si>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</si>
  <si>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</si>
  <si>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</si>
  <si>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</si>
  <si>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</si>
  <si>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</si>
  <si>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</si>
  <si>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</si>
  <si>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</si>
  <si>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</si>
  <si>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</si>
  <si>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</si>
  <si>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</si>
  <si>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</si>
  <si>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</si>
  <si>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</si>
  <si>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</si>
  <si>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</si>
  <si>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</si>
  <si>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</si>
  <si>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</si>
  <si>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</si>
  <si>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</si>
  <si>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</si>
  <si>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</si>
  <si>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</si>
  <si>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</si>
  <si>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</si>
  <si>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</si>
  <si>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</si>
  <si>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</si>
  <si>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</si>
  <si>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</si>
  <si>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</si>
  <si>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</si>
  <si>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</si>
  <si>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</si>
  <si>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</si>
  <si>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</si>
  <si>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</si>
  <si>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</si>
  <si>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</si>
  <si>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</si>
  <si>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</si>
  <si>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</si>
  <si>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</si>
  <si>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</si>
  <si>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</si>
  <si>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</si>
  <si>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</si>
  <si>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</si>
  <si>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</si>
  <si>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</si>
  <si>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</si>
  <si>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</si>
  <si>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</si>
  <si>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</si>
  <si>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</si>
  <si>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</si>
  <si>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</si>
  <si>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</si>
  <si>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</si>
  <si>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</si>
  <si>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</si>
  <si>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</si>
  <si>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</si>
  <si>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</si>
  <si>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</si>
  <si>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</si>
  <si>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</si>
  <si>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</si>
  <si>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</si>
  <si>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</si>
  <si>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</si>
  <si>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</si>
  <si>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</si>
  <si>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</si>
  <si>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</si>
  <si>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</si>
  <si>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</si>
  <si>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</si>
  <si>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</si>
  <si>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</si>
  <si>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</si>
  <si>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</si>
  <si>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</si>
  <si>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</si>
  <si>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</si>
  <si>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</si>
  <si>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</si>
  <si>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</si>
  <si>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</si>
  <si>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</si>
  <si>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</si>
  <si>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</si>
  <si>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</si>
  <si>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</si>
  <si>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</si>
  <si>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</si>
  <si>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</si>
  <si>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</si>
  <si>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</si>
  <si>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</si>
  <si>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</si>
  <si>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</si>
  <si>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</si>
  <si>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</si>
  <si>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</si>
  <si>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</si>
  <si>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</si>
  <si>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</si>
  <si>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</si>
  <si>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</si>
  <si>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</si>
  <si>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</si>
  <si>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</si>
  <si>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</si>
  <si>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</si>
  <si>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</si>
  <si>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</si>
  <si>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</si>
  <si>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</si>
  <si>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</si>
  <si>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</si>
  <si>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</si>
  <si>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</si>
  <si>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</si>
  <si>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</si>
  <si>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</si>
  <si>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</si>
  <si>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</si>
  <si>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</si>
  <si>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</si>
  <si>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</si>
  <si>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</si>
  <si>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</si>
  <si>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</si>
  <si>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</si>
  <si>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</si>
  <si>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</si>
  <si>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</si>
  <si>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</si>
  <si>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</si>
  <si>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</si>
  <si>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</si>
  <si>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</si>
  <si>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</si>
  <si>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</si>
  <si>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</si>
  <si>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</si>
  <si>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</si>
  <si>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</si>
  <si>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</si>
  <si>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</si>
  <si>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</si>
  <si>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</si>
  <si>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</si>
  <si>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</si>
  <si>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</si>
  <si>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</si>
  <si>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</si>
  <si>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</si>
  <si>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</si>
  <si>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</si>
  <si>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</si>
  <si>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</si>
  <si>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</si>
  <si>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</si>
  <si>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</si>
  <si>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</si>
  <si>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</si>
  <si>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</si>
  <si>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</si>
  <si>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</si>
  <si>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</si>
  <si>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</si>
  <si>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</si>
  <si>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</si>
  <si>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</si>
  <si>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</si>
  <si>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</si>
  <si>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</si>
  <si>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</si>
  <si>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</si>
  <si>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</si>
  <si>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</si>
  <si>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</si>
  <si>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</si>
  <si>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</si>
  <si>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</si>
  <si>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</si>
  <si>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</si>
  <si>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</si>
  <si>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</si>
  <si>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</si>
  <si>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</si>
  <si>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</si>
  <si>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</si>
  <si>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</si>
  <si>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</si>
  <si>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</si>
  <si>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</si>
  <si>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</si>
  <si>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</si>
  <si>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</si>
  <si>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</si>
  <si>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</si>
  <si>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</si>
  <si>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</si>
  <si>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</si>
  <si>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</si>
  <si>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</si>
  <si>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</si>
  <si>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</si>
  <si>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</si>
  <si>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</si>
  <si>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</si>
  <si>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</si>
  <si>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</si>
  <si>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</si>
  <si>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</si>
  <si>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</si>
  <si>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</si>
  <si>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</si>
  <si>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</si>
  <si>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</si>
  <si>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</si>
  <si>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</si>
  <si>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</si>
  <si>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</si>
  <si>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</si>
  <si>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</si>
  <si>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</si>
  <si>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</si>
  <si>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</si>
  <si>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</si>
  <si>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</si>
  <si>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</si>
  <si>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</si>
  <si>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</si>
  <si>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</si>
  <si>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</si>
  <si>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</si>
  <si>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</si>
  <si>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</si>
  <si>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</si>
  <si>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</si>
  <si>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</si>
  <si>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</si>
  <si>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</si>
  <si>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</si>
  <si>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</si>
  <si>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</si>
  <si>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</si>
  <si>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</si>
  <si>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</si>
  <si>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</si>
  <si>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</si>
  <si>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</si>
  <si>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</si>
  <si>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</si>
  <si>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</si>
  <si>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</si>
  <si>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</si>
  <si>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</si>
  <si>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</si>
  <si>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</si>
  <si>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</si>
  <si>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</si>
  <si>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</si>
  <si>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</si>
  <si>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</si>
  <si>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</si>
  <si>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</si>
  <si>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</si>
  <si>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</si>
  <si>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</si>
  <si>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</si>
  <si>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</si>
  <si>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</si>
  <si>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</si>
  <si>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</si>
  <si>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</si>
  <si>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</si>
  <si>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</si>
  <si>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</si>
  <si>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</si>
  <si>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</si>
  <si>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</si>
  <si>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</si>
  <si>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</si>
  <si>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</si>
  <si>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</si>
  <si>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</si>
  <si>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</si>
  <si>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</si>
  <si>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</si>
  <si>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</si>
  <si>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</si>
  <si>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</si>
  <si>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</si>
  <si>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</si>
  <si>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</si>
  <si>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</si>
  <si>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</si>
  <si>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</si>
  <si>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</si>
  <si>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</si>
  <si>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</si>
  <si>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</si>
  <si>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</si>
  <si>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</si>
  <si>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</si>
  <si>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</si>
  <si>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</si>
  <si>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</si>
  <si>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</si>
  <si>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</si>
  <si>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</si>
  <si>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</si>
  <si>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</si>
  <si>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</si>
  <si>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</si>
  <si>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</si>
  <si>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</si>
  <si>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</si>
  <si>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</si>
  <si>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</si>
  <si>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</si>
  <si>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</si>
  <si>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</si>
  <si>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</si>
  <si>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</si>
  <si>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</si>
  <si>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</si>
  <si>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</si>
  <si>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</si>
  <si>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</si>
  <si>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</si>
  <si>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</si>
  <si>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</si>
  <si>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</si>
  <si>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</si>
  <si>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</si>
  <si>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</si>
  <si>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</si>
  <si>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</si>
  <si>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</si>
  <si>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</si>
  <si>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</si>
  <si>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</si>
  <si>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</si>
  <si>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</si>
  <si>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</si>
  <si>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</si>
  <si>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</si>
  <si>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</si>
  <si>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</si>
  <si>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</si>
  <si>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</si>
  <si>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</si>
  <si>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</si>
  <si>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</si>
  <si>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</si>
  <si>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</si>
  <si>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</si>
  <si>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</si>
  <si>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</si>
  <si>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</si>
  <si>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</si>
  <si>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</si>
  <si>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</si>
  <si>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</si>
  <si>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</si>
  <si>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</si>
  <si>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</si>
  <si>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</si>
  <si>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</si>
  <si>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</si>
  <si>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</si>
  <si>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</si>
  <si>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</si>
  <si>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</si>
  <si>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</si>
  <si>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</si>
  <si>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</si>
  <si>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</si>
  <si>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</si>
  <si>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</si>
  <si>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</si>
  <si>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</si>
  <si>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</si>
  <si>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</si>
  <si>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</si>
  <si>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</si>
  <si>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</si>
  <si>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</si>
  <si>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</si>
  <si>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</si>
  <si>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</si>
  <si>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</si>
  <si>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</si>
  <si>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</si>
  <si>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</si>
  <si>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</si>
  <si>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</si>
  <si>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</si>
  <si>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</si>
  <si>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</si>
  <si>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</si>
  <si>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</si>
  <si>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</si>
  <si>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</si>
  <si>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</si>
  <si>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</si>
  <si>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</si>
  <si>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</si>
  <si>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</si>
  <si>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</si>
  <si>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</si>
  <si>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</si>
  <si>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</si>
  <si>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</si>
  <si>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</si>
  <si>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</si>
  <si>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</si>
  <si>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</si>
  <si>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</si>
  <si>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</si>
  <si>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</si>
  <si>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</si>
  <si>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</si>
  <si>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</si>
  <si>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</si>
  <si>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</si>
  <si>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</si>
  <si>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</si>
  <si>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</si>
  <si>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</si>
  <si>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</si>
  <si>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</si>
  <si>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</si>
  <si>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</si>
  <si>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</si>
  <si>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</si>
  <si>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</si>
  <si>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</si>
  <si>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</si>
  <si>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</si>
  <si>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</si>
  <si>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</si>
  <si>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</si>
  <si>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</si>
  <si>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</si>
  <si>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</si>
  <si>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</si>
  <si>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</si>
  <si>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</si>
  <si>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</si>
  <si>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</si>
  <si>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</si>
  <si>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</si>
  <si>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</si>
  <si>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</si>
  <si>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</si>
  <si>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</si>
  <si>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</si>
  <si>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</si>
  <si>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</si>
  <si>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</si>
  <si>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</si>
  <si>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</si>
  <si>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</si>
  <si>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</si>
  <si>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</si>
  <si>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</si>
  <si>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</si>
  <si>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</si>
  <si>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</si>
  <si>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</si>
  <si>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</si>
  <si>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</si>
  <si>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</si>
  <si>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</si>
  <si>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</si>
  <si>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</si>
  <si>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</si>
  <si>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</si>
  <si>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</si>
  <si>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</si>
  <si>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</si>
  <si>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</si>
  <si>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</si>
  <si>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</si>
  <si>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</si>
  <si>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</si>
  <si>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</si>
  <si>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</si>
  <si>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</si>
  <si>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</si>
  <si>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</si>
  <si>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</si>
  <si>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</si>
  <si>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</si>
  <si>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</si>
  <si>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</si>
  <si>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</si>
  <si>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</si>
  <si>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</si>
  <si>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</si>
  <si>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</si>
  <si>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</si>
  <si>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</si>
  <si>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</si>
  <si>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</si>
  <si>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</si>
  <si>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</si>
  <si>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</si>
  <si>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</si>
  <si>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</si>
  <si>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</si>
  <si>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</si>
  <si>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</si>
  <si>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</si>
  <si>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</si>
  <si>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</si>
  <si>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</si>
  <si>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</si>
  <si>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</si>
  <si>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</si>
  <si>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</si>
  <si>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</si>
  <si>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</si>
  <si>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</si>
  <si>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</si>
  <si>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</si>
  <si>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</si>
  <si>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</si>
  <si>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</si>
  <si>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</si>
  <si>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</si>
  <si>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</si>
  <si>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</si>
  <si>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</si>
  <si>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</si>
  <si>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</si>
  <si>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</si>
  <si>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</si>
  <si>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</si>
  <si>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</si>
  <si>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</si>
  <si>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</si>
  <si>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</si>
  <si>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</si>
  <si>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</si>
  <si>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</si>
  <si>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</si>
  <si>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</si>
  <si>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</si>
  <si>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</si>
  <si>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</si>
  <si>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</si>
  <si>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</si>
  <si>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</si>
  <si>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</si>
  <si>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</si>
  <si>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</si>
  <si>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</si>
  <si>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</si>
  <si>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</si>
  <si>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</si>
  <si>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</si>
  <si>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</si>
  <si>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</si>
  <si>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</si>
  <si>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</si>
  <si>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</si>
  <si>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</si>
  <si>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</si>
  <si>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</si>
  <si>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</si>
  <si>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</si>
  <si>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</si>
  <si>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</si>
  <si>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</si>
  <si>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</si>
  <si>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</si>
  <si>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</si>
  <si>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</si>
  <si>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</si>
  <si>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</si>
  <si>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</si>
  <si>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</si>
  <si>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</si>
  <si>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</si>
  <si>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</si>
  <si>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</si>
  <si>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</si>
  <si>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</si>
  <si>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</si>
  <si>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</si>
  <si>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</si>
  <si>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</si>
  <si>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</si>
  <si>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</si>
  <si>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</si>
  <si>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</si>
  <si>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</si>
  <si>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</si>
  <si>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</si>
  <si>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</si>
  <si>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</si>
  <si>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</si>
  <si>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</si>
  <si>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</si>
  <si>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</si>
  <si>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</si>
  <si>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</si>
  <si>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</si>
  <si>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</si>
  <si>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</si>
  <si>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</si>
  <si>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</si>
  <si>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</si>
  <si>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</si>
  <si>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</si>
  <si>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</si>
  <si>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</si>
  <si>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</si>
  <si>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</si>
  <si>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</si>
  <si>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</si>
  <si>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</si>
  <si>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</si>
  <si>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</si>
  <si>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</si>
  <si>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</si>
  <si>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</si>
  <si>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</si>
  <si>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</si>
  <si>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</si>
  <si>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</si>
  <si>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</si>
  <si>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</si>
  <si>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</si>
  <si>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</si>
  <si>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</si>
  <si>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</si>
  <si>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</si>
  <si>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</si>
  <si>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</si>
  <si>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</si>
  <si>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</si>
  <si>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</si>
  <si>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</si>
  <si>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</si>
  <si>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</si>
  <si>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</si>
  <si>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</si>
  <si>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</si>
  <si>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</si>
  <si>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</si>
  <si>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</si>
  <si>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</si>
  <si>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</si>
  <si>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</si>
  <si>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</si>
  <si>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</si>
  <si>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</si>
  <si>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</si>
  <si>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</si>
  <si>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</si>
  <si>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</si>
  <si>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</si>
  <si>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</si>
  <si>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</si>
  <si>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</si>
  <si>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</si>
  <si>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</si>
  <si>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</si>
  <si>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</si>
  <si>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</si>
  <si>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</si>
  <si>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</si>
  <si>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</si>
  <si>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</si>
  <si>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</si>
  <si>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</si>
  <si>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</si>
  <si>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</si>
  <si>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</si>
  <si>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</si>
  <si>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</si>
  <si>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</si>
  <si>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</si>
  <si>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</si>
  <si>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</si>
  <si>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</si>
  <si>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</si>
  <si>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</si>
  <si>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</si>
  <si>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</si>
  <si>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</si>
  <si>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</si>
  <si>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</si>
  <si>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</si>
  <si>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</si>
  <si>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</si>
  <si>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</si>
  <si>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</si>
  <si>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</si>
  <si>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</si>
  <si>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</si>
  <si>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</si>
  <si>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</si>
  <si>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</si>
  <si>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</si>
  <si>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</si>
  <si>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</si>
  <si>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</si>
  <si>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</si>
  <si>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</si>
  <si>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</si>
  <si>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</si>
  <si>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</si>
  <si>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</si>
  <si>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</si>
  <si>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</si>
  <si>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</si>
  <si>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</si>
  <si>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</si>
  <si>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</si>
  <si>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</si>
  <si>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</si>
  <si>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</si>
  <si>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</si>
  <si>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</si>
  <si>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</si>
  <si>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</si>
  <si>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</si>
  <si>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</si>
  <si>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</si>
  <si>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</si>
  <si>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</si>
  <si>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</si>
  <si>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</si>
  <si>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</si>
  <si>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</si>
  <si>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</si>
  <si>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</si>
  <si>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</si>
  <si>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</si>
  <si>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</si>
  <si>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</si>
  <si>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</si>
  <si>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</si>
  <si>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</si>
  <si>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</si>
  <si>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</si>
  <si>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</si>
  <si>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</si>
  <si>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</si>
  <si>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</si>
  <si>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</si>
  <si>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</si>
  <si>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</si>
  <si>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</si>
  <si>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</si>
  <si>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</si>
  <si>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</si>
  <si>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</si>
  <si>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</si>
  <si>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</si>
  <si>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</si>
  <si>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</si>
  <si>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</si>
  <si>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</si>
  <si>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</si>
  <si>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</si>
  <si>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</si>
  <si>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</si>
  <si>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</si>
  <si>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</si>
  <si>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</si>
  <si>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</si>
  <si>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</si>
  <si>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</si>
  <si>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</si>
  <si>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</si>
  <si>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</si>
  <si>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</si>
  <si>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</si>
  <si>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</si>
  <si>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</si>
  <si>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</si>
  <si>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</si>
  <si>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</si>
  <si>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</si>
  <si>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</si>
  <si>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</si>
  <si>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</si>
  <si>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</si>
  <si>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</si>
  <si>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</si>
  <si>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</si>
  <si>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</si>
  <si>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</si>
  <si>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</si>
  <si>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</si>
  <si>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</si>
  <si>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</si>
  <si>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</si>
  <si>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</si>
  <si>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</si>
  <si>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</si>
  <si>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</si>
  <si>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</si>
  <si>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</si>
  <si>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</si>
  <si>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</si>
  <si>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</si>
  <si>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</si>
  <si>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</si>
  <si>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</si>
  <si>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</si>
  <si>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</si>
  <si>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</si>
  <si>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</si>
  <si>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</si>
  <si>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</si>
  <si>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</si>
  <si>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</si>
  <si>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</si>
  <si>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</si>
  <si>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</si>
  <si>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</si>
  <si>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</si>
  <si>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</si>
  <si>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</si>
  <si>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</si>
  <si>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</si>
  <si>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</si>
  <si>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</si>
  <si>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</si>
  <si>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</si>
  <si>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</si>
  <si>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</si>
  <si>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</si>
  <si>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</si>
  <si>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</si>
  <si>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</si>
  <si>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</si>
  <si>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</si>
  <si>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</si>
  <si>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</si>
  <si>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</si>
  <si>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</si>
  <si>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</si>
  <si>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</si>
  <si>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</si>
  <si>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</si>
  <si>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</si>
  <si>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</si>
  <si>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</si>
  <si>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</si>
  <si>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</si>
  <si>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</si>
  <si>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</si>
  <si>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</si>
  <si>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</si>
  <si>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</si>
  <si>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</si>
  <si>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</si>
  <si>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</si>
  <si>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</si>
  <si>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</si>
  <si>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</si>
  <si>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</si>
  <si>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</si>
  <si>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</si>
  <si>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</si>
  <si>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</si>
  <si>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</si>
  <si>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</si>
  <si>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</si>
  <si>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</si>
  <si>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</si>
  <si>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</si>
  <si>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</si>
  <si>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</si>
  <si>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</si>
  <si>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</si>
  <si>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</si>
  <si>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</si>
  <si>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</si>
  <si>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</si>
  <si>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</si>
  <si>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</si>
  <si>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</si>
  <si>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</si>
  <si>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</si>
  <si>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</si>
  <si>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</si>
  <si>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</si>
  <si>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</si>
  <si>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</si>
  <si>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</si>
  <si>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</si>
  <si>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</si>
  <si>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</si>
  <si>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</si>
  <si>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</si>
  <si>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</si>
  <si>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</si>
  <si>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</si>
  <si>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</si>
  <si>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</si>
  <si>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</si>
  <si>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</si>
  <si>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</si>
  <si>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</si>
  <si>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</si>
  <si>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</si>
  <si>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</si>
  <si>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</si>
  <si>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</si>
  <si>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</si>
  <si>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</si>
  <si>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</si>
  <si>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</si>
  <si>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</si>
  <si>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</si>
  <si>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</si>
  <si>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</si>
  <si>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</si>
  <si>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</si>
  <si>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</si>
  <si>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</si>
  <si>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</si>
  <si>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</si>
  <si>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</si>
  <si>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</si>
  <si>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</si>
  <si>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</si>
  <si>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</si>
  <si>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</si>
  <si>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</si>
  <si>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</si>
  <si>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</si>
  <si>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</si>
  <si>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</si>
  <si>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</si>
  <si>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</si>
  <si>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</si>
  <si>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</si>
  <si>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</si>
  <si>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</si>
  <si>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</si>
  <si>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</si>
  <si>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</si>
  <si>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</si>
  <si>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</si>
  <si>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</si>
  <si>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</si>
  <si>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</si>
  <si>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</si>
  <si>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</si>
  <si>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</si>
  <si>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</si>
  <si>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</si>
  <si>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</si>
  <si>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</si>
  <si>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</si>
  <si>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</si>
  <si>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</si>
  <si>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</si>
  <si>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</si>
  <si>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</si>
  <si>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</si>
  <si>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</si>
  <si>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</si>
  <si>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</si>
  <si>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</si>
  <si>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</si>
  <si>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</si>
  <si>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</si>
  <si>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</si>
  <si>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</si>
  <si>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</si>
  <si>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</si>
  <si>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</si>
  <si>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</si>
  <si>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</si>
  <si>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</si>
  <si>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</si>
  <si>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</si>
  <si>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</si>
  <si>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</si>
  <si>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</si>
  <si>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</si>
  <si>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</si>
  <si>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</si>
  <si>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</si>
  <si>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</si>
  <si>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</si>
  <si>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</si>
  <si>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</si>
  <si>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</si>
  <si>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</si>
  <si>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</si>
  <si>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</si>
  <si>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</si>
  <si>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</si>
  <si>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</si>
  <si>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</si>
  <si>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</si>
  <si>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</si>
  <si>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</si>
  <si>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</si>
  <si>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</si>
  <si>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</si>
  <si>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</si>
  <si>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</si>
  <si>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</si>
  <si>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</si>
  <si>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</si>
  <si>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</si>
  <si>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</si>
  <si>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</si>
  <si>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</si>
  <si>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</si>
  <si>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</si>
  <si>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</si>
  <si>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</si>
  <si>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</si>
  <si>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</si>
  <si>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</si>
  <si>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</si>
  <si>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</si>
  <si>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</si>
  <si>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</si>
  <si>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</si>
  <si>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</si>
  <si>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</si>
  <si>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</si>
  <si>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</si>
  <si>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</si>
  <si>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</si>
  <si>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</si>
  <si>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</si>
  <si>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</si>
  <si>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</si>
  <si>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</si>
  <si>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</si>
  <si>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</si>
  <si>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</si>
  <si>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</si>
  <si>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</si>
  <si>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</si>
  <si>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</si>
  <si>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</si>
  <si>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</si>
  <si>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</si>
  <si>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</si>
  <si>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</si>
  <si>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</si>
  <si>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</si>
  <si>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</si>
  <si>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</si>
  <si>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</si>
  <si>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</si>
  <si>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</si>
  <si>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</si>
  <si>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</si>
  <si>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</si>
  <si>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</si>
  <si>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</si>
  <si>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</si>
  <si>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</si>
  <si>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</si>
  <si>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</si>
  <si>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</si>
  <si>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</si>
  <si>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</si>
  <si>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</si>
  <si>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</si>
  <si>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</si>
  <si>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</si>
  <si>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</si>
  <si>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</si>
  <si>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</si>
  <si>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</si>
  <si>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</si>
  <si>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</si>
  <si>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</si>
  <si>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</si>
  <si>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</si>
  <si>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</si>
  <si>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</si>
  <si>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</si>
  <si>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</si>
  <si>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</si>
  <si>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</si>
  <si>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</si>
  <si>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</si>
  <si>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</si>
  <si>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</si>
  <si>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</si>
  <si>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</si>
  <si>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</si>
  <si>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</si>
  <si>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</si>
  <si>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</si>
  <si>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</si>
  <si>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</si>
  <si>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</si>
  <si>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</si>
  <si>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</si>
  <si>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</si>
  <si>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</si>
  <si>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</si>
  <si>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</si>
  <si>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</si>
  <si>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</si>
  <si>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</si>
  <si>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</si>
  <si>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</si>
  <si>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</si>
  <si>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</si>
  <si>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</si>
  <si>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</si>
  <si>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</si>
  <si>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</si>
  <si>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</si>
  <si>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</si>
  <si>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</si>
  <si>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</si>
  <si>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</si>
  <si>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</si>
  <si>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</si>
  <si>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</si>
  <si>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</si>
  <si>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</si>
  <si>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</si>
  <si>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</si>
  <si>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</si>
  <si>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</si>
  <si>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</si>
  <si>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</si>
  <si>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</si>
  <si>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</si>
  <si>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</si>
  <si>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</si>
  <si>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</si>
  <si>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</si>
  <si>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</si>
  <si>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</si>
  <si>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</si>
  <si>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</si>
  <si>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</si>
  <si>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</si>
  <si>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</si>
  <si>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</si>
  <si>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</si>
  <si>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</si>
  <si>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</si>
  <si>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</si>
  <si>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</si>
  <si>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</si>
  <si>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</si>
  <si>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</si>
  <si>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</si>
  <si>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</si>
  <si>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</si>
  <si>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</si>
  <si>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</si>
  <si>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</si>
  <si>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</si>
  <si>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</si>
  <si>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</si>
  <si>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</si>
  <si>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</si>
  <si>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</si>
  <si>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</si>
  <si>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</si>
  <si>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</si>
  <si>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</si>
  <si>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</si>
  <si>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</si>
  <si>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</si>
  <si>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</si>
  <si>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</si>
  <si>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</si>
  <si>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</si>
  <si>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</si>
  <si>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</si>
  <si>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</si>
  <si>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</si>
  <si>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</si>
  <si>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</si>
  <si>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</si>
  <si>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</si>
  <si>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</si>
  <si>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</si>
  <si>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</si>
  <si>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</si>
  <si>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</si>
  <si>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</si>
  <si>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</si>
  <si>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</si>
  <si>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</si>
  <si>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</si>
  <si>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</si>
  <si>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</si>
  <si>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</si>
  <si>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</si>
  <si>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</si>
  <si>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</si>
  <si>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</si>
  <si>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</si>
  <si>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</si>
  <si>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</si>
  <si>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</si>
  <si>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</si>
  <si>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</si>
  <si>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</si>
  <si>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</si>
  <si>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</si>
  <si>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</si>
  <si>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</si>
  <si>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</si>
  <si>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</si>
  <si>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</si>
  <si>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</si>
  <si>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</si>
  <si>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</si>
  <si>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</si>
  <si>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</si>
  <si>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</si>
  <si>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</si>
  <si>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</si>
  <si>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</si>
  <si>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</si>
  <si>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</si>
  <si>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</si>
  <si>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</si>
  <si>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</si>
  <si>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</si>
  <si>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</si>
  <si>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</si>
  <si>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</si>
  <si>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</si>
  <si>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</si>
  <si>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</si>
  <si>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</si>
  <si>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</si>
  <si>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</si>
  <si>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</si>
  <si>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</si>
  <si>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</si>
  <si>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</si>
  <si>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</si>
  <si>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</si>
  <si>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</si>
  <si>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</si>
  <si>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</si>
  <si>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</si>
  <si>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</si>
  <si>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</si>
  <si>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</si>
  <si>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</si>
  <si>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</si>
  <si>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</si>
  <si>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</si>
  <si>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</si>
  <si>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</si>
  <si>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</si>
  <si>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</si>
  <si>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</si>
  <si>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</si>
  <si>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</si>
  <si>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</si>
  <si>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</si>
  <si>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</si>
  <si>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</si>
  <si>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</si>
  <si>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</si>
  <si>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</si>
  <si>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</si>
  <si>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</si>
  <si>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</si>
  <si>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</si>
  <si>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</si>
  <si>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</si>
  <si>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</si>
  <si>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</si>
  <si>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</si>
  <si>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</si>
  <si>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</si>
  <si>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</si>
  <si>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</si>
  <si>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</si>
  <si>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</si>
  <si>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</si>
  <si>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</si>
  <si>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</si>
  <si>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</si>
  <si>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</si>
  <si>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</si>
  <si>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</si>
  <si>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</si>
  <si>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</si>
  <si>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</si>
  <si>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</si>
  <si>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</si>
  <si>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</si>
  <si>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</si>
  <si>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</si>
  <si>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</si>
  <si>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</si>
  <si>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</si>
  <si>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</si>
  <si>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</si>
  <si>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</si>
  <si>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</si>
  <si>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</si>
  <si>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Per Bank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</si>
</sst>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61">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0" borderId="0"/>
    <xf numFmtId="0" fontId="1" fillId="15" borderId="35" applyNumberFormat="0" applyFont="0" applyAlignment="0" applyProtection="0"/>
    <xf numFmtId="0" fontId="1" fillId="0" borderId="0"/>
    <xf numFmtId="0" fontId="36" fillId="0" borderId="0"/>
  </cellStyleXfs>
  <cellXfs count="346">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39" fontId="82" fillId="0" borderId="0" xfId="0" applyNumberFormat="1" applyFont="1"/>
    <xf numFmtId="40" fontId="9" fillId="0" borderId="6" xfId="0" applyNumberFormat="1" applyFont="1" applyBorder="1"/>
    <xf numFmtId="40" fontId="9" fillId="0" borderId="6" xfId="0" applyNumberFormat="1" applyFont="1" applyBorder="1" applyAlignment="1">
      <alignment horizontal="right"/>
    </xf>
    <xf numFmtId="0" fontId="48" fillId="0" borderId="0" xfId="0" applyFont="1" applyAlignment="1">
      <alignment wrapText="1"/>
    </xf>
    <xf numFmtId="0" fontId="83" fillId="40" borderId="0" xfId="0" applyFont="1" applyFill="1"/>
    <xf numFmtId="0" fontId="16" fillId="0" borderId="0" xfId="0" applyFont="1" applyProtection="1">
      <protection locked="0"/>
    </xf>
    <xf numFmtId="40" fontId="15" fillId="46" borderId="0" xfId="0" applyNumberFormat="1" applyFont="1" applyFill="1"/>
    <xf numFmtId="0" fontId="41" fillId="40" borderId="0" xfId="0" applyFont="1" applyFill="1"/>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73" fillId="46" borderId="0" xfId="0" applyFont="1" applyFill="1" applyAlignment="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10" xfId="0" applyNumberFormat="1" applyFont="1" applyBorder="1" applyAlignment="1" applyProtection="1">
      <alignment horizontal="left"/>
      <protection locked="0"/>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xf numFmtId="49" fontId="16" fillId="0" borderId="0" xfId="0" applyNumberFormat="1" applyFont="1" applyAlignment="1">
      <alignment horizontal="left"/>
    </xf>
    <xf numFmtId="49" fontId="16" fillId="0" borderId="10" xfId="0" applyNumberFormat="1" applyFont="1" applyBorder="1" applyAlignment="1">
      <alignment horizontal="left"/>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cellXfs>
  <cellStyles count="61">
    <cellStyle name="20% - Accent1" xfId="17" builtinId="30" customBuiltin="1"/>
    <cellStyle name="20% - Accent1 2" xfId="45" xr:uid="{00000000-0005-0000-0000-000001000000}"/>
    <cellStyle name="20% - Accent2" xfId="21" builtinId="34" customBuiltin="1"/>
    <cellStyle name="20% - Accent2 2" xfId="47" xr:uid="{00000000-0005-0000-0000-000003000000}"/>
    <cellStyle name="20% - Accent3" xfId="25" builtinId="38" customBuiltin="1"/>
    <cellStyle name="20% - Accent3 2" xfId="49" xr:uid="{00000000-0005-0000-0000-000005000000}"/>
    <cellStyle name="20% - Accent4" xfId="29" builtinId="42" customBuiltin="1"/>
    <cellStyle name="20% - Accent4 2" xfId="51" xr:uid="{00000000-0005-0000-0000-000007000000}"/>
    <cellStyle name="20% - Accent5" xfId="33" builtinId="46" customBuiltin="1"/>
    <cellStyle name="20% - Accent5 2" xfId="53" xr:uid="{00000000-0005-0000-0000-000009000000}"/>
    <cellStyle name="20% - Accent6" xfId="37" builtinId="50" customBuiltin="1"/>
    <cellStyle name="20% - Accent6 2" xfId="55" xr:uid="{00000000-0005-0000-0000-00000B000000}"/>
    <cellStyle name="40% - Accent1" xfId="18" builtinId="31" customBuiltin="1"/>
    <cellStyle name="40% - Accent1 2" xfId="46" xr:uid="{00000000-0005-0000-0000-00000D000000}"/>
    <cellStyle name="40% - Accent2" xfId="22" builtinId="35" customBuiltin="1"/>
    <cellStyle name="40% - Accent2 2" xfId="48" xr:uid="{00000000-0005-0000-0000-00000F000000}"/>
    <cellStyle name="40% - Accent3" xfId="26" builtinId="39" customBuiltin="1"/>
    <cellStyle name="40% - Accent3 2" xfId="50" xr:uid="{00000000-0005-0000-0000-000011000000}"/>
    <cellStyle name="40% - Accent4" xfId="30" builtinId="43" customBuiltin="1"/>
    <cellStyle name="40% - Accent4 2" xfId="52" xr:uid="{00000000-0005-0000-0000-000013000000}"/>
    <cellStyle name="40% - Accent5" xfId="34" builtinId="47" customBuiltin="1"/>
    <cellStyle name="40% - Accent5 2" xfId="54" xr:uid="{00000000-0005-0000-0000-000015000000}"/>
    <cellStyle name="40% - Accent6" xfId="38" builtinId="51" customBuiltin="1"/>
    <cellStyle name="40% - Accent6 2" xfId="56" xr:uid="{00000000-0005-0000-0000-000017000000}"/>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31000000}"/>
    <cellStyle name="Normal 2 2" xfId="57" xr:uid="{00000000-0005-0000-0000-000032000000}"/>
    <cellStyle name="Normal 3" xfId="43" xr:uid="{00000000-0005-0000-0000-000033000000}"/>
    <cellStyle name="Normal 3 2" xfId="59" xr:uid="{00000000-0005-0000-0000-000034000000}"/>
    <cellStyle name="Normal 4" xfId="44" xr:uid="{00000000-0005-0000-0000-000035000000}"/>
    <cellStyle name="Normal 4 2" xfId="60" xr:uid="{00000000-0005-0000-0000-000036000000}"/>
    <cellStyle name="Note 2" xfId="42" xr:uid="{00000000-0005-0000-0000-000037000000}"/>
    <cellStyle name="Note 2 2" xfId="58" xr:uid="{00000000-0005-0000-0000-000038000000}"/>
    <cellStyle name="Output" xfId="9" builtinId="21" customBuiltin="1"/>
    <cellStyle name="Title 2" xfId="41" xr:uid="{00000000-0005-0000-0000-00003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1123</v>
      </c>
      <c r="B2">
        <f>INDEX('School Tables'!$AH$3:$AH$213,MATCH('DOE25'!A2,'School Tables'!$AJ$3:$AJ$213,0))</f>
        <v>269</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2913274.69</v>
      </c>
      <c r="G9" s="18"/>
      <c r="H9" s="18"/>
      <c r="I9" s="18">
        <v>3231.11</v>
      </c>
      <c r="J9" s="13">
        <f>SUM(I440)</f>
        <v>1082636.79</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4070016.38</v>
      </c>
      <c r="G12" s="18">
        <v>42705.46</v>
      </c>
      <c r="H12" s="18">
        <v>37136.42</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137632.64000000001</v>
      </c>
      <c r="G13" s="18">
        <v>74144.97</v>
      </c>
      <c r="H13" s="18">
        <v>130450.17</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14635.79</v>
      </c>
      <c r="G14" s="18">
        <v>3864.05</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20873.27</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7156432.7699999996</v>
      </c>
      <c r="G19" s="38">
        <f>SUM(G9:G18)</f>
        <v>120714.48</v>
      </c>
      <c r="H19" s="38">
        <f>SUM(H9:H18)</f>
        <v>167586.59</v>
      </c>
      <c r="I19" s="38">
        <f>SUM(I9:I18)</f>
        <v>3231.11</v>
      </c>
      <c r="J19" s="38">
        <f>SUM(J9:J18)</f>
        <v>1082636.79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4149929.92</v>
      </c>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v>3983.75</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224620.37</v>
      </c>
      <c r="G24" s="18">
        <v>18736.82</v>
      </c>
      <c r="H24" s="18">
        <v>650</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68917.52</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10583.78</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57153</v>
      </c>
      <c r="G30" s="18">
        <v>19259.45</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371.19</v>
      </c>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4511575.78</v>
      </c>
      <c r="G32" s="38">
        <f>SUM(G22:G31)</f>
        <v>37996.270000000004</v>
      </c>
      <c r="H32" s="38">
        <f>SUM(H22:H31)</f>
        <v>4633.75</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f>325063-325063</f>
        <v>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82718.210000000006</v>
      </c>
      <c r="H48" s="18">
        <v>162952.84</v>
      </c>
      <c r="I48" s="18">
        <v>3231.11</v>
      </c>
      <c r="J48" s="13">
        <f>SUM(I460)</f>
        <v>1082636.79</v>
      </c>
      <c r="K48" s="23" t="s">
        <v>288</v>
      </c>
      <c r="L48" s="23" t="s">
        <v>288</v>
      </c>
      <c r="M48" s="8"/>
      <c r="N48" s="164"/>
    </row>
    <row r="49" spans="1:14" s="3" customFormat="1" ht="12.2" customHeight="1" x14ac:dyDescent="0.15">
      <c r="A49" s="1" t="s">
        <v>855</v>
      </c>
      <c r="B49" s="2" t="s">
        <v>289</v>
      </c>
      <c r="C49" s="6">
        <v>34</v>
      </c>
      <c r="D49" s="2"/>
      <c r="E49" s="6">
        <v>753</v>
      </c>
      <c r="F49" s="18">
        <v>1832898.84</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486895.15+325063</f>
        <v>811958.15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2644856.9900000002</v>
      </c>
      <c r="G51" s="38">
        <f>SUM(G35:G50)</f>
        <v>82718.210000000006</v>
      </c>
      <c r="H51" s="38">
        <f>SUM(H35:H50)</f>
        <v>162952.84</v>
      </c>
      <c r="I51" s="38">
        <f>SUM(I35:I50)</f>
        <v>3231.11</v>
      </c>
      <c r="J51" s="38">
        <f>SUM(J35:J50)</f>
        <v>1082636.79</v>
      </c>
      <c r="K51" s="42" t="s">
        <v>288</v>
      </c>
      <c r="L51" s="42" t="s">
        <v>288</v>
      </c>
      <c r="N51" s="130"/>
    </row>
    <row r="52" spans="1:14" s="3" customFormat="1" ht="12.2" customHeight="1" thickTop="1" x14ac:dyDescent="0.15">
      <c r="A52" s="35" t="s">
        <v>455</v>
      </c>
      <c r="B52" s="36" t="s">
        <v>289</v>
      </c>
      <c r="C52" s="6">
        <v>37</v>
      </c>
      <c r="D52" s="36" t="s">
        <v>653</v>
      </c>
      <c r="E52" s="36"/>
      <c r="F52" s="38">
        <f>F51+F32</f>
        <v>7156432.7700000005</v>
      </c>
      <c r="G52" s="38">
        <f>G51+G32</f>
        <v>120714.48000000001</v>
      </c>
      <c r="H52" s="38">
        <f>H51+H32</f>
        <v>167586.59</v>
      </c>
      <c r="I52" s="38">
        <f>I51+I32</f>
        <v>3231.11</v>
      </c>
      <c r="J52" s="38">
        <f>J51+J32</f>
        <v>1082636.79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22794953</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22794953</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138160.25</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138160.25</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6960.41</v>
      </c>
      <c r="G96" s="18"/>
      <c r="H96" s="18"/>
      <c r="I96" s="18"/>
      <c r="J96" s="18">
        <v>34770.800000000003</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181326.57</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52825.75</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24365</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636.37</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67485.56</v>
      </c>
      <c r="G110" s="18"/>
      <c r="H110" s="18">
        <v>20462.400000000001</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127908.09</v>
      </c>
      <c r="G111" s="38">
        <f>SUM(G96:G110)</f>
        <v>181326.57</v>
      </c>
      <c r="H111" s="38">
        <f>SUM(H96:H110)</f>
        <v>44827.4</v>
      </c>
      <c r="I111" s="38">
        <f>SUM(I96:I110)</f>
        <v>0</v>
      </c>
      <c r="J111" s="38">
        <f>SUM(J96:J110)</f>
        <v>34770.800000000003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23061021.34</v>
      </c>
      <c r="G112" s="38">
        <f>G60+G111</f>
        <v>181326.57</v>
      </c>
      <c r="H112" s="38">
        <f>H60+H79+H94+H111</f>
        <v>44827.4</v>
      </c>
      <c r="I112" s="38">
        <f>I60+I111</f>
        <v>0</v>
      </c>
      <c r="J112" s="38">
        <f>J60+J111</f>
        <v>34770.800000000003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6608290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4854.18</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6613144.1799999997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113810.17</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13356.2</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v>9875</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1971.42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127166.37</v>
      </c>
      <c r="G136" s="38">
        <f>SUM(G123:G135)</f>
        <v>1971.42</v>
      </c>
      <c r="H136" s="38">
        <f>SUM(H123:H135)</f>
        <v>9875</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6740310.5499999998</v>
      </c>
      <c r="G140" s="38">
        <f>G121+SUM(G136:G137)</f>
        <v>1971.42</v>
      </c>
      <c r="H140" s="38">
        <f>H121+SUM(H136:H139)</f>
        <v>9875</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267195.63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94755.85</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178902.37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292874.90999999997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118581.42</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71450.64</v>
      </c>
      <c r="G161" s="18"/>
      <c r="H161" s="18">
        <v>252545.65</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598142.26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190032.06</v>
      </c>
      <c r="G163" s="38">
        <f>SUM(G150:G162)</f>
        <v>178902.37</v>
      </c>
      <c r="H163" s="38">
        <f>SUM(H150:H162)</f>
        <v>1505514.2999999998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8551.64</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198583.7</v>
      </c>
      <c r="G170" s="38">
        <f>G147+G163+SUM(G164:G169)</f>
        <v>178902.37</v>
      </c>
      <c r="H170" s="38">
        <f>H147+H163+SUM(H164:H169)</f>
        <v>1505514.2999999998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42644.23</v>
      </c>
      <c r="H180" s="18"/>
      <c r="I180" s="18"/>
      <c r="J180" s="18">
        <v>250000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42644.23</v>
      </c>
      <c r="H184" s="38">
        <f>SUM(H180:H183)</f>
        <v>0</v>
      </c>
      <c r="I184" s="38">
        <f>SUM(I180:I183)</f>
        <v>0</v>
      </c>
      <c r="J184" s="38">
        <f>SUM(J180:J183)</f>
        <v>250000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42644.23</v>
      </c>
      <c r="H193" s="38">
        <f>+H184+SUM(H189:H192)</f>
        <v>0</v>
      </c>
      <c r="I193" s="38">
        <f>I178+I184+SUM(I189:I192)</f>
        <v>0</v>
      </c>
      <c r="J193" s="38">
        <f>J184</f>
        <v>250000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29999915.59</v>
      </c>
      <c r="G194" s="38">
        <f>G112+G140+G170+G193</f>
        <v>404844.58999999997</v>
      </c>
      <c r="H194" s="38">
        <f>H112+H140+H170+H193</f>
        <v>1560216.6999999997</v>
      </c>
      <c r="I194" s="38">
        <f>I112+I140+I170+I193</f>
        <v>0</v>
      </c>
      <c r="J194" s="38">
        <f>J112+J140+J193</f>
        <v>284770.8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4436418.6500000004</v>
      </c>
      <c r="G198" s="18">
        <v>2150614.9900000002</v>
      </c>
      <c r="H198" s="18">
        <v>69980.210000000006</v>
      </c>
      <c r="I198" s="18">
        <v>101964.05</v>
      </c>
      <c r="J198" s="18">
        <v>11846.65</v>
      </c>
      <c r="K198" s="18">
        <v>25</v>
      </c>
      <c r="L198" s="13">
        <f>SUM(F198:K198)</f>
        <v>6770849.5500000007</v>
      </c>
      <c r="M198" s="8"/>
      <c r="N198" s="164"/>
    </row>
    <row r="199" spans="1:14" s="3" customFormat="1" ht="12.2" customHeight="1" x14ac:dyDescent="0.15">
      <c r="A199" s="1" t="s">
        <v>439</v>
      </c>
      <c r="B199" s="2" t="s">
        <v>341</v>
      </c>
      <c r="C199" s="2" t="s">
        <v>291</v>
      </c>
      <c r="D199" s="2" t="s">
        <v>431</v>
      </c>
      <c r="E199" s="6">
        <v>1200</v>
      </c>
      <c r="F199" s="18">
        <v>1983114.94</v>
      </c>
      <c r="G199" s="18">
        <v>933626.65</v>
      </c>
      <c r="H199" s="18">
        <v>477595.97</v>
      </c>
      <c r="I199" s="18">
        <v>829.88</v>
      </c>
      <c r="J199" s="18">
        <v>1149.32</v>
      </c>
      <c r="K199" s="18"/>
      <c r="L199" s="13">
        <f>SUM(F199:K199)</f>
        <v>3396316.7599999993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149775</v>
      </c>
      <c r="G201" s="18">
        <v>31587.81</v>
      </c>
      <c r="H201" s="18">
        <v>3675.95</v>
      </c>
      <c r="I201" s="18">
        <v>2581.2600000000002</v>
      </c>
      <c r="J201" s="18"/>
      <c r="K201" s="18">
        <v>2605</v>
      </c>
      <c r="L201" s="13">
        <f>SUM(F201:K201)</f>
        <v>190225.02000000002</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936291.92</v>
      </c>
      <c r="G203" s="18">
        <v>452996.46</v>
      </c>
      <c r="H203" s="18">
        <v>61565.74</v>
      </c>
      <c r="I203" s="18">
        <v>9388.67</v>
      </c>
      <c r="J203" s="18">
        <v>1591</v>
      </c>
      <c r="K203" s="18">
        <v>274.41000000000003</v>
      </c>
      <c r="L203" s="13">
        <f t="shared" ref="L203:L209" si="0">SUM(F203:K203)</f>
        <v>1462108.2</v>
      </c>
      <c r="M203" s="8"/>
      <c r="N203" s="164"/>
    </row>
    <row r="204" spans="1:14" s="3" customFormat="1" ht="12.2" customHeight="1" x14ac:dyDescent="0.15">
      <c r="A204" s="1" t="s">
        <v>443</v>
      </c>
      <c r="B204" s="2" t="s">
        <v>341</v>
      </c>
      <c r="C204" s="2" t="s">
        <v>295</v>
      </c>
      <c r="D204" s="2" t="s">
        <v>431</v>
      </c>
      <c r="E204" s="6">
        <v>2200</v>
      </c>
      <c r="F204" s="18">
        <v>494237.44</v>
      </c>
      <c r="G204" s="18">
        <v>241634.24</v>
      </c>
      <c r="H204" s="18">
        <v>282070.31</v>
      </c>
      <c r="I204" s="18">
        <v>178502.64</v>
      </c>
      <c r="J204" s="18">
        <v>225559.62</v>
      </c>
      <c r="K204" s="18">
        <v>340.57</v>
      </c>
      <c r="L204" s="13">
        <f t="shared" si="0"/>
        <v>1422344.82</v>
      </c>
      <c r="M204" s="8"/>
      <c r="N204" s="164"/>
    </row>
    <row r="205" spans="1:14" s="3" customFormat="1" ht="12.2" customHeight="1" x14ac:dyDescent="0.15">
      <c r="A205" s="1" t="s">
        <v>444</v>
      </c>
      <c r="B205" s="2" t="s">
        <v>341</v>
      </c>
      <c r="C205" s="2" t="s">
        <v>296</v>
      </c>
      <c r="D205" s="2" t="s">
        <v>431</v>
      </c>
      <c r="E205" s="6">
        <v>2300</v>
      </c>
      <c r="F205" s="18">
        <v>8649.1200000000008</v>
      </c>
      <c r="G205" s="18">
        <v>661.65</v>
      </c>
      <c r="H205" s="18">
        <v>975949.12</v>
      </c>
      <c r="I205" s="18">
        <v>48767.27</v>
      </c>
      <c r="J205" s="18"/>
      <c r="K205" s="18">
        <v>12508.55</v>
      </c>
      <c r="L205" s="13">
        <f t="shared" si="0"/>
        <v>1046535.7100000001</v>
      </c>
      <c r="M205" s="8"/>
      <c r="N205" s="164"/>
    </row>
    <row r="206" spans="1:14" s="3" customFormat="1" ht="12.2" customHeight="1" x14ac:dyDescent="0.15">
      <c r="A206" s="1" t="s">
        <v>445</v>
      </c>
      <c r="B206" s="2" t="s">
        <v>341</v>
      </c>
      <c r="C206" s="2" t="s">
        <v>297</v>
      </c>
      <c r="D206" s="2" t="s">
        <v>431</v>
      </c>
      <c r="E206" s="6">
        <v>2400</v>
      </c>
      <c r="F206" s="18">
        <v>709457.31</v>
      </c>
      <c r="G206" s="18">
        <v>309814.07</v>
      </c>
      <c r="H206" s="18">
        <v>100843.34</v>
      </c>
      <c r="I206" s="18">
        <v>3120.02</v>
      </c>
      <c r="J206" s="18">
        <v>1546.21</v>
      </c>
      <c r="K206" s="18">
        <v>2759.86</v>
      </c>
      <c r="L206" s="13">
        <f t="shared" si="0"/>
        <v>1127540.8100000003</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535678.88</v>
      </c>
      <c r="G208" s="18">
        <v>314377.24</v>
      </c>
      <c r="H208" s="18">
        <v>733182.07</v>
      </c>
      <c r="I208" s="18">
        <v>337474.11</v>
      </c>
      <c r="J208" s="18">
        <v>492243.09</v>
      </c>
      <c r="K208" s="18">
        <v>761.07</v>
      </c>
      <c r="L208" s="13">
        <f t="shared" si="0"/>
        <v>2413716.4599999995</v>
      </c>
      <c r="M208" s="8"/>
      <c r="N208" s="164"/>
    </row>
    <row r="209" spans="1:14" s="3" customFormat="1" ht="12.2" customHeight="1" x14ac:dyDescent="0.15">
      <c r="A209" s="1" t="s">
        <v>448</v>
      </c>
      <c r="B209" s="2" t="s">
        <v>341</v>
      </c>
      <c r="C209" s="2" t="s">
        <v>300</v>
      </c>
      <c r="D209" s="2" t="s">
        <v>431</v>
      </c>
      <c r="E209" s="6">
        <v>2700</v>
      </c>
      <c r="F209" s="18"/>
      <c r="G209" s="18"/>
      <c r="H209" s="18">
        <v>1030452</v>
      </c>
      <c r="I209" s="18"/>
      <c r="J209" s="18"/>
      <c r="K209" s="18"/>
      <c r="L209" s="13">
        <f t="shared" si="0"/>
        <v>1030452</v>
      </c>
      <c r="M209" s="8"/>
      <c r="N209" s="164"/>
    </row>
    <row r="210" spans="1:14" s="3" customFormat="1" ht="12.2" customHeight="1" x14ac:dyDescent="0.15">
      <c r="A210" s="1" t="s">
        <v>449</v>
      </c>
      <c r="B210" s="2" t="s">
        <v>341</v>
      </c>
      <c r="C210" s="2" t="s">
        <v>343</v>
      </c>
      <c r="D210" s="2" t="s">
        <v>431</v>
      </c>
      <c r="E210" s="6">
        <v>2800</v>
      </c>
      <c r="F210" s="18">
        <v>90627.37</v>
      </c>
      <c r="G210" s="18">
        <v>996435.58</v>
      </c>
      <c r="H210" s="18"/>
      <c r="I210" s="18"/>
      <c r="J210" s="18"/>
      <c r="K210" s="18"/>
      <c r="L210" s="13">
        <f>SUM(F210:K210)</f>
        <v>1087062.95</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9344250.6300000008</v>
      </c>
      <c r="G212" s="38">
        <f t="shared" si="1"/>
        <v>5431748.6900000004</v>
      </c>
      <c r="H212" s="38">
        <f t="shared" si="1"/>
        <v>3735314.71</v>
      </c>
      <c r="I212" s="38">
        <f t="shared" si="1"/>
        <v>682627.9</v>
      </c>
      <c r="J212" s="38">
        <f t="shared" si="1"/>
        <v>733935.89</v>
      </c>
      <c r="K212" s="38">
        <f t="shared" si="1"/>
        <v>19274.46</v>
      </c>
      <c r="L212" s="38">
        <f t="shared" si="1"/>
        <v>19947152.280000001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2011244.2</v>
      </c>
      <c r="G234" s="18">
        <v>945246.94</v>
      </c>
      <c r="H234" s="18">
        <v>2743</v>
      </c>
      <c r="I234" s="18">
        <v>59471.66</v>
      </c>
      <c r="J234" s="18">
        <v>10400.81</v>
      </c>
      <c r="K234" s="18"/>
      <c r="L234" s="13">
        <f>SUM(F234:K234)</f>
        <v>3029106.61</v>
      </c>
      <c r="M234" s="8"/>
      <c r="N234" s="164"/>
    </row>
    <row r="235" spans="1:14" s="3" customFormat="1" ht="12.2" customHeight="1" x14ac:dyDescent="0.15">
      <c r="A235" s="1" t="s">
        <v>439</v>
      </c>
      <c r="B235" s="2" t="s">
        <v>350</v>
      </c>
      <c r="C235" s="2" t="s">
        <v>291</v>
      </c>
      <c r="D235" s="2" t="s">
        <v>431</v>
      </c>
      <c r="E235" s="6">
        <v>1200</v>
      </c>
      <c r="F235" s="18">
        <v>662258.06999999995</v>
      </c>
      <c r="G235" s="18">
        <v>329061.34999999998</v>
      </c>
      <c r="H235" s="18">
        <v>368264.67</v>
      </c>
      <c r="I235" s="18">
        <v>1690.27</v>
      </c>
      <c r="J235" s="18">
        <v>504.28</v>
      </c>
      <c r="K235" s="18"/>
      <c r="L235" s="13">
        <f>SUM(F235:K235)</f>
        <v>1361778.64</v>
      </c>
      <c r="M235" s="8"/>
      <c r="N235" s="164"/>
    </row>
    <row r="236" spans="1:14" s="3" customFormat="1" ht="12.2" customHeight="1" x14ac:dyDescent="0.15">
      <c r="A236" s="1" t="s">
        <v>440</v>
      </c>
      <c r="B236" s="2" t="s">
        <v>350</v>
      </c>
      <c r="C236" s="2" t="s">
        <v>292</v>
      </c>
      <c r="D236" s="2" t="s">
        <v>431</v>
      </c>
      <c r="E236" s="6">
        <v>1300</v>
      </c>
      <c r="F236" s="18"/>
      <c r="G236" s="18"/>
      <c r="H236" s="18">
        <v>177930.26</v>
      </c>
      <c r="I236" s="18"/>
      <c r="J236" s="18"/>
      <c r="K236" s="18"/>
      <c r="L236" s="13">
        <f>SUM(F236:K236)</f>
        <v>177930.26</v>
      </c>
      <c r="M236" s="8"/>
      <c r="N236" s="164"/>
    </row>
    <row r="237" spans="1:14" s="3" customFormat="1" ht="12.2" customHeight="1" x14ac:dyDescent="0.15">
      <c r="A237" s="1" t="s">
        <v>441</v>
      </c>
      <c r="B237" s="2" t="s">
        <v>350</v>
      </c>
      <c r="C237" s="2" t="s">
        <v>293</v>
      </c>
      <c r="D237" s="2" t="s">
        <v>431</v>
      </c>
      <c r="E237" s="6">
        <v>1400</v>
      </c>
      <c r="F237" s="18">
        <v>283839</v>
      </c>
      <c r="G237" s="18">
        <v>77448.259999999995</v>
      </c>
      <c r="H237" s="18">
        <v>112645.46</v>
      </c>
      <c r="I237" s="18">
        <v>21190.86</v>
      </c>
      <c r="J237" s="18">
        <v>33375.08</v>
      </c>
      <c r="K237" s="18">
        <v>8785</v>
      </c>
      <c r="L237" s="13">
        <f>SUM(F237:K237)</f>
        <v>537283.66</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428028.38</v>
      </c>
      <c r="G239" s="18">
        <v>207592.71</v>
      </c>
      <c r="H239" s="18">
        <v>47676.88</v>
      </c>
      <c r="I239" s="18">
        <v>6991.42</v>
      </c>
      <c r="J239" s="18"/>
      <c r="K239" s="18">
        <v>204.59</v>
      </c>
      <c r="L239" s="13">
        <f t="shared" ref="L239:L245" si="4">SUM(F239:K239)</f>
        <v>690493.98</v>
      </c>
      <c r="M239" s="8"/>
      <c r="N239" s="164"/>
    </row>
    <row r="240" spans="1:14" s="3" customFormat="1" ht="12.2" customHeight="1" x14ac:dyDescent="0.15">
      <c r="A240" s="1" t="s">
        <v>443</v>
      </c>
      <c r="B240" s="2" t="s">
        <v>350</v>
      </c>
      <c r="C240" s="2" t="s">
        <v>295</v>
      </c>
      <c r="D240" s="2" t="s">
        <v>431</v>
      </c>
      <c r="E240" s="6">
        <v>2200</v>
      </c>
      <c r="F240" s="18">
        <v>243933.24</v>
      </c>
      <c r="G240" s="18">
        <v>122409.8</v>
      </c>
      <c r="H240" s="18">
        <v>123761.08</v>
      </c>
      <c r="I240" s="18">
        <v>79187.539999999994</v>
      </c>
      <c r="J240" s="18">
        <v>98523.76</v>
      </c>
      <c r="K240" s="18">
        <v>741.43</v>
      </c>
      <c r="L240" s="13">
        <f t="shared" si="4"/>
        <v>668556.85000000009</v>
      </c>
      <c r="M240" s="8"/>
      <c r="N240" s="164"/>
    </row>
    <row r="241" spans="1:14" s="3" customFormat="1" ht="12.2" customHeight="1" x14ac:dyDescent="0.15">
      <c r="A241" s="1" t="s">
        <v>444</v>
      </c>
      <c r="B241" s="2" t="s">
        <v>350</v>
      </c>
      <c r="C241" s="2" t="s">
        <v>296</v>
      </c>
      <c r="D241" s="2" t="s">
        <v>431</v>
      </c>
      <c r="E241" s="6">
        <v>2300</v>
      </c>
      <c r="F241" s="18">
        <v>3794.88</v>
      </c>
      <c r="G241" s="18">
        <v>290.31</v>
      </c>
      <c r="H241" s="18">
        <v>428207.13</v>
      </c>
      <c r="I241" s="18">
        <v>21397.11</v>
      </c>
      <c r="J241" s="18"/>
      <c r="K241" s="18">
        <v>5488.25</v>
      </c>
      <c r="L241" s="13">
        <f t="shared" si="4"/>
        <v>459177.68</v>
      </c>
      <c r="M241" s="8"/>
      <c r="N241" s="164"/>
    </row>
    <row r="242" spans="1:14" s="3" customFormat="1" ht="12.2" customHeight="1" x14ac:dyDescent="0.15">
      <c r="A242" s="1" t="s">
        <v>445</v>
      </c>
      <c r="B242" s="2" t="s">
        <v>350</v>
      </c>
      <c r="C242" s="2" t="s">
        <v>297</v>
      </c>
      <c r="D242" s="2" t="s">
        <v>431</v>
      </c>
      <c r="E242" s="6">
        <v>2400</v>
      </c>
      <c r="F242" s="18">
        <v>278010.51</v>
      </c>
      <c r="G242" s="18">
        <v>141714.63</v>
      </c>
      <c r="H242" s="18">
        <v>75664.09</v>
      </c>
      <c r="I242" s="18">
        <v>8265.1299999999992</v>
      </c>
      <c r="J242" s="18">
        <v>5002.1400000000003</v>
      </c>
      <c r="K242" s="18"/>
      <c r="L242" s="13">
        <f t="shared" si="4"/>
        <v>508656.5</v>
      </c>
      <c r="M242" s="8"/>
      <c r="N242" s="164"/>
    </row>
    <row r="243" spans="1:14" s="3" customFormat="1" ht="12.2" customHeight="1" x14ac:dyDescent="0.15">
      <c r="A243" s="1" t="s">
        <v>446</v>
      </c>
      <c r="B243" s="2" t="s">
        <v>350</v>
      </c>
      <c r="C243" s="2" t="s">
        <v>298</v>
      </c>
      <c r="D243" s="2" t="s">
        <v>431</v>
      </c>
      <c r="E243" s="6">
        <v>2500</v>
      </c>
      <c r="F243" s="18">
        <v>5787.5</v>
      </c>
      <c r="G243" s="18">
        <v>442.77</v>
      </c>
      <c r="H243" s="18"/>
      <c r="I243" s="18">
        <v>3076.6</v>
      </c>
      <c r="J243" s="18">
        <v>8750</v>
      </c>
      <c r="K243" s="18"/>
      <c r="L243" s="13">
        <f t="shared" si="4"/>
        <v>18056.870000000003</v>
      </c>
      <c r="M243" s="8"/>
      <c r="N243" s="164"/>
    </row>
    <row r="244" spans="1:14" s="3" customFormat="1" ht="12.2" customHeight="1" x14ac:dyDescent="0.15">
      <c r="A244" s="1" t="s">
        <v>447</v>
      </c>
      <c r="B244" s="2" t="s">
        <v>350</v>
      </c>
      <c r="C244" s="2" t="s">
        <v>299</v>
      </c>
      <c r="D244" s="2" t="s">
        <v>431</v>
      </c>
      <c r="E244" s="6">
        <v>2600</v>
      </c>
      <c r="F244" s="18">
        <v>326157.25</v>
      </c>
      <c r="G244" s="18">
        <v>187855.05</v>
      </c>
      <c r="H244" s="18">
        <v>500917.73</v>
      </c>
      <c r="I244" s="18">
        <v>208100.31</v>
      </c>
      <c r="J244" s="18">
        <v>375469.8</v>
      </c>
      <c r="K244" s="18">
        <v>333.93</v>
      </c>
      <c r="L244" s="13">
        <f t="shared" si="4"/>
        <v>1598834.07</v>
      </c>
      <c r="M244" s="8"/>
      <c r="N244" s="164"/>
    </row>
    <row r="245" spans="1:14" s="3" customFormat="1" ht="12.2" customHeight="1" x14ac:dyDescent="0.15">
      <c r="A245" s="1" t="s">
        <v>448</v>
      </c>
      <c r="B245" s="2" t="s">
        <v>350</v>
      </c>
      <c r="C245" s="2" t="s">
        <v>300</v>
      </c>
      <c r="D245" s="2" t="s">
        <v>431</v>
      </c>
      <c r="E245" s="6">
        <v>2700</v>
      </c>
      <c r="F245" s="18"/>
      <c r="G245" s="18"/>
      <c r="H245" s="18">
        <v>695269.36</v>
      </c>
      <c r="I245" s="18"/>
      <c r="J245" s="18"/>
      <c r="K245" s="18"/>
      <c r="L245" s="13">
        <f t="shared" si="4"/>
        <v>695269.36</v>
      </c>
      <c r="M245" s="8"/>
      <c r="N245" s="164"/>
    </row>
    <row r="246" spans="1:14" s="3" customFormat="1" ht="12.2" customHeight="1" x14ac:dyDescent="0.15">
      <c r="A246" s="1" t="s">
        <v>449</v>
      </c>
      <c r="B246" s="2" t="s">
        <v>350</v>
      </c>
      <c r="C246" s="2" t="s">
        <v>343</v>
      </c>
      <c r="D246" s="2" t="s">
        <v>431</v>
      </c>
      <c r="E246" s="6">
        <v>2800</v>
      </c>
      <c r="F246" s="18">
        <v>39763.629999999997</v>
      </c>
      <c r="G246" s="18">
        <v>437195.76</v>
      </c>
      <c r="H246" s="18"/>
      <c r="I246" s="18"/>
      <c r="J246" s="18"/>
      <c r="K246" s="18"/>
      <c r="L246" s="13">
        <f>SUM(F246:K246)</f>
        <v>476959.39</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4282816.6599999992</v>
      </c>
      <c r="G248" s="38">
        <f t="shared" si="5"/>
        <v>2449257.58</v>
      </c>
      <c r="H248" s="38">
        <f t="shared" si="5"/>
        <v>2533079.66</v>
      </c>
      <c r="I248" s="38">
        <f t="shared" si="5"/>
        <v>409370.9</v>
      </c>
      <c r="J248" s="38">
        <f t="shared" si="5"/>
        <v>532025.87</v>
      </c>
      <c r="K248" s="38">
        <f t="shared" si="5"/>
        <v>15553.2</v>
      </c>
      <c r="L248" s="38">
        <f t="shared" si="5"/>
        <v>10222103.869999999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13627067.289999999</v>
      </c>
      <c r="G258" s="38">
        <f t="shared" si="8"/>
        <v>7881006.2700000005</v>
      </c>
      <c r="H258" s="38">
        <f t="shared" si="8"/>
        <v>6268394.3700000001</v>
      </c>
      <c r="I258" s="38">
        <f t="shared" si="8"/>
        <v>1091998.8</v>
      </c>
      <c r="J258" s="38">
        <f t="shared" si="8"/>
        <v>1265961.76</v>
      </c>
      <c r="K258" s="38">
        <f t="shared" si="8"/>
        <v>34827.660000000003</v>
      </c>
      <c r="L258" s="38">
        <f t="shared" si="8"/>
        <v>30169256.149999999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42644.23</v>
      </c>
      <c r="L264" s="13">
        <f>SUM(F264:K264)</f>
        <v>42644.23</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250000</v>
      </c>
      <c r="L267" s="13">
        <f t="shared" si="9"/>
        <v>250000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292644.23</v>
      </c>
      <c r="L271" s="38">
        <f t="shared" si="9"/>
        <v>292644.23</v>
      </c>
      <c r="M271" s="8"/>
      <c r="N271" s="164"/>
    </row>
    <row r="272" spans="1:14" s="33" customFormat="1" ht="12.2" customHeight="1" thickTop="1" x14ac:dyDescent="0.2">
      <c r="A272" s="40" t="s">
        <v>464</v>
      </c>
      <c r="B272" s="37">
        <v>10</v>
      </c>
      <c r="C272" s="37">
        <v>18</v>
      </c>
      <c r="D272" s="36" t="s">
        <v>431</v>
      </c>
      <c r="E272" s="37"/>
      <c r="F272" s="39">
        <f t="shared" ref="F272:L272" si="11">F258+F271</f>
        <v>13627067.289999999</v>
      </c>
      <c r="G272" s="39">
        <f t="shared" si="11"/>
        <v>7881006.2700000005</v>
      </c>
      <c r="H272" s="39">
        <f t="shared" si="11"/>
        <v>6268394.3700000001</v>
      </c>
      <c r="I272" s="39">
        <f t="shared" si="11"/>
        <v>1091998.8</v>
      </c>
      <c r="J272" s="39">
        <f t="shared" si="11"/>
        <v>1265961.76</v>
      </c>
      <c r="K272" s="39">
        <f t="shared" si="11"/>
        <v>327471.89</v>
      </c>
      <c r="L272" s="39">
        <f t="shared" si="11"/>
        <v>30461900.379999999</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252001.63</v>
      </c>
      <c r="G277" s="18">
        <v>120318.29</v>
      </c>
      <c r="H277" s="18">
        <v>5368.8</v>
      </c>
      <c r="I277" s="18">
        <v>33124.370000000003</v>
      </c>
      <c r="J277" s="18"/>
      <c r="K277" s="18"/>
      <c r="L277" s="13">
        <f>SUM(F277:K277)</f>
        <v>410813.08999999997</v>
      </c>
      <c r="M277" s="8"/>
      <c r="N277" s="164"/>
    </row>
    <row r="278" spans="1:14" s="3" customFormat="1" ht="12.2" customHeight="1" x14ac:dyDescent="0.15">
      <c r="A278" s="1" t="s">
        <v>439</v>
      </c>
      <c r="B278" s="2" t="s">
        <v>357</v>
      </c>
      <c r="C278" s="2" t="s">
        <v>291</v>
      </c>
      <c r="D278" s="2" t="s">
        <v>431</v>
      </c>
      <c r="E278" s="6">
        <v>1200</v>
      </c>
      <c r="F278" s="18">
        <v>22012.36</v>
      </c>
      <c r="G278" s="18">
        <v>8529.57</v>
      </c>
      <c r="H278" s="18"/>
      <c r="I278" s="18"/>
      <c r="J278" s="18"/>
      <c r="K278" s="18"/>
      <c r="L278" s="13">
        <f>SUM(F278:K278)</f>
        <v>30541.93</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57671.199999999997</v>
      </c>
      <c r="G282" s="18">
        <v>25124.23</v>
      </c>
      <c r="H282" s="18">
        <v>50214.31</v>
      </c>
      <c r="I282" s="18">
        <v>667.48</v>
      </c>
      <c r="J282" s="18"/>
      <c r="K282" s="18"/>
      <c r="L282" s="13">
        <f t="shared" ref="L282:L288" si="12">SUM(F282:K282)</f>
        <v>133677.22</v>
      </c>
      <c r="M282" s="8"/>
      <c r="N282" s="164"/>
    </row>
    <row r="283" spans="1:14" s="3" customFormat="1" ht="12.2" customHeight="1" x14ac:dyDescent="0.15">
      <c r="A283" s="1" t="s">
        <v>443</v>
      </c>
      <c r="B283" s="2" t="s">
        <v>357</v>
      </c>
      <c r="C283" s="2" t="s">
        <v>295</v>
      </c>
      <c r="D283" s="2" t="s">
        <v>431</v>
      </c>
      <c r="E283" s="6">
        <v>2200</v>
      </c>
      <c r="F283" s="18"/>
      <c r="G283" s="18">
        <v>3926.92</v>
      </c>
      <c r="H283" s="18">
        <v>35486.639999999999</v>
      </c>
      <c r="I283" s="18">
        <v>5257.12</v>
      </c>
      <c r="J283" s="18"/>
      <c r="K283" s="18"/>
      <c r="L283" s="13">
        <f t="shared" si="12"/>
        <v>44670.68</v>
      </c>
      <c r="M283" s="8"/>
      <c r="N283" s="164"/>
    </row>
    <row r="284" spans="1:14" s="3" customFormat="1" ht="12.2" customHeight="1" x14ac:dyDescent="0.15">
      <c r="A284" s="1" t="s">
        <v>444</v>
      </c>
      <c r="B284" s="2" t="s">
        <v>357</v>
      </c>
      <c r="C284" s="2" t="s">
        <v>296</v>
      </c>
      <c r="D284" s="2" t="s">
        <v>431</v>
      </c>
      <c r="E284" s="6">
        <v>2300</v>
      </c>
      <c r="F284" s="18">
        <v>27363.85</v>
      </c>
      <c r="G284" s="18">
        <v>3235.64</v>
      </c>
      <c r="H284" s="18"/>
      <c r="I284" s="18"/>
      <c r="J284" s="18"/>
      <c r="K284" s="18">
        <v>38158.76</v>
      </c>
      <c r="L284" s="13">
        <f t="shared" si="12"/>
        <v>68758.25</v>
      </c>
      <c r="M284" s="8"/>
      <c r="N284" s="164"/>
    </row>
    <row r="285" spans="1:14" s="3" customFormat="1" ht="12.2" customHeight="1" x14ac:dyDescent="0.15">
      <c r="A285" s="1" t="s">
        <v>445</v>
      </c>
      <c r="B285" s="2" t="s">
        <v>357</v>
      </c>
      <c r="C285" s="2" t="s">
        <v>297</v>
      </c>
      <c r="D285" s="2" t="s">
        <v>431</v>
      </c>
      <c r="E285" s="6">
        <v>2400</v>
      </c>
      <c r="F285" s="18">
        <v>8688.0400000000009</v>
      </c>
      <c r="G285" s="18">
        <v>2370.9699999999998</v>
      </c>
      <c r="H285" s="18"/>
      <c r="I285" s="18"/>
      <c r="J285" s="18"/>
      <c r="K285" s="18"/>
      <c r="L285" s="13">
        <f t="shared" si="12"/>
        <v>11059.01</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203164.65</v>
      </c>
      <c r="I287" s="18">
        <v>2365.4899999999998</v>
      </c>
      <c r="J287" s="18"/>
      <c r="K287" s="18"/>
      <c r="L287" s="13">
        <f t="shared" si="12"/>
        <v>205530.13999999998</v>
      </c>
      <c r="M287" s="8"/>
      <c r="N287" s="164"/>
    </row>
    <row r="288" spans="1:14" s="3" customFormat="1" ht="12.2" customHeight="1" x14ac:dyDescent="0.15">
      <c r="A288" s="1" t="s">
        <v>448</v>
      </c>
      <c r="B288" s="2" t="s">
        <v>357</v>
      </c>
      <c r="C288" s="2" t="s">
        <v>300</v>
      </c>
      <c r="D288" s="2" t="s">
        <v>431</v>
      </c>
      <c r="E288" s="6">
        <v>2700</v>
      </c>
      <c r="F288" s="18"/>
      <c r="G288" s="18"/>
      <c r="H288" s="18">
        <v>353.14</v>
      </c>
      <c r="I288" s="18"/>
      <c r="J288" s="18"/>
      <c r="K288" s="18"/>
      <c r="L288" s="13">
        <f t="shared" si="12"/>
        <v>353.14</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367737.07999999996</v>
      </c>
      <c r="G291" s="39">
        <f t="shared" si="13"/>
        <v>163505.62000000002</v>
      </c>
      <c r="H291" s="39">
        <f t="shared" si="13"/>
        <v>294587.54000000004</v>
      </c>
      <c r="I291" s="39">
        <f t="shared" si="13"/>
        <v>41414.460000000006</v>
      </c>
      <c r="J291" s="39">
        <f t="shared" si="13"/>
        <v>0</v>
      </c>
      <c r="K291" s="39">
        <f t="shared" si="13"/>
        <v>38158.76</v>
      </c>
      <c r="L291" s="38">
        <f t="shared" si="13"/>
        <v>905403.46000000008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38787.949999999997</v>
      </c>
      <c r="G315" s="18">
        <v>15334.41</v>
      </c>
      <c r="H315" s="18"/>
      <c r="I315" s="18">
        <v>22550.05</v>
      </c>
      <c r="J315" s="18"/>
      <c r="K315" s="18"/>
      <c r="L315" s="13">
        <f>SUM(F315:K315)</f>
        <v>76672.41</v>
      </c>
      <c r="M315" s="8"/>
      <c r="N315" s="164"/>
    </row>
    <row r="316" spans="1:14" s="3" customFormat="1" ht="12.2" customHeight="1" x14ac:dyDescent="0.15">
      <c r="A316" s="1" t="s">
        <v>439</v>
      </c>
      <c r="B316" s="2" t="s">
        <v>359</v>
      </c>
      <c r="C316" s="2" t="s">
        <v>291</v>
      </c>
      <c r="D316" s="2" t="s">
        <v>431</v>
      </c>
      <c r="E316" s="6">
        <v>1200</v>
      </c>
      <c r="F316" s="18">
        <v>9658.14</v>
      </c>
      <c r="G316" s="18">
        <v>3742.43</v>
      </c>
      <c r="H316" s="18">
        <v>10282.19</v>
      </c>
      <c r="I316" s="18"/>
      <c r="J316" s="18"/>
      <c r="K316" s="18"/>
      <c r="L316" s="13">
        <f>SUM(F316:K316)</f>
        <v>23682.760000000002</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v>3875</v>
      </c>
      <c r="J318" s="18">
        <v>8490</v>
      </c>
      <c r="K318" s="18">
        <v>6000</v>
      </c>
      <c r="L318" s="13">
        <f>SUM(F318:K318)</f>
        <v>18365</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25303.8</v>
      </c>
      <c r="G320" s="18">
        <v>11023.5</v>
      </c>
      <c r="H320" s="18">
        <v>22032.01</v>
      </c>
      <c r="I320" s="18">
        <v>106.73</v>
      </c>
      <c r="J320" s="18"/>
      <c r="K320" s="18"/>
      <c r="L320" s="13">
        <f t="shared" ref="L320:L326" si="16">SUM(F320:K320)</f>
        <v>58466.04</v>
      </c>
      <c r="M320" s="8"/>
      <c r="N320" s="164"/>
    </row>
    <row r="321" spans="1:14" s="3" customFormat="1" ht="12.2" customHeight="1" x14ac:dyDescent="0.15">
      <c r="A321" s="1" t="s">
        <v>443</v>
      </c>
      <c r="B321" s="2" t="s">
        <v>359</v>
      </c>
      <c r="C321" s="2" t="s">
        <v>295</v>
      </c>
      <c r="D321" s="2" t="s">
        <v>431</v>
      </c>
      <c r="E321" s="6">
        <v>2200</v>
      </c>
      <c r="F321" s="18"/>
      <c r="G321" s="18">
        <v>1722.97</v>
      </c>
      <c r="H321" s="18">
        <v>15570.11</v>
      </c>
      <c r="I321" s="18">
        <v>21.44</v>
      </c>
      <c r="J321" s="18"/>
      <c r="K321" s="18"/>
      <c r="L321" s="13">
        <f t="shared" si="16"/>
        <v>17314.52</v>
      </c>
      <c r="M321" s="8"/>
      <c r="N321" s="164"/>
    </row>
    <row r="322" spans="1:14" s="3" customFormat="1" ht="12.2" customHeight="1" x14ac:dyDescent="0.15">
      <c r="A322" s="1" t="s">
        <v>444</v>
      </c>
      <c r="B322" s="2" t="s">
        <v>359</v>
      </c>
      <c r="C322" s="2" t="s">
        <v>296</v>
      </c>
      <c r="D322" s="2" t="s">
        <v>431</v>
      </c>
      <c r="E322" s="6">
        <v>2300</v>
      </c>
      <c r="F322" s="18">
        <v>12006.15</v>
      </c>
      <c r="G322" s="18">
        <v>1419.67</v>
      </c>
      <c r="H322" s="18"/>
      <c r="I322" s="18"/>
      <c r="J322" s="18"/>
      <c r="K322" s="18">
        <v>10420.52</v>
      </c>
      <c r="L322" s="13">
        <f t="shared" si="16"/>
        <v>23846.34</v>
      </c>
      <c r="M322" s="8"/>
      <c r="N322" s="164"/>
    </row>
    <row r="323" spans="1:14" s="3" customFormat="1" ht="12.2" customHeight="1" x14ac:dyDescent="0.15">
      <c r="A323" s="1" t="s">
        <v>445</v>
      </c>
      <c r="B323" s="2" t="s">
        <v>359</v>
      </c>
      <c r="C323" s="2" t="s">
        <v>297</v>
      </c>
      <c r="D323" s="2" t="s">
        <v>431</v>
      </c>
      <c r="E323" s="6">
        <v>2400</v>
      </c>
      <c r="F323" s="18">
        <v>3811.96</v>
      </c>
      <c r="G323" s="18">
        <v>1040.28</v>
      </c>
      <c r="H323" s="18"/>
      <c r="I323" s="18"/>
      <c r="J323" s="18"/>
      <c r="K323" s="18"/>
      <c r="L323" s="13">
        <f t="shared" si="16"/>
        <v>4852.24</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v>49381</v>
      </c>
      <c r="I325" s="18">
        <v>1037.8800000000001</v>
      </c>
      <c r="J325" s="18"/>
      <c r="K325" s="18"/>
      <c r="L325" s="13">
        <f t="shared" si="16"/>
        <v>50418.879999999997</v>
      </c>
      <c r="M325" s="8"/>
      <c r="N325" s="164"/>
    </row>
    <row r="326" spans="1:14" s="3" customFormat="1" ht="12.2" customHeight="1" x14ac:dyDescent="0.15">
      <c r="A326" s="1" t="s">
        <v>448</v>
      </c>
      <c r="B326" s="2" t="s">
        <v>359</v>
      </c>
      <c r="C326" s="2" t="s">
        <v>300</v>
      </c>
      <c r="D326" s="2" t="s">
        <v>431</v>
      </c>
      <c r="E326" s="6">
        <v>2700</v>
      </c>
      <c r="F326" s="18"/>
      <c r="G326" s="18"/>
      <c r="H326" s="18">
        <v>154.94</v>
      </c>
      <c r="I326" s="18"/>
      <c r="J326" s="18"/>
      <c r="K326" s="18"/>
      <c r="L326" s="13">
        <f t="shared" si="16"/>
        <v>154.94</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89568</v>
      </c>
      <c r="G329" s="39">
        <f t="shared" si="17"/>
        <v>34283.26</v>
      </c>
      <c r="H329" s="39">
        <f t="shared" si="17"/>
        <v>97420.25</v>
      </c>
      <c r="I329" s="39">
        <f t="shared" si="17"/>
        <v>27591.1</v>
      </c>
      <c r="J329" s="39">
        <f t="shared" si="17"/>
        <v>8490</v>
      </c>
      <c r="K329" s="39">
        <f t="shared" si="17"/>
        <v>16420.52</v>
      </c>
      <c r="L329" s="38">
        <f t="shared" si="17"/>
        <v>273773.13</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v>363870.13</v>
      </c>
      <c r="I337" s="18"/>
      <c r="J337" s="18"/>
      <c r="K337" s="18"/>
      <c r="L337" s="13">
        <f t="shared" si="18"/>
        <v>363870.13</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363870.13</v>
      </c>
      <c r="I338" s="38">
        <f t="shared" si="19"/>
        <v>0</v>
      </c>
      <c r="J338" s="38">
        <f t="shared" si="19"/>
        <v>0</v>
      </c>
      <c r="K338" s="38">
        <f t="shared" si="19"/>
        <v>0</v>
      </c>
      <c r="L338" s="38">
        <f t="shared" si="18"/>
        <v>363870.13</v>
      </c>
      <c r="M338" s="8"/>
      <c r="N338" s="164"/>
    </row>
    <row r="339" spans="1:43" s="3" customFormat="1" ht="12.2" customHeight="1" thickTop="1" x14ac:dyDescent="0.15">
      <c r="A339" s="35" t="s">
        <v>468</v>
      </c>
      <c r="B339" s="37">
        <v>14</v>
      </c>
      <c r="C339" s="37">
        <v>7</v>
      </c>
      <c r="D339" s="36" t="s">
        <v>431</v>
      </c>
      <c r="E339" s="37"/>
      <c r="F339" s="38">
        <f t="shared" ref="F339:L339" si="20">F291+F310+F329+F338</f>
        <v>457305.07999999996</v>
      </c>
      <c r="G339" s="38">
        <f t="shared" si="20"/>
        <v>197788.88000000003</v>
      </c>
      <c r="H339" s="38">
        <f t="shared" si="20"/>
        <v>755877.92</v>
      </c>
      <c r="I339" s="38">
        <f t="shared" si="20"/>
        <v>69005.56</v>
      </c>
      <c r="J339" s="38">
        <f t="shared" si="20"/>
        <v>8490</v>
      </c>
      <c r="K339" s="38">
        <f t="shared" si="20"/>
        <v>54579.28</v>
      </c>
      <c r="L339" s="38">
        <f t="shared" si="20"/>
        <v>1543046.7200000002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457305.07999999996</v>
      </c>
      <c r="G353" s="38">
        <f>G339</f>
        <v>197788.88000000003</v>
      </c>
      <c r="H353" s="38">
        <f>H339</f>
        <v>755877.92</v>
      </c>
      <c r="I353" s="38">
        <f>I339</f>
        <v>69005.56</v>
      </c>
      <c r="J353" s="38">
        <f>J339</f>
        <v>8490</v>
      </c>
      <c r="K353" s="38">
        <f>K339+K352</f>
        <v>54579.28</v>
      </c>
      <c r="L353" s="38">
        <f>L339+L352</f>
        <v>1543046.7200000002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278131.59999999998</v>
      </c>
      <c r="I359" s="18">
        <v>2759.29</v>
      </c>
      <c r="J359" s="18">
        <v>42756.39</v>
      </c>
      <c r="K359" s="18">
        <v>3252.84</v>
      </c>
      <c r="L359" s="13">
        <f>SUM(F359:K359)</f>
        <v>326900.12</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v>122032.94</v>
      </c>
      <c r="I361" s="18">
        <v>1210.67</v>
      </c>
      <c r="J361" s="18">
        <v>18759.78</v>
      </c>
      <c r="K361" s="18">
        <v>1427.21</v>
      </c>
      <c r="L361" s="13">
        <f>SUM(F361:K361)</f>
        <v>143430.6</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400164.54</v>
      </c>
      <c r="I363" s="38">
        <f t="shared" si="22"/>
        <v>3969.96</v>
      </c>
      <c r="J363" s="38">
        <f t="shared" si="22"/>
        <v>61516.17</v>
      </c>
      <c r="K363" s="38">
        <f t="shared" si="22"/>
        <v>4680.05</v>
      </c>
      <c r="L363" s="38">
        <f t="shared" si="22"/>
        <v>470330.72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2759.29</v>
      </c>
      <c r="G369" s="53"/>
      <c r="H369" s="53">
        <v>1210.67</v>
      </c>
      <c r="I369" s="13">
        <f>SUM(F369:H369)</f>
        <v>3969.96</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2759.29</v>
      </c>
      <c r="G370" s="38">
        <f>SUM(G368:G369)</f>
        <v>0</v>
      </c>
      <c r="H370" s="38">
        <f>SUM(H368:H369)</f>
        <v>1210.67</v>
      </c>
      <c r="I370" s="38">
        <f>SUM(I368:I369)</f>
        <v>3969.96</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v>470.9</v>
      </c>
      <c r="I391" s="18"/>
      <c r="J391" s="23" t="s">
        <v>288</v>
      </c>
      <c r="K391" s="23" t="s">
        <v>288</v>
      </c>
      <c r="L391" s="13">
        <f t="shared" si="25"/>
        <v>470.9</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v>0.65</v>
      </c>
      <c r="I393" s="18"/>
      <c r="J393" s="23" t="s">
        <v>288</v>
      </c>
      <c r="K393" s="23" t="s">
        <v>288</v>
      </c>
      <c r="L393" s="13">
        <f t="shared" si="25"/>
        <v>0.65</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471.54999999999995</v>
      </c>
      <c r="I394" s="54">
        <f>SUM(I388:I393)</f>
        <v>0</v>
      </c>
      <c r="J394" s="42" t="s">
        <v>288</v>
      </c>
      <c r="K394" s="42" t="s">
        <v>288</v>
      </c>
      <c r="L394" s="38">
        <f>SUM(L388:L393)</f>
        <v>471.54999999999995</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v>4720.51</v>
      </c>
      <c r="I396" s="18"/>
      <c r="J396" s="23" t="s">
        <v>288</v>
      </c>
      <c r="K396" s="23" t="s">
        <v>288</v>
      </c>
      <c r="L396" s="13">
        <f t="shared" ref="L396:L401" si="26">SUM(F396:K396)</f>
        <v>4720.51</v>
      </c>
      <c r="M396" s="8"/>
      <c r="N396" s="164"/>
    </row>
    <row r="397" spans="1:14" s="3" customFormat="1" ht="12.2" customHeight="1" x14ac:dyDescent="0.15">
      <c r="A397" s="62" t="s">
        <v>557</v>
      </c>
      <c r="B397" s="2" t="s">
        <v>381</v>
      </c>
      <c r="C397" s="6">
        <v>9</v>
      </c>
      <c r="D397" s="2" t="s">
        <v>432</v>
      </c>
      <c r="E397" s="6"/>
      <c r="F397" s="18"/>
      <c r="G397" s="18">
        <v>250000</v>
      </c>
      <c r="H397" s="18">
        <v>25814.67</v>
      </c>
      <c r="I397" s="18"/>
      <c r="J397" s="23" t="s">
        <v>288</v>
      </c>
      <c r="K397" s="23" t="s">
        <v>288</v>
      </c>
      <c r="L397" s="13">
        <f t="shared" si="26"/>
        <v>275814.67</v>
      </c>
      <c r="M397" s="8"/>
      <c r="N397" s="164"/>
    </row>
    <row r="398" spans="1:14" s="3" customFormat="1" ht="12.2" customHeight="1" x14ac:dyDescent="0.15">
      <c r="A398" s="62" t="s">
        <v>515</v>
      </c>
      <c r="B398" s="2" t="s">
        <v>381</v>
      </c>
      <c r="C398" s="6">
        <v>10</v>
      </c>
      <c r="D398" s="2" t="s">
        <v>432</v>
      </c>
      <c r="E398" s="6"/>
      <c r="F398" s="18"/>
      <c r="G398" s="18"/>
      <c r="H398" s="18">
        <v>3707.45</v>
      </c>
      <c r="I398" s="18"/>
      <c r="J398" s="23" t="s">
        <v>288</v>
      </c>
      <c r="K398" s="23" t="s">
        <v>288</v>
      </c>
      <c r="L398" s="13">
        <f t="shared" si="26"/>
        <v>3707.45</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56.62</v>
      </c>
      <c r="I401" s="18"/>
      <c r="J401" s="23" t="s">
        <v>288</v>
      </c>
      <c r="K401" s="23" t="s">
        <v>288</v>
      </c>
      <c r="L401" s="13">
        <f t="shared" si="26"/>
        <v>56.62</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250000</v>
      </c>
      <c r="H402" s="38">
        <f>SUM(H396:H401)</f>
        <v>34299.25</v>
      </c>
      <c r="I402" s="38">
        <f>SUM(I396:I401)</f>
        <v>0</v>
      </c>
      <c r="J402" s="42" t="s">
        <v>288</v>
      </c>
      <c r="K402" s="42" t="s">
        <v>288</v>
      </c>
      <c r="L402" s="38">
        <f>SUM(L396:L401)</f>
        <v>284299.25</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250000</v>
      </c>
      <c r="H409" s="38">
        <f>H394+H402+H408</f>
        <v>34770.800000000003</v>
      </c>
      <c r="I409" s="38">
        <f>I394+I402+I408</f>
        <v>0</v>
      </c>
      <c r="J409" s="23" t="s">
        <v>288</v>
      </c>
      <c r="K409" s="23" t="s">
        <v>288</v>
      </c>
      <c r="L409" s="38">
        <f>L394+L402+L408</f>
        <v>284770.8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v>1082636.79</v>
      </c>
      <c r="I440" s="13">
        <f t="shared" ref="I440:I446" si="33">SUM(F440:H440)</f>
        <v>1082636.79</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0</v>
      </c>
      <c r="H447" s="13">
        <f>SUM(H440:H446)</f>
        <v>1082636.79</v>
      </c>
      <c r="I447" s="13">
        <f>SUM(I440:I446)</f>
        <v>1082636.79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v>1082636.79</v>
      </c>
      <c r="I460" s="13">
        <f t="shared" si="34"/>
        <v>1082636.79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0</v>
      </c>
      <c r="H461" s="65">
        <f>SUM(H455:H460)</f>
        <v>1082636.79</v>
      </c>
      <c r="I461" s="65">
        <f>SUM(I455:I460)</f>
        <v>1082636.79</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0</v>
      </c>
      <c r="H462" s="39">
        <f>H453+H461</f>
        <v>1082636.79</v>
      </c>
      <c r="I462" s="39">
        <f>I453+I461</f>
        <v>1082636.79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3106841.78</v>
      </c>
      <c r="G466" s="18">
        <v>148204.34</v>
      </c>
      <c r="H466" s="18">
        <v>145782.85999999999</v>
      </c>
      <c r="I466" s="18">
        <v>3231</v>
      </c>
      <c r="J466" s="18">
        <v>797865.99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29999915.59</v>
      </c>
      <c r="G469" s="18">
        <v>404844.59</v>
      </c>
      <c r="H469" s="18">
        <v>1560216.7</v>
      </c>
      <c r="I469" s="18">
        <v>0</v>
      </c>
      <c r="J469" s="18">
        <v>284770.8</v>
      </c>
      <c r="K469" s="23" t="s">
        <v>288</v>
      </c>
      <c r="L469" s="23" t="s">
        <v>288</v>
      </c>
      <c r="N469" s="130"/>
    </row>
    <row r="470" spans="1:14" ht="12.2" customHeight="1" x14ac:dyDescent="0.2">
      <c r="A470" s="71" t="s">
        <v>611</v>
      </c>
      <c r="B470" s="22">
        <v>19</v>
      </c>
      <c r="C470" s="31">
        <v>3</v>
      </c>
      <c r="D470" s="2" t="s">
        <v>432</v>
      </c>
      <c r="E470" s="31"/>
      <c r="F470" s="18"/>
      <c r="G470" s="18"/>
      <c r="H470" s="18"/>
      <c r="I470" s="18">
        <v>0.11</v>
      </c>
      <c r="J470" s="18"/>
      <c r="K470" s="23" t="s">
        <v>288</v>
      </c>
      <c r="L470" s="23" t="s">
        <v>288</v>
      </c>
      <c r="N470" s="130"/>
    </row>
    <row r="471" spans="1:14" ht="12.2" customHeight="1" x14ac:dyDescent="0.2">
      <c r="A471" s="32" t="s">
        <v>425</v>
      </c>
      <c r="B471" s="22">
        <v>19</v>
      </c>
      <c r="C471" s="31">
        <v>4</v>
      </c>
      <c r="D471" s="2" t="s">
        <v>432</v>
      </c>
      <c r="E471" s="31"/>
      <c r="F471" s="19">
        <f>SUM(F469:F470)</f>
        <v>29999915.59</v>
      </c>
      <c r="G471" s="19">
        <f>SUM(G469:G470)</f>
        <v>404844.59</v>
      </c>
      <c r="H471" s="19">
        <f>SUM(H469:H470)</f>
        <v>1560216.7</v>
      </c>
      <c r="I471" s="19">
        <f>SUM(I469:I470)</f>
        <v>0.11</v>
      </c>
      <c r="J471" s="19">
        <f>SUM(J469:J470)</f>
        <v>284770.8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30461900.379999999</v>
      </c>
      <c r="G473" s="18">
        <v>470330.72</v>
      </c>
      <c r="H473" s="18">
        <v>1543046.72</v>
      </c>
      <c r="I473" s="18">
        <v>0</v>
      </c>
      <c r="J473" s="18">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30461900.379999999</v>
      </c>
      <c r="G475" s="19">
        <f>SUM(G473:G474)</f>
        <v>470330.72</v>
      </c>
      <c r="H475" s="19">
        <f>SUM(H473:H474)</f>
        <v>1543046.72</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2644856.9900000021</v>
      </c>
      <c r="G477" s="19">
        <f>(G466+G471)- G475</f>
        <v>82718.210000000079</v>
      </c>
      <c r="H477" s="19">
        <f>(H466+H471)- H475</f>
        <v>162952.84000000008</v>
      </c>
      <c r="I477" s="19">
        <f>(I466+I471)- I475</f>
        <v>3231.11</v>
      </c>
      <c r="J477" s="19">
        <f>(J466+J471)- J475</f>
        <v>1082636.79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1841</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1983114.94</v>
      </c>
      <c r="G522" s="18">
        <v>933626.65</v>
      </c>
      <c r="H522" s="18">
        <v>527810.28</v>
      </c>
      <c r="I522" s="18">
        <v>829.88</v>
      </c>
      <c r="J522" s="18">
        <v>1149.32</v>
      </c>
      <c r="K522" s="18"/>
      <c r="L522" s="69">
        <f>SUM(F522:K522)</f>
        <v>3446531.07</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v>662258.06999999995</v>
      </c>
      <c r="G524" s="18">
        <v>329061.34999999998</v>
      </c>
      <c r="H524" s="18">
        <v>400578.87</v>
      </c>
      <c r="I524" s="18">
        <v>1690.27</v>
      </c>
      <c r="J524" s="18">
        <v>504.28</v>
      </c>
      <c r="K524" s="18"/>
      <c r="L524" s="69">
        <f>SUM(F524:K524)</f>
        <v>1394092.84</v>
      </c>
      <c r="N524" s="130"/>
    </row>
    <row r="525" spans="1:14" ht="12.2" customHeight="1" thickTop="1" x14ac:dyDescent="0.2">
      <c r="A525" s="97" t="s">
        <v>63</v>
      </c>
      <c r="B525" s="41">
        <v>21</v>
      </c>
      <c r="C525" s="41">
        <v>4</v>
      </c>
      <c r="D525" s="115" t="s">
        <v>432</v>
      </c>
      <c r="E525" s="41"/>
      <c r="F525" s="81">
        <f>SUM(F522:F524)</f>
        <v>2645373.0099999998</v>
      </c>
      <c r="G525" s="81">
        <f t="shared" ref="G525:L525" si="36">SUM(G522:G524)</f>
        <v>1262688</v>
      </c>
      <c r="H525" s="81">
        <f t="shared" si="36"/>
        <v>928389.15</v>
      </c>
      <c r="I525" s="81">
        <f t="shared" si="36"/>
        <v>2520.15</v>
      </c>
      <c r="J525" s="81">
        <f t="shared" si="36"/>
        <v>1653.6</v>
      </c>
      <c r="K525" s="81">
        <f t="shared" si="36"/>
        <v>0</v>
      </c>
      <c r="L525" s="70">
        <f t="shared" si="36"/>
        <v>4840623.91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668329.17000000004</v>
      </c>
      <c r="G527" s="18">
        <v>327981.96999999997</v>
      </c>
      <c r="H527" s="18">
        <v>61471</v>
      </c>
      <c r="I527" s="18">
        <v>7059.77</v>
      </c>
      <c r="J527" s="18">
        <v>823.6</v>
      </c>
      <c r="K527" s="18">
        <v>109.77</v>
      </c>
      <c r="L527" s="69">
        <f>SUM(F527:K527)</f>
        <v>1065775.2800000003</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v>300124.39</v>
      </c>
      <c r="G529" s="18">
        <v>147439.72</v>
      </c>
      <c r="H529" s="18">
        <v>35236.730000000003</v>
      </c>
      <c r="I529" s="18">
        <v>3876.52</v>
      </c>
      <c r="J529" s="18"/>
      <c r="K529" s="18">
        <v>81.83</v>
      </c>
      <c r="L529" s="69">
        <f>SUM(F529:K529)</f>
        <v>486759.19</v>
      </c>
      <c r="M529" s="8"/>
      <c r="N529" s="164"/>
    </row>
    <row r="530" spans="1:14" s="3" customFormat="1" ht="12.2" customHeight="1" thickTop="1" x14ac:dyDescent="0.15">
      <c r="A530" s="97" t="s">
        <v>65</v>
      </c>
      <c r="B530" s="41">
        <v>21</v>
      </c>
      <c r="C530" s="41">
        <v>8</v>
      </c>
      <c r="D530" s="115" t="s">
        <v>432</v>
      </c>
      <c r="E530" s="41"/>
      <c r="F530" s="70">
        <f>SUM(F527:F529)</f>
        <v>968453.56</v>
      </c>
      <c r="G530" s="70">
        <f t="shared" ref="G530:L530" si="37">SUM(G527:G529)</f>
        <v>475421.68999999994</v>
      </c>
      <c r="H530" s="70">
        <f t="shared" si="37"/>
        <v>96707.73000000001</v>
      </c>
      <c r="I530" s="70">
        <f t="shared" si="37"/>
        <v>10936.29</v>
      </c>
      <c r="J530" s="70">
        <f t="shared" si="37"/>
        <v>823.6</v>
      </c>
      <c r="K530" s="70">
        <f t="shared" si="37"/>
        <v>191.6</v>
      </c>
      <c r="L530" s="70">
        <f t="shared" si="37"/>
        <v>1552534.4700000002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20413.419999999998</v>
      </c>
      <c r="G532" s="18">
        <v>1561.63</v>
      </c>
      <c r="H532" s="18">
        <v>103612.32</v>
      </c>
      <c r="I532" s="18"/>
      <c r="J532" s="18"/>
      <c r="K532" s="18">
        <v>10905.06</v>
      </c>
      <c r="L532" s="69">
        <f>SUM(F532:K532)</f>
        <v>136492.43000000002</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8956.58</v>
      </c>
      <c r="G534" s="18">
        <v>685.18</v>
      </c>
      <c r="H534" s="18">
        <v>45460.91</v>
      </c>
      <c r="I534" s="18"/>
      <c r="J534" s="18"/>
      <c r="K534" s="18">
        <v>4784.7</v>
      </c>
      <c r="L534" s="69">
        <f>SUM(F534:K534)</f>
        <v>59887.37</v>
      </c>
      <c r="M534" s="8"/>
      <c r="N534" s="164"/>
    </row>
    <row r="535" spans="1:14" s="3" customFormat="1" ht="12.2" customHeight="1" thickTop="1" x14ac:dyDescent="0.15">
      <c r="A535" s="97" t="s">
        <v>67</v>
      </c>
      <c r="B535" s="41">
        <v>21</v>
      </c>
      <c r="C535" s="41">
        <v>12</v>
      </c>
      <c r="D535" s="115" t="s">
        <v>432</v>
      </c>
      <c r="E535" s="41"/>
      <c r="F535" s="70">
        <f>SUM(F532:F534)</f>
        <v>29370</v>
      </c>
      <c r="G535" s="70">
        <f t="shared" ref="G535:L535" si="38">SUM(G532:G534)</f>
        <v>2246.81</v>
      </c>
      <c r="H535" s="70">
        <f t="shared" si="38"/>
        <v>149073.23000000001</v>
      </c>
      <c r="I535" s="70">
        <f t="shared" si="38"/>
        <v>0</v>
      </c>
      <c r="J535" s="70">
        <f t="shared" si="38"/>
        <v>0</v>
      </c>
      <c r="K535" s="70">
        <f t="shared" si="38"/>
        <v>15689.759999999998</v>
      </c>
      <c r="L535" s="70">
        <f t="shared" si="38"/>
        <v>196379.80000000002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9494.64</v>
      </c>
      <c r="I537" s="18"/>
      <c r="J537" s="18"/>
      <c r="K537" s="18"/>
      <c r="L537" s="69">
        <f>SUM(F537:K537)</f>
        <v>9494.64</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v>4165.8500000000004</v>
      </c>
      <c r="I539" s="18"/>
      <c r="J539" s="18"/>
      <c r="K539" s="18"/>
      <c r="L539" s="69">
        <f>SUM(F539:K539)</f>
        <v>4165.8500000000004</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13660.49</v>
      </c>
      <c r="I540" s="70">
        <f t="shared" si="39"/>
        <v>0</v>
      </c>
      <c r="J540" s="70">
        <f t="shared" si="39"/>
        <v>0</v>
      </c>
      <c r="K540" s="70">
        <f t="shared" si="39"/>
        <v>0</v>
      </c>
      <c r="L540" s="70">
        <f t="shared" si="39"/>
        <v>13660.49</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315173.08</v>
      </c>
      <c r="I542" s="18"/>
      <c r="J542" s="18"/>
      <c r="K542" s="18"/>
      <c r="L542" s="69">
        <f>SUM(F542:K542)</f>
        <v>315173.08</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138285.25</v>
      </c>
      <c r="I544" s="18"/>
      <c r="J544" s="18"/>
      <c r="K544" s="18"/>
      <c r="L544" s="69">
        <f>SUM(F544:K544)</f>
        <v>138285.25</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453458.33</v>
      </c>
      <c r="I545" s="140">
        <f t="shared" si="40"/>
        <v>0</v>
      </c>
      <c r="J545" s="140">
        <f t="shared" si="40"/>
        <v>0</v>
      </c>
      <c r="K545" s="140">
        <f t="shared" si="40"/>
        <v>0</v>
      </c>
      <c r="L545" s="140">
        <f t="shared" si="40"/>
        <v>453458.33</v>
      </c>
      <c r="M545" s="8"/>
      <c r="N545" s="164"/>
    </row>
    <row r="546" spans="1:14" s="3" customFormat="1" ht="12.2" customHeight="1" thickTop="1" x14ac:dyDescent="0.15">
      <c r="A546" s="75" t="s">
        <v>72</v>
      </c>
      <c r="B546" s="41">
        <v>21</v>
      </c>
      <c r="C546" s="41">
        <v>21</v>
      </c>
      <c r="D546" s="115" t="s">
        <v>432</v>
      </c>
      <c r="E546" s="41"/>
      <c r="F546" s="70">
        <f>F525+F530+F535+F540+F545</f>
        <v>3643196.57</v>
      </c>
      <c r="G546" s="70">
        <f t="shared" ref="G546:L546" si="41">G525+G530+G535+G540+G545</f>
        <v>1740356.5</v>
      </c>
      <c r="H546" s="70">
        <f t="shared" si="41"/>
        <v>1641288.9300000002</v>
      </c>
      <c r="I546" s="70">
        <f t="shared" si="41"/>
        <v>13456.44</v>
      </c>
      <c r="J546" s="70">
        <f t="shared" si="41"/>
        <v>2477.1999999999998</v>
      </c>
      <c r="K546" s="70">
        <f t="shared" si="41"/>
        <v>15881.359999999999</v>
      </c>
      <c r="L546" s="70">
        <f t="shared" si="41"/>
        <v>7056657.0000000009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3446531.07</v>
      </c>
      <c r="G550" s="69">
        <f>L527</f>
        <v>1065775.2800000003</v>
      </c>
      <c r="H550" s="69">
        <f>L532</f>
        <v>136492.43000000002</v>
      </c>
      <c r="I550" s="69">
        <f>L537</f>
        <v>9494.64</v>
      </c>
      <c r="J550" s="69">
        <f>L542</f>
        <v>315173.08</v>
      </c>
      <c r="K550" s="69">
        <f>SUM(F550:J550)</f>
        <v>4973466.4999999991</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1394092.84</v>
      </c>
      <c r="G552" s="69">
        <f>L529</f>
        <v>486759.19</v>
      </c>
      <c r="H552" s="69">
        <f>L534</f>
        <v>59887.37</v>
      </c>
      <c r="I552" s="69">
        <f>L539</f>
        <v>4165.8500000000004</v>
      </c>
      <c r="J552" s="69">
        <f>L544</f>
        <v>138285.25</v>
      </c>
      <c r="K552" s="69">
        <f>SUM(F552:J552)</f>
        <v>2083190.5000000002</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4840623.91</v>
      </c>
      <c r="G553" s="70">
        <f t="shared" si="42"/>
        <v>1552534.4700000002</v>
      </c>
      <c r="H553" s="70">
        <f t="shared" si="42"/>
        <v>196379.80000000002</v>
      </c>
      <c r="I553" s="70">
        <f t="shared" si="42"/>
        <v>13660.49</v>
      </c>
      <c r="J553" s="70">
        <f t="shared" si="42"/>
        <v>453458.33</v>
      </c>
      <c r="K553" s="70">
        <f t="shared" si="42"/>
        <v>7056656.9999999991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v>163598.01</v>
      </c>
      <c r="G558" s="18">
        <v>85368.83</v>
      </c>
      <c r="H558" s="18">
        <v>618.79999999999995</v>
      </c>
      <c r="I558" s="18">
        <v>3201.19</v>
      </c>
      <c r="J558" s="18"/>
      <c r="K558" s="18">
        <v>14408.8</v>
      </c>
      <c r="L558" s="69">
        <f>SUM(F558:K558)</f>
        <v>267195.63</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163598.01</v>
      </c>
      <c r="G561" s="81">
        <f t="shared" si="43"/>
        <v>85368.83</v>
      </c>
      <c r="H561" s="81">
        <f t="shared" si="43"/>
        <v>618.79999999999995</v>
      </c>
      <c r="I561" s="81">
        <f t="shared" si="43"/>
        <v>3201.19</v>
      </c>
      <c r="J561" s="81">
        <f t="shared" si="43"/>
        <v>0</v>
      </c>
      <c r="K561" s="81">
        <f t="shared" si="43"/>
        <v>14408.8</v>
      </c>
      <c r="L561" s="70">
        <f t="shared" si="43"/>
        <v>267195.63</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38226.74</v>
      </c>
      <c r="G563" s="18">
        <v>16772.349999999999</v>
      </c>
      <c r="H563" s="18"/>
      <c r="I563" s="18"/>
      <c r="J563" s="18"/>
      <c r="K563" s="18"/>
      <c r="L563" s="69">
        <f>SUM(F563:K563)</f>
        <v>54999.09</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v>14200.45</v>
      </c>
      <c r="G565" s="18">
        <v>6230.59</v>
      </c>
      <c r="H565" s="18"/>
      <c r="I565" s="18"/>
      <c r="J565" s="18"/>
      <c r="K565" s="18"/>
      <c r="L565" s="69">
        <f>SUM(F565:K565)</f>
        <v>20431.04</v>
      </c>
      <c r="M565" s="8"/>
      <c r="N565" s="164"/>
    </row>
    <row r="566" spans="1:14" s="3" customFormat="1" ht="12.2" customHeight="1" thickTop="1" x14ac:dyDescent="0.15">
      <c r="A566" s="97" t="s">
        <v>65</v>
      </c>
      <c r="B566" s="41">
        <v>22</v>
      </c>
      <c r="C566" s="41">
        <v>8</v>
      </c>
      <c r="D566" s="115" t="s">
        <v>432</v>
      </c>
      <c r="E566" s="41"/>
      <c r="F566" s="70">
        <f t="shared" ref="F566:L566" si="44">SUM(F563:F565)</f>
        <v>52427.19</v>
      </c>
      <c r="G566" s="70">
        <f t="shared" si="44"/>
        <v>23002.94</v>
      </c>
      <c r="H566" s="70">
        <f t="shared" si="44"/>
        <v>0</v>
      </c>
      <c r="I566" s="70">
        <f t="shared" si="44"/>
        <v>0</v>
      </c>
      <c r="J566" s="70">
        <f t="shared" si="44"/>
        <v>0</v>
      </c>
      <c r="K566" s="70">
        <f t="shared" si="44"/>
        <v>0</v>
      </c>
      <c r="L566" s="70">
        <f t="shared" si="44"/>
        <v>75430.13</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216025.2</v>
      </c>
      <c r="G572" s="70">
        <f t="shared" ref="G572:L572" si="46">G561+G566+G571</f>
        <v>108371.77</v>
      </c>
      <c r="H572" s="70">
        <f t="shared" si="46"/>
        <v>618.79999999999995</v>
      </c>
      <c r="I572" s="70">
        <f t="shared" si="46"/>
        <v>3201.19</v>
      </c>
      <c r="J572" s="70">
        <f t="shared" si="46"/>
        <v>0</v>
      </c>
      <c r="K572" s="70">
        <f t="shared" si="46"/>
        <v>14408.8</v>
      </c>
      <c r="L572" s="70">
        <f t="shared" si="46"/>
        <v>342625.76</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45349.599999999999</v>
      </c>
      <c r="I580" s="69">
        <f t="shared" si="47"/>
        <v>45349.599999999999</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161316.91</v>
      </c>
      <c r="I583" s="69">
        <f t="shared" si="47"/>
        <v>161316.91</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177930.26</v>
      </c>
      <c r="I585" s="69">
        <f t="shared" si="47"/>
        <v>177930.26</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384596.77</v>
      </c>
      <c r="I589" s="79">
        <f t="shared" si="48"/>
        <v>384596.77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633357.42000000004</v>
      </c>
      <c r="I592" s="18"/>
      <c r="J592" s="18">
        <v>277891.71000000002</v>
      </c>
      <c r="K592" s="80">
        <f t="shared" ref="K592:K598" si="49">SUM(H592:J592)</f>
        <v>911249.13000000012</v>
      </c>
      <c r="L592" s="23" t="s">
        <v>288</v>
      </c>
      <c r="M592" s="8"/>
      <c r="N592" s="164"/>
    </row>
    <row r="593" spans="1:14" s="3" customFormat="1" ht="12.2" customHeight="1" x14ac:dyDescent="0.15">
      <c r="A593" s="3" t="s">
        <v>638</v>
      </c>
      <c r="B593" s="22">
        <v>23</v>
      </c>
      <c r="C593" s="22">
        <v>2</v>
      </c>
      <c r="D593" s="2" t="s">
        <v>432</v>
      </c>
      <c r="E593" s="22"/>
      <c r="F593" s="78">
        <v>2722</v>
      </c>
      <c r="G593" s="79" t="s">
        <v>97</v>
      </c>
      <c r="H593" s="18">
        <v>314819.95</v>
      </c>
      <c r="I593" s="18"/>
      <c r="J593" s="18">
        <v>138130.29999999999</v>
      </c>
      <c r="K593" s="80">
        <f t="shared" si="49"/>
        <v>452950.25</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163056.35</v>
      </c>
      <c r="K594" s="80">
        <f t="shared" si="49"/>
        <v>163056.35</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v>82426.559999999998</v>
      </c>
      <c r="K595" s="80">
        <f t="shared" si="49"/>
        <v>82426.559999999998</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28249.599999999999</v>
      </c>
      <c r="I596" s="18"/>
      <c r="J596" s="18">
        <v>10060.43</v>
      </c>
      <c r="K596" s="80">
        <f t="shared" si="49"/>
        <v>38310.03</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54025.03</v>
      </c>
      <c r="I598" s="18"/>
      <c r="J598" s="18">
        <v>23704.01</v>
      </c>
      <c r="K598" s="80">
        <f t="shared" si="49"/>
        <v>77729.039999999994</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1030452.0000000001</v>
      </c>
      <c r="I599" s="81">
        <f>SUM(I592:I598)</f>
        <v>0</v>
      </c>
      <c r="J599" s="81">
        <f>SUM(J592:J598)</f>
        <v>695269.36</v>
      </c>
      <c r="K599" s="81">
        <f>SUM(K592:K598)</f>
        <v>1725721.3600000003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733935.89</v>
      </c>
      <c r="I605" s="18"/>
      <c r="J605" s="18">
        <v>540515.87</v>
      </c>
      <c r="K605" s="80">
        <f>SUM(H605:J605)</f>
        <v>1274451.76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733935.89</v>
      </c>
      <c r="I606" s="81">
        <f>SUM(I603:I605)</f>
        <v>0</v>
      </c>
      <c r="J606" s="81">
        <f>SUM(J603:J605)</f>
        <v>540515.87</v>
      </c>
      <c r="K606" s="81">
        <f>SUM(K603:K605)</f>
        <v>1274451.76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61341.78</v>
      </c>
      <c r="G612" s="18">
        <v>13322.72</v>
      </c>
      <c r="H612" s="18"/>
      <c r="I612" s="18">
        <v>49.83</v>
      </c>
      <c r="J612" s="18"/>
      <c r="K612" s="18"/>
      <c r="L612" s="69">
        <f>SUM(F612:K612)</f>
        <v>74714.33</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v>21724.71</v>
      </c>
      <c r="G614" s="18">
        <v>4831.29</v>
      </c>
      <c r="H614" s="18"/>
      <c r="I614" s="18">
        <v>21.86</v>
      </c>
      <c r="J614" s="18"/>
      <c r="K614" s="18"/>
      <c r="L614" s="69">
        <f>SUM(F614:K614)</f>
        <v>26577.86</v>
      </c>
      <c r="M614" s="8"/>
      <c r="N614" s="164"/>
    </row>
    <row r="615" spans="1:14" s="3" customFormat="1" ht="12.2" customHeight="1" thickTop="1" x14ac:dyDescent="0.15">
      <c r="A615" s="75" t="s">
        <v>340</v>
      </c>
      <c r="B615" s="41">
        <v>23</v>
      </c>
      <c r="C615" s="41">
        <v>16</v>
      </c>
      <c r="D615" s="36" t="s">
        <v>432</v>
      </c>
      <c r="E615" s="41"/>
      <c r="F615" s="81">
        <f t="shared" ref="F615:L615" si="50">SUM(F612:F614)</f>
        <v>83066.489999999991</v>
      </c>
      <c r="G615" s="81">
        <f t="shared" si="50"/>
        <v>18154.009999999998</v>
      </c>
      <c r="H615" s="81">
        <f t="shared" si="50"/>
        <v>0</v>
      </c>
      <c r="I615" s="81">
        <f t="shared" si="50"/>
        <v>71.69</v>
      </c>
      <c r="J615" s="81">
        <f t="shared" si="50"/>
        <v>0</v>
      </c>
      <c r="K615" s="81">
        <f t="shared" si="50"/>
        <v>0</v>
      </c>
      <c r="L615" s="70">
        <f t="shared" si="50"/>
        <v>101292.19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7156432.7699999996</v>
      </c>
      <c r="H618" s="80">
        <f>SUM(F52)</f>
        <v>7156432.7700000005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120714.48</v>
      </c>
      <c r="H619" s="80">
        <f>SUM(G52)</f>
        <v>120714.48000000001</v>
      </c>
      <c r="I619" s="87" t="s">
        <v>872</v>
      </c>
      <c r="J619" s="80">
        <f>G619-H619</f>
        <v>0</v>
      </c>
      <c r="K619" s="80"/>
      <c r="L619" s="80"/>
      <c r="M619" s="8"/>
    </row>
    <row r="620" spans="1:14" s="3" customFormat="1" ht="12.2" customHeight="1" x14ac:dyDescent="0.15">
      <c r="A620" s="74"/>
      <c r="B620" s="22"/>
      <c r="C620" s="22"/>
      <c r="D620" s="22"/>
      <c r="E620" s="22"/>
      <c r="F620" s="87" t="s">
        <v>685</v>
      </c>
      <c r="G620" s="80">
        <f>SUM(H19)</f>
        <v>167586.59</v>
      </c>
      <c r="H620" s="80">
        <f>SUM(H52)</f>
        <v>167586.59</v>
      </c>
      <c r="I620" s="87" t="s">
        <v>873</v>
      </c>
      <c r="J620" s="80">
        <f>G620-H620</f>
        <v>0</v>
      </c>
      <c r="K620" s="80"/>
      <c r="L620" s="80"/>
      <c r="M620" s="8"/>
    </row>
    <row r="621" spans="1:14" s="3" customFormat="1" ht="12.2" customHeight="1" x14ac:dyDescent="0.15">
      <c r="A621" s="74"/>
      <c r="B621" s="22"/>
      <c r="C621" s="22"/>
      <c r="D621" s="22"/>
      <c r="E621" s="22"/>
      <c r="F621" s="87" t="s">
        <v>686</v>
      </c>
      <c r="G621" s="80">
        <f>SUM(I19)</f>
        <v>3231.11</v>
      </c>
      <c r="H621" s="80">
        <f>SUM(I52)</f>
        <v>3231.11</v>
      </c>
      <c r="I621" s="87" t="s">
        <v>874</v>
      </c>
      <c r="J621" s="80">
        <f>G621-H621</f>
        <v>0</v>
      </c>
      <c r="K621" s="80"/>
      <c r="L621" s="80"/>
      <c r="M621" s="8"/>
    </row>
    <row r="622" spans="1:14" s="3" customFormat="1" ht="12.2" customHeight="1" x14ac:dyDescent="0.15">
      <c r="A622" s="74"/>
      <c r="B622" s="22"/>
      <c r="C622" s="22"/>
      <c r="D622" s="22"/>
      <c r="E622" s="22"/>
      <c r="F622" s="87" t="s">
        <v>687</v>
      </c>
      <c r="G622" s="80">
        <f>SUM(J19)</f>
        <v>1082636.79</v>
      </c>
      <c r="H622" s="80">
        <f>SUM(J52)</f>
        <v>1082636.79</v>
      </c>
      <c r="I622" s="87" t="s">
        <v>875</v>
      </c>
      <c r="J622" s="80">
        <f>G622-H622</f>
        <v>0</v>
      </c>
      <c r="K622" s="80"/>
      <c r="L622" s="80"/>
      <c r="M622" s="8"/>
    </row>
    <row r="623" spans="1:14" s="3" customFormat="1" ht="12.2" customHeight="1" x14ac:dyDescent="0.15">
      <c r="A623" s="74"/>
      <c r="B623" s="22"/>
      <c r="C623" s="22"/>
      <c r="D623" s="22"/>
      <c r="E623" s="22"/>
      <c r="F623" s="87" t="s">
        <v>861</v>
      </c>
      <c r="G623" s="80">
        <f>F51</f>
        <v>2644856.9900000002</v>
      </c>
      <c r="H623" s="80">
        <f>F477</f>
        <v>2644856.9900000021</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82718.210000000006</v>
      </c>
      <c r="H624" s="80">
        <f>G477</f>
        <v>82718.210000000079</v>
      </c>
      <c r="I624" s="87" t="s">
        <v>102</v>
      </c>
      <c r="J624" s="80">
        <f t="shared" si="51"/>
        <v>0</v>
      </c>
      <c r="K624" s="80"/>
      <c r="L624" s="80"/>
      <c r="M624" s="8"/>
    </row>
    <row r="625" spans="1:13" s="3" customFormat="1" ht="12.2" customHeight="1" x14ac:dyDescent="0.15">
      <c r="A625" s="74"/>
      <c r="B625" s="22"/>
      <c r="C625" s="22"/>
      <c r="D625" s="22"/>
      <c r="E625" s="22"/>
      <c r="F625" s="86" t="s">
        <v>863</v>
      </c>
      <c r="G625" s="80">
        <f>H51</f>
        <v>162952.84</v>
      </c>
      <c r="H625" s="80">
        <f>H477</f>
        <v>162952.84000000008</v>
      </c>
      <c r="I625" s="87" t="s">
        <v>103</v>
      </c>
      <c r="J625" s="80">
        <f t="shared" si="51"/>
        <v>0</v>
      </c>
      <c r="K625" s="80"/>
      <c r="L625" s="80"/>
      <c r="M625" s="8"/>
    </row>
    <row r="626" spans="1:13" s="3" customFormat="1" ht="12.2" customHeight="1" x14ac:dyDescent="0.15">
      <c r="A626" s="74"/>
      <c r="B626" s="22"/>
      <c r="C626" s="22"/>
      <c r="D626" s="22"/>
      <c r="E626" s="22"/>
      <c r="F626" s="86" t="s">
        <v>864</v>
      </c>
      <c r="G626" s="80">
        <f>I51</f>
        <v>3231.11</v>
      </c>
      <c r="H626" s="80">
        <f>I477</f>
        <v>3231.11</v>
      </c>
      <c r="I626" s="87" t="s">
        <v>104</v>
      </c>
      <c r="J626" s="80">
        <f t="shared" si="51"/>
        <v>0</v>
      </c>
      <c r="K626" s="80"/>
      <c r="L626" s="80"/>
      <c r="M626" s="8"/>
    </row>
    <row r="627" spans="1:13" s="3" customFormat="1" ht="12.2" customHeight="1" x14ac:dyDescent="0.15">
      <c r="A627" s="21"/>
      <c r="B627" s="22"/>
      <c r="C627" s="22"/>
      <c r="D627" s="22"/>
      <c r="E627" s="22"/>
      <c r="F627" s="86" t="s">
        <v>865</v>
      </c>
      <c r="G627" s="80">
        <f>J51</f>
        <v>1082636.79</v>
      </c>
      <c r="H627" s="80">
        <f>J477</f>
        <v>1082636.79</v>
      </c>
      <c r="I627" s="87" t="s">
        <v>105</v>
      </c>
      <c r="J627" s="80">
        <f t="shared" si="51"/>
        <v>0</v>
      </c>
      <c r="K627" s="67"/>
      <c r="L627" s="69"/>
      <c r="M627" s="8"/>
    </row>
    <row r="628" spans="1:13" s="3" customFormat="1" ht="12.2" customHeight="1" x14ac:dyDescent="0.15">
      <c r="A628" s="21"/>
      <c r="B628" s="22"/>
      <c r="C628" s="22"/>
      <c r="D628" s="22"/>
      <c r="E628" s="22"/>
      <c r="F628" s="86" t="s">
        <v>658</v>
      </c>
      <c r="G628" s="80">
        <f>F194</f>
        <v>29999915.59</v>
      </c>
      <c r="H628" s="80">
        <f>SUM(F469)</f>
        <v>29999915.59</v>
      </c>
      <c r="I628" s="87" t="s">
        <v>106</v>
      </c>
      <c r="J628" s="80">
        <f>G628-H628</f>
        <v>0</v>
      </c>
      <c r="K628" s="67"/>
      <c r="L628" s="69"/>
      <c r="M628" s="8"/>
    </row>
    <row r="629" spans="1:13" s="3" customFormat="1" ht="12.2" customHeight="1" x14ac:dyDescent="0.15">
      <c r="A629" s="21"/>
      <c r="B629" s="22"/>
      <c r="C629" s="22"/>
      <c r="D629" s="22"/>
      <c r="E629" s="22"/>
      <c r="F629" s="86" t="s">
        <v>659</v>
      </c>
      <c r="G629" s="80">
        <f>G194</f>
        <v>404844.58999999997</v>
      </c>
      <c r="H629" s="80">
        <f>SUM(G469)</f>
        <v>404844.59</v>
      </c>
      <c r="I629" s="87" t="s">
        <v>107</v>
      </c>
      <c r="J629" s="80">
        <f>G629-H629</f>
        <v>0</v>
      </c>
      <c r="K629" s="67"/>
      <c r="L629" s="69"/>
      <c r="M629" s="8"/>
    </row>
    <row r="630" spans="1:13" s="3" customFormat="1" ht="12.2" customHeight="1" x14ac:dyDescent="0.15">
      <c r="A630" s="21"/>
      <c r="B630" s="22"/>
      <c r="C630" s="22"/>
      <c r="D630" s="22"/>
      <c r="E630" s="22"/>
      <c r="F630" s="86" t="s">
        <v>660</v>
      </c>
      <c r="G630" s="80">
        <f>H194</f>
        <v>1560216.6999999997</v>
      </c>
      <c r="H630" s="80">
        <f>SUM(H469)</f>
        <v>1560216.7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284770.8</v>
      </c>
      <c r="H632" s="80">
        <f>SUM(J469)</f>
        <v>284770.8</v>
      </c>
      <c r="I632" s="87" t="s">
        <v>110</v>
      </c>
      <c r="J632" s="80">
        <f>G632-H632</f>
        <v>0</v>
      </c>
      <c r="K632" s="67"/>
      <c r="L632" s="69"/>
      <c r="M632" s="8"/>
    </row>
    <row r="633" spans="1:13" s="3" customFormat="1" ht="12.2" customHeight="1" x14ac:dyDescent="0.15">
      <c r="A633" s="21"/>
      <c r="B633" s="22"/>
      <c r="C633" s="22"/>
      <c r="D633" s="22"/>
      <c r="E633" s="22"/>
      <c r="F633" s="86" t="s">
        <v>394</v>
      </c>
      <c r="G633" s="80">
        <f>SUM(L272)</f>
        <v>30461900.379999999</v>
      </c>
      <c r="H633" s="80">
        <f>SUM(F473)</f>
        <v>30461900.379999999</v>
      </c>
      <c r="I633" s="87" t="s">
        <v>111</v>
      </c>
      <c r="J633" s="80">
        <f t="shared" si="51"/>
        <v>0</v>
      </c>
      <c r="K633" s="67"/>
      <c r="L633" s="69"/>
      <c r="M633" s="8"/>
    </row>
    <row r="634" spans="1:13" s="3" customFormat="1" ht="12.2" customHeight="1" x14ac:dyDescent="0.15">
      <c r="A634" s="21"/>
      <c r="B634" s="22"/>
      <c r="C634" s="22"/>
      <c r="D634" s="22"/>
      <c r="E634" s="22"/>
      <c r="F634" s="86" t="s">
        <v>395</v>
      </c>
      <c r="G634" s="80">
        <f>SUM(L353)</f>
        <v>1543046.7200000002</v>
      </c>
      <c r="H634" s="80">
        <f>SUM(H473)</f>
        <v>1543046.72</v>
      </c>
      <c r="I634" s="87" t="s">
        <v>112</v>
      </c>
      <c r="J634" s="80">
        <f>G634-H634</f>
        <v>0</v>
      </c>
      <c r="K634" s="67"/>
      <c r="L634" s="69"/>
      <c r="M634" s="8"/>
    </row>
    <row r="635" spans="1:13" s="124" customFormat="1" ht="12.2" customHeight="1" x14ac:dyDescent="0.15">
      <c r="A635" s="21"/>
      <c r="B635" s="22"/>
      <c r="C635" s="22"/>
      <c r="D635" s="22"/>
      <c r="E635" s="22"/>
      <c r="F635" s="99" t="s">
        <v>247</v>
      </c>
      <c r="G635" s="80">
        <f>I363</f>
        <v>3969.96</v>
      </c>
      <c r="H635" s="80">
        <f>I370</f>
        <v>3969.96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470330.72</v>
      </c>
      <c r="H636" s="80">
        <f>SUM(G473)</f>
        <v>470330.72</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284770.8</v>
      </c>
      <c r="H638" s="108">
        <f>SUM(J469)</f>
        <v>284770.8</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1082636.79</v>
      </c>
      <c r="H642" s="80">
        <f>SUM(H462)</f>
        <v>1082636.79</v>
      </c>
      <c r="I642" s="87" t="s">
        <v>839</v>
      </c>
      <c r="J642" s="80">
        <f t="shared" si="51"/>
        <v>0</v>
      </c>
      <c r="K642" s="67"/>
      <c r="L642" s="69"/>
      <c r="M642" s="8"/>
    </row>
    <row r="643" spans="1:13" s="3" customFormat="1" ht="12.2" customHeight="1" x14ac:dyDescent="0.15">
      <c r="A643" s="21"/>
      <c r="B643" s="22"/>
      <c r="C643" s="22"/>
      <c r="D643" s="22"/>
      <c r="E643" s="22"/>
      <c r="F643" s="86" t="s">
        <v>121</v>
      </c>
      <c r="G643" s="80">
        <f>SUM(I447)</f>
        <v>1082636.79</v>
      </c>
      <c r="H643" s="80">
        <f>SUM(I462)</f>
        <v>1082636.79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34770.800000000003</v>
      </c>
      <c r="H645" s="80">
        <f>H409</f>
        <v>34770.800000000003</v>
      </c>
      <c r="I645" s="87" t="s">
        <v>480</v>
      </c>
      <c r="J645" s="80">
        <f t="shared" si="51"/>
        <v>0</v>
      </c>
      <c r="K645" s="67"/>
      <c r="L645" s="69"/>
      <c r="M645" s="8"/>
    </row>
    <row r="646" spans="1:13" s="3" customFormat="1" ht="12.2" customHeight="1" x14ac:dyDescent="0.15">
      <c r="A646" s="21"/>
      <c r="B646" s="22"/>
      <c r="C646" s="22"/>
      <c r="D646" s="22"/>
      <c r="E646" s="22"/>
      <c r="F646" s="86" t="s">
        <v>664</v>
      </c>
      <c r="G646" s="80">
        <f>J184</f>
        <v>250000</v>
      </c>
      <c r="H646" s="80">
        <f>G409</f>
        <v>250000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284770.8</v>
      </c>
      <c r="H647" s="80">
        <f>L409</f>
        <v>284770.8</v>
      </c>
      <c r="I647" s="87" t="s">
        <v>477</v>
      </c>
      <c r="J647" s="80">
        <f t="shared" si="51"/>
        <v>0</v>
      </c>
      <c r="K647" s="67"/>
      <c r="L647" s="69"/>
      <c r="M647" s="8"/>
    </row>
    <row r="648" spans="1:13" s="3" customFormat="1" ht="12.2" customHeight="1" x14ac:dyDescent="0.15">
      <c r="A648" s="21"/>
      <c r="B648" s="22"/>
      <c r="C648" s="22"/>
      <c r="D648" s="22"/>
      <c r="E648" s="22"/>
      <c r="F648" s="86" t="s">
        <v>51</v>
      </c>
      <c r="G648" s="80">
        <f>K599</f>
        <v>1725721.3600000003</v>
      </c>
      <c r="H648" s="80">
        <f>L209+L227+L245</f>
        <v>1725721.3599999999</v>
      </c>
      <c r="I648" s="87" t="s">
        <v>396</v>
      </c>
      <c r="J648" s="80">
        <f t="shared" si="51"/>
        <v>0</v>
      </c>
      <c r="K648" s="67"/>
      <c r="L648" s="69"/>
      <c r="M648" s="8"/>
    </row>
    <row r="649" spans="1:13" s="3" customFormat="1" ht="12.2" customHeight="1" x14ac:dyDescent="0.15">
      <c r="A649" s="21"/>
      <c r="B649" s="22"/>
      <c r="C649" s="22"/>
      <c r="D649" s="22"/>
      <c r="E649" s="22"/>
      <c r="F649" s="86" t="s">
        <v>52</v>
      </c>
      <c r="G649" s="80">
        <f>K606</f>
        <v>1274451.76</v>
      </c>
      <c r="H649" s="80">
        <f>(J258+J339)-(J256+J337)</f>
        <v>1274451.76</v>
      </c>
      <c r="I649" s="87" t="s">
        <v>699</v>
      </c>
      <c r="J649" s="80">
        <f t="shared" si="51"/>
        <v>0</v>
      </c>
      <c r="K649" s="67"/>
      <c r="L649" s="69"/>
      <c r="M649" s="8"/>
    </row>
    <row r="650" spans="1:13" s="3" customFormat="1" ht="12.2" customHeight="1" x14ac:dyDescent="0.15">
      <c r="A650" s="21"/>
      <c r="B650" s="22"/>
      <c r="C650" s="22"/>
      <c r="D650" s="22"/>
      <c r="E650" s="22"/>
      <c r="F650" s="86" t="s">
        <v>387</v>
      </c>
      <c r="G650" s="80">
        <f>L209</f>
        <v>1030452</v>
      </c>
      <c r="H650" s="80">
        <f>H599</f>
        <v>1030452.0000000001</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695269.36</v>
      </c>
      <c r="H652" s="80">
        <f>J599</f>
        <v>695269.36</v>
      </c>
      <c r="I652" s="87" t="s">
        <v>390</v>
      </c>
      <c r="J652" s="80">
        <f t="shared" si="51"/>
        <v>0</v>
      </c>
      <c r="K652" s="67"/>
      <c r="L652" s="69"/>
      <c r="M652" s="8"/>
    </row>
    <row r="653" spans="1:13" s="3" customFormat="1" ht="12.2" customHeight="1" x14ac:dyDescent="0.15">
      <c r="A653" s="21"/>
      <c r="B653" s="22"/>
      <c r="C653" s="22"/>
      <c r="D653" s="22"/>
      <c r="E653" s="22"/>
      <c r="F653" s="86" t="s">
        <v>665</v>
      </c>
      <c r="G653" s="80">
        <f>G180+G182</f>
        <v>42644.23</v>
      </c>
      <c r="H653" s="80">
        <f>K264+K346</f>
        <v>42644.23</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250000</v>
      </c>
      <c r="H656" s="80">
        <f>K267+K348</f>
        <v>250000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21179455.860000003</v>
      </c>
      <c r="G661" s="13">
        <f>(L230+L310+L360)</f>
        <v>0</v>
      </c>
      <c r="H661" s="13">
        <f>(L248+L329+L361)</f>
        <v>10639307.6</v>
      </c>
      <c r="I661" s="13">
        <f>SUM(F661:H661)</f>
        <v>31818763.460000001</v>
      </c>
      <c r="J661" s="13"/>
      <c r="K661" s="13"/>
      <c r="L661" s="13"/>
      <c r="M661" s="9"/>
    </row>
    <row r="662" spans="1:13" s="3" customFormat="1" ht="12.2" customHeight="1" x14ac:dyDescent="0.2">
      <c r="A662" s="1" t="s">
        <v>127</v>
      </c>
      <c r="F662" s="13">
        <f>(L359/IF(SUM(L359:L361)=0,1,SUM(L359:L361))*(SUM(G97:G110)))</f>
        <v>126029.78068748816</v>
      </c>
      <c r="G662" s="13">
        <f>(L360/IF(SUM(L359:L361)=0,1,SUM(L359:L361))*(SUM(G97:G110)))</f>
        <v>0</v>
      </c>
      <c r="H662" s="13">
        <f>(L361/IF(SUM(L359:L361)=0,1,SUM(L359:L361))*(SUM(G97:G110)))</f>
        <v>55296.789312511857</v>
      </c>
      <c r="I662" s="13">
        <f>SUM(F662:H662)</f>
        <v>181326.57</v>
      </c>
      <c r="J662"/>
      <c r="K662" s="13"/>
      <c r="L662" s="13"/>
      <c r="M662" s="8"/>
    </row>
    <row r="663" spans="1:13" s="3" customFormat="1" ht="12.2" customHeight="1" x14ac:dyDescent="0.2">
      <c r="A663" s="1" t="s">
        <v>128</v>
      </c>
      <c r="F663" s="13">
        <f>(L209+L288)-(J209+J288)</f>
        <v>1030805.14</v>
      </c>
      <c r="G663" s="13">
        <f>(L227+L307)-(J227+J307)</f>
        <v>0</v>
      </c>
      <c r="H663" s="13">
        <f>(L245+L326)-(J245+J326)</f>
        <v>695424.29999999993</v>
      </c>
      <c r="I663" s="13">
        <f>SUM(F663:H663)</f>
        <v>1726229.44</v>
      </c>
      <c r="J663"/>
      <c r="K663" s="13"/>
      <c r="L663" s="13"/>
      <c r="M663" s="9"/>
    </row>
    <row r="664" spans="1:13" s="3" customFormat="1" ht="12.2" customHeight="1" x14ac:dyDescent="0.15">
      <c r="A664" s="141" t="s">
        <v>129</v>
      </c>
      <c r="B664" s="124"/>
      <c r="C664" s="124"/>
      <c r="D664" s="124"/>
      <c r="E664" s="124"/>
      <c r="F664" s="142">
        <f>SUM(F576:F588)+SUM(H603:H605)+SUM(L612)</f>
        <v>808650.22</v>
      </c>
      <c r="G664" s="142">
        <f>SUM(G576:G588)+SUM(I603:I605)+L613</f>
        <v>0</v>
      </c>
      <c r="H664" s="142">
        <f>SUM(H576:H588)+SUM(J603:J605)+L614</f>
        <v>951690.5</v>
      </c>
      <c r="I664" s="13">
        <f>SUM(F664:H664)</f>
        <v>1760340.72</v>
      </c>
      <c r="J664" s="13"/>
      <c r="K664" s="13"/>
      <c r="L664" s="13"/>
      <c r="M664" s="9"/>
    </row>
    <row r="665" spans="1:13" s="3" customFormat="1" ht="12.2" customHeight="1" x14ac:dyDescent="0.15">
      <c r="A665" s="1" t="s">
        <v>130</v>
      </c>
      <c r="F665" s="13">
        <f>F661-SUM(F662:F664)</f>
        <v>19213970.719312515</v>
      </c>
      <c r="G665" s="13">
        <f>G661-SUM(G662:G664)</f>
        <v>0</v>
      </c>
      <c r="H665" s="13">
        <f>H661-SUM(H662:H664)</f>
        <v>8936896.0106874872</v>
      </c>
      <c r="I665" s="13">
        <f>I661-SUM(I662:I664)</f>
        <v>28150866.73</v>
      </c>
      <c r="J665" s="13"/>
      <c r="K665" s="13"/>
      <c r="L665" s="13"/>
      <c r="M665" s="8"/>
    </row>
    <row r="666" spans="1:13" s="3" customFormat="1" ht="12.2" customHeight="1" x14ac:dyDescent="0.2">
      <c r="A666" s="1" t="s">
        <v>131</v>
      </c>
      <c r="F666" s="182">
        <v>620.20000000000005</v>
      </c>
      <c r="G666" s="183"/>
      <c r="H666" s="183">
        <v>276.05</v>
      </c>
      <c r="I666" s="13">
        <f>SUM(F666:H666)</f>
        <v>896.25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30980.28</v>
      </c>
      <c r="G668" s="13" t="e">
        <f>ROUND(G665/G666,2)</f>
        <v>#DIV/0!</v>
      </c>
      <c r="H668" s="13">
        <f>ROUND(H665/H666,2)</f>
        <v>32374.19</v>
      </c>
      <c r="I668" s="13">
        <f>ROUND(I665/I666,2)</f>
        <v>31409.61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-16.170000000000002</v>
      </c>
      <c r="I671" s="13">
        <f>SUM(F671:H671)</f>
        <v>-16.170000000000002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30980.28</v>
      </c>
      <c r="G673" s="13" t="e">
        <f>ROUND((G665+G670)/(G666+G671),2)</f>
        <v>#DIV/0!</v>
      </c>
      <c r="H673" s="13">
        <f>ROUND((H665+H670)/(H666+H671),2)</f>
        <v>34388.550000000003</v>
      </c>
      <c r="I673" s="13">
        <f>ROUND((I665+I670)/(I666+I671),2)</f>
        <v>31986.71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5" sqref="C15"/>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94755.85</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57882.23</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20662.68</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16210.94</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1"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Inter-Lakes Cooperative</v>
      </c>
      <c r="C5" s="321"/>
      <c r="D5" s="321"/>
      <c r="E5" s="321"/>
      <c r="F5" s="321"/>
    </row>
    <row r="8" spans="1:9" ht="18" x14ac:dyDescent="0.25">
      <c r="A8" s="239" t="s">
        <v>1548</v>
      </c>
      <c r="F8" s="246" t="s">
        <v>1566</v>
      </c>
    </row>
    <row r="9" spans="1:9" ht="15" x14ac:dyDescent="0.2">
      <c r="A9" s="237" t="s">
        <v>1549</v>
      </c>
      <c r="B9" s="240">
        <f>'DOE25'!G97</f>
        <v>181326.57</v>
      </c>
      <c r="F9" s="237" t="s">
        <v>1562</v>
      </c>
    </row>
    <row r="10" spans="1:9" ht="15" x14ac:dyDescent="0.2">
      <c r="A10" s="237" t="s">
        <v>1550</v>
      </c>
      <c r="B10" s="240">
        <f>'DOE25'!G112-'DOE25'!G97</f>
        <v>0</v>
      </c>
      <c r="F10" s="237" t="s">
        <v>1563</v>
      </c>
    </row>
    <row r="11" spans="1:9" ht="15" x14ac:dyDescent="0.2">
      <c r="A11" s="237" t="s">
        <v>1551</v>
      </c>
      <c r="B11" s="240">
        <f>'DOE25'!G140</f>
        <v>1971.42</v>
      </c>
      <c r="F11" s="237" t="s">
        <v>1564</v>
      </c>
    </row>
    <row r="12" spans="1:9" ht="15" x14ac:dyDescent="0.2">
      <c r="A12" s="237" t="s">
        <v>1552</v>
      </c>
      <c r="B12" s="240">
        <f>'DOE25'!G170</f>
        <v>178902.37</v>
      </c>
      <c r="F12" s="237" t="s">
        <v>1565</v>
      </c>
    </row>
    <row r="13" spans="1:9" ht="15" x14ac:dyDescent="0.2">
      <c r="A13" s="237" t="s">
        <v>1553</v>
      </c>
      <c r="B13" s="240">
        <f>'DOE25'!G193-'DOE25'!G180</f>
        <v>0</v>
      </c>
      <c r="F13" s="237" t="s">
        <v>1575</v>
      </c>
    </row>
    <row r="14" spans="1:9" ht="18" x14ac:dyDescent="0.25">
      <c r="A14" s="239" t="s">
        <v>732</v>
      </c>
      <c r="B14" s="241">
        <f>SUM(B9:B13)</f>
        <v>362200.36</v>
      </c>
    </row>
    <row r="16" spans="1:9" ht="18" x14ac:dyDescent="0.25">
      <c r="A16" s="239" t="s">
        <v>783</v>
      </c>
      <c r="F16" s="246" t="s">
        <v>1567</v>
      </c>
    </row>
    <row r="17" spans="1:6" ht="15" x14ac:dyDescent="0.2">
      <c r="A17" s="237" t="s">
        <v>1554</v>
      </c>
      <c r="B17" s="240">
        <f>'DOE25'!L363-'DOE25'!L362</f>
        <v>470330.72</v>
      </c>
      <c r="F17" s="237" t="s">
        <v>1568</v>
      </c>
    </row>
    <row r="18" spans="1:6" ht="15" x14ac:dyDescent="0.2">
      <c r="A18" s="237" t="s">
        <v>1555</v>
      </c>
      <c r="B18" s="250"/>
      <c r="F18" s="246" t="s">
        <v>1592</v>
      </c>
    </row>
    <row r="19" spans="1:6" ht="18" x14ac:dyDescent="0.25">
      <c r="A19" s="239" t="s">
        <v>725</v>
      </c>
      <c r="B19" s="241">
        <f>SUM(B17:B18)</f>
        <v>470330.72</v>
      </c>
    </row>
    <row r="21" spans="1:6" ht="18.75" thickBot="1" x14ac:dyDescent="0.3">
      <c r="A21" s="239" t="s">
        <v>1556</v>
      </c>
    </row>
    <row r="22" spans="1:6" ht="18.75" thickTop="1" x14ac:dyDescent="0.25">
      <c r="A22" s="239" t="s">
        <v>1557</v>
      </c>
      <c r="B22" s="245">
        <f>B14-B19</f>
        <v>-108130.35999999999</v>
      </c>
      <c r="F22" s="237" t="s">
        <v>1569</v>
      </c>
    </row>
    <row r="26" spans="1:6" ht="18" x14ac:dyDescent="0.25">
      <c r="A26" s="239" t="s">
        <v>186</v>
      </c>
    </row>
    <row r="27" spans="1:6" ht="15" x14ac:dyDescent="0.2">
      <c r="A27" s="237" t="s">
        <v>1558</v>
      </c>
      <c r="B27" s="240">
        <f>'DOE25'!G180</f>
        <v>42644.23</v>
      </c>
      <c r="F27" s="237" t="s">
        <v>1570</v>
      </c>
    </row>
    <row r="28" spans="1:6" ht="15" x14ac:dyDescent="0.2">
      <c r="A28" s="237" t="s">
        <v>1560</v>
      </c>
      <c r="B28" s="240">
        <f>'DOE25'!L362</f>
        <v>0</v>
      </c>
      <c r="F28" s="237" t="s">
        <v>1571</v>
      </c>
    </row>
    <row r="31" spans="1:6" ht="15" x14ac:dyDescent="0.2">
      <c r="A31" s="237" t="s">
        <v>1789</v>
      </c>
      <c r="B31" s="240">
        <f>'DOE25'!G466</f>
        <v>148204.34</v>
      </c>
      <c r="F31" s="237" t="s">
        <v>1572</v>
      </c>
    </row>
    <row r="33" spans="1:6" ht="15" x14ac:dyDescent="0.2">
      <c r="A33" s="237" t="s">
        <v>1790</v>
      </c>
      <c r="B33" s="240">
        <f>'DOE25'!G477</f>
        <v>82718.210000000079</v>
      </c>
      <c r="F33" s="237" t="s">
        <v>1573</v>
      </c>
    </row>
    <row r="36" spans="1:6" ht="15" x14ac:dyDescent="0.2">
      <c r="A36" s="237" t="s">
        <v>1559</v>
      </c>
      <c r="B36" s="251">
        <v>23056.54</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20" zoomScaleNormal="120" workbookViewId="0">
      <selection activeCell="B39" sqref="B3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Inter-Lakes Cooperative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6738452.4300000006</v>
      </c>
      <c r="C9" s="166">
        <f>'DOE25'!G198+'DOE25'!G216+'DOE25'!G234+'DOE25'!G277+'DOE25'!G296+'DOE25'!G315</f>
        <v>3231514.6300000004</v>
      </c>
    </row>
    <row r="10" spans="1:3" x14ac:dyDescent="0.2">
      <c r="A10" t="s">
        <v>772</v>
      </c>
      <c r="B10" s="176">
        <v>6114434.6799999997</v>
      </c>
      <c r="C10" s="176">
        <v>3101915.75</v>
      </c>
    </row>
    <row r="11" spans="1:3" x14ac:dyDescent="0.2">
      <c r="A11" t="s">
        <v>773</v>
      </c>
      <c r="B11" s="176">
        <v>207126.67</v>
      </c>
      <c r="C11" s="176">
        <v>97706.71</v>
      </c>
    </row>
    <row r="12" spans="1:3" x14ac:dyDescent="0.2">
      <c r="A12" t="s">
        <v>774</v>
      </c>
      <c r="B12" s="176">
        <v>416891.08</v>
      </c>
      <c r="C12" s="176">
        <v>31892.17</v>
      </c>
    </row>
    <row r="13" spans="1:3" x14ac:dyDescent="0.2">
      <c r="A13" t="str">
        <f>IF(B9=B13,IF(C9=C13,"Check Total OK","Check Total Error"),"Check Total Error")</f>
        <v>Check Total OK</v>
      </c>
      <c r="B13" s="168">
        <f>SUM(B10:B12)</f>
        <v>6738452.4299999997</v>
      </c>
      <c r="C13" s="168">
        <f>SUM(C10:C12)</f>
        <v>3231514.63</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2677043.5099999998</v>
      </c>
      <c r="C18" s="166">
        <f>'DOE25'!G199+'DOE25'!G217+'DOE25'!G235+'DOE25'!G278+'DOE25'!G297+'DOE25'!G316</f>
        <v>1274960</v>
      </c>
    </row>
    <row r="19" spans="1:3" x14ac:dyDescent="0.2">
      <c r="A19" t="s">
        <v>772</v>
      </c>
      <c r="B19" s="176">
        <v>1344126.29</v>
      </c>
      <c r="C19" s="176">
        <v>704911.04</v>
      </c>
    </row>
    <row r="20" spans="1:3" x14ac:dyDescent="0.2">
      <c r="A20" t="s">
        <v>773</v>
      </c>
      <c r="B20" s="176">
        <v>1265704.73</v>
      </c>
      <c r="C20" s="176">
        <v>564907.19999999995</v>
      </c>
    </row>
    <row r="21" spans="1:3" x14ac:dyDescent="0.2">
      <c r="A21" t="s">
        <v>774</v>
      </c>
      <c r="B21" s="176">
        <v>67212.490000000005</v>
      </c>
      <c r="C21" s="176">
        <v>5141.76</v>
      </c>
    </row>
    <row r="22" spans="1:3" x14ac:dyDescent="0.2">
      <c r="A22" t="str">
        <f>IF(B18=B22,IF(C18=C22,"Check Total OK","Check Total Error"),"Check Total Error")</f>
        <v>Check Total OK</v>
      </c>
      <c r="B22" s="168">
        <f>SUM(B19:B21)</f>
        <v>2677043.5100000002</v>
      </c>
      <c r="C22" s="168">
        <f>SUM(C19:C21)</f>
        <v>1274960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433614</v>
      </c>
      <c r="C36" s="172">
        <f>'DOE25'!G201+'DOE25'!G219+'DOE25'!G237+'DOE25'!G280+'DOE25'!G299+'DOE25'!G318</f>
        <v>109036.06999999999</v>
      </c>
    </row>
    <row r="37" spans="1:3" x14ac:dyDescent="0.2">
      <c r="A37" t="s">
        <v>772</v>
      </c>
      <c r="B37" s="176"/>
      <c r="C37" s="176"/>
    </row>
    <row r="38" spans="1:3" x14ac:dyDescent="0.2">
      <c r="A38" t="s">
        <v>773</v>
      </c>
      <c r="B38" s="176"/>
      <c r="C38" s="176"/>
    </row>
    <row r="39" spans="1:3" x14ac:dyDescent="0.2">
      <c r="A39" t="s">
        <v>774</v>
      </c>
      <c r="B39" s="176">
        <v>433614</v>
      </c>
      <c r="C39" s="176">
        <v>109036.07</v>
      </c>
    </row>
    <row r="40" spans="1:3" x14ac:dyDescent="0.2">
      <c r="A40" t="str">
        <f>IF(B36=B40,IF(C36=C40,"Check Total OK","Check Total Error"),"Check Total Error")</f>
        <v>Check Total OK</v>
      </c>
      <c r="B40" s="168">
        <f>SUM(B37:B39)</f>
        <v>433614</v>
      </c>
      <c r="C40" s="168">
        <f>SUM(C37:C39)</f>
        <v>109036.07</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Inter-Lakes Cooperative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15463490.5</v>
      </c>
      <c r="D5" s="19">
        <f>SUM('DOE25'!L198:L201)+SUM('DOE25'!L216:L219)+SUM('DOE25'!L234:L237)-F5-G5-H5</f>
        <v>15394799.359999999</v>
      </c>
      <c r="E5" s="179"/>
      <c r="F5" s="180"/>
      <c r="G5" s="19">
        <f>SUM('DOE25'!J198:J201)+SUM('DOE25'!J216:J219)+SUM('DOE25'!J234:J237)</f>
        <v>57276.14</v>
      </c>
      <c r="H5" s="19">
        <f>SUM('DOE25'!K198:K201)+SUM('DOE25'!K216:K219)+SUM('DOE25'!K234:K237)</f>
        <v>11415</v>
      </c>
      <c r="I5" s="191"/>
    </row>
    <row r="6" spans="1:9" x14ac:dyDescent="0.2">
      <c r="A6" s="31">
        <v>2100</v>
      </c>
      <c r="B6" t="s">
        <v>793</v>
      </c>
      <c r="C6" s="205">
        <f t="shared" si="0"/>
        <v>2152602.1799999997</v>
      </c>
      <c r="D6" s="19">
        <f>'DOE25'!L203+'DOE25'!L221+'DOE25'!L239-F6-G6-H6</f>
        <v>2097395.2199999997</v>
      </c>
      <c r="E6" s="179"/>
      <c r="F6" s="180">
        <v>53136.959999999999</v>
      </c>
      <c r="G6" s="19">
        <f>'DOE25'!J203+'DOE25'!J221+'DOE25'!J239</f>
        <v>1591</v>
      </c>
      <c r="H6" s="19">
        <f>'DOE25'!K203+'DOE25'!K221+'DOE25'!K239</f>
        <v>479</v>
      </c>
      <c r="I6" s="191"/>
    </row>
    <row r="7" spans="1:9" x14ac:dyDescent="0.2">
      <c r="A7" s="31">
        <v>2200</v>
      </c>
      <c r="B7" t="s">
        <v>817</v>
      </c>
      <c r="C7" s="205">
        <f t="shared" si="0"/>
        <v>2090901.67</v>
      </c>
      <c r="D7" s="19">
        <f>'DOE25'!L204+'DOE25'!L222+'DOE25'!L240-F7-G7-H7</f>
        <v>1749084.29</v>
      </c>
      <c r="E7" s="179"/>
      <c r="F7" s="180">
        <v>16652</v>
      </c>
      <c r="G7" s="19">
        <f>'DOE25'!J204+'DOE25'!J222+'DOE25'!J240</f>
        <v>324083.38</v>
      </c>
      <c r="H7" s="19">
        <f>'DOE25'!K204+'DOE25'!K222+'DOE25'!K240</f>
        <v>1082</v>
      </c>
      <c r="I7" s="191"/>
    </row>
    <row r="8" spans="1:9" x14ac:dyDescent="0.2">
      <c r="A8" s="31">
        <v>2300</v>
      </c>
      <c r="B8" t="s">
        <v>794</v>
      </c>
      <c r="C8" s="205">
        <f t="shared" si="0"/>
        <v>1271668.6600000001</v>
      </c>
      <c r="D8" s="179"/>
      <c r="E8" s="19">
        <f>'DOE25'!L205+'DOE25'!L223+'DOE25'!L241-F8-G8-H8-D9-D11</f>
        <v>1253671.8600000001</v>
      </c>
      <c r="F8" s="180"/>
      <c r="G8" s="19">
        <f>'DOE25'!J205+'DOE25'!J223+'DOE25'!J241</f>
        <v>0</v>
      </c>
      <c r="H8" s="19">
        <f>'DOE25'!K205+'DOE25'!K223+'DOE25'!K241</f>
        <v>17996.8</v>
      </c>
      <c r="I8" s="191"/>
    </row>
    <row r="9" spans="1:9" ht="14.25" x14ac:dyDescent="0.2">
      <c r="A9" s="31">
        <v>2310</v>
      </c>
      <c r="B9" s="71" t="s">
        <v>884</v>
      </c>
      <c r="C9" s="205">
        <f t="shared" si="0"/>
        <v>234044.73</v>
      </c>
      <c r="D9" s="180">
        <v>234044.73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1636197.3100000003</v>
      </c>
      <c r="D12" s="19">
        <f>'DOE25'!L206+'DOE25'!L224+'DOE25'!L242-F12-G12-H12</f>
        <v>1539131.03</v>
      </c>
      <c r="E12" s="179"/>
      <c r="F12" s="180">
        <v>87758.07</v>
      </c>
      <c r="G12" s="19">
        <f>'DOE25'!J206+'DOE25'!J224+'DOE25'!J242</f>
        <v>6548.35</v>
      </c>
      <c r="H12" s="19">
        <f>'DOE25'!K206+'DOE25'!K224+'DOE25'!K242</f>
        <v>2759.86</v>
      </c>
      <c r="I12" s="191"/>
    </row>
    <row r="13" spans="1:9" x14ac:dyDescent="0.2">
      <c r="A13" s="31">
        <v>2500</v>
      </c>
      <c r="B13" t="s">
        <v>795</v>
      </c>
      <c r="C13" s="205">
        <f t="shared" si="0"/>
        <v>18056.870000000003</v>
      </c>
      <c r="D13" s="179"/>
      <c r="E13" s="19">
        <f>'DOE25'!L207+'DOE25'!L225+'DOE25'!L243-F13-G13-H13</f>
        <v>9306.8700000000026</v>
      </c>
      <c r="F13" s="180"/>
      <c r="G13" s="19">
        <f>'DOE25'!J207+'DOE25'!J225+'DOE25'!J243</f>
        <v>8750</v>
      </c>
      <c r="H13" s="19">
        <f>'DOE25'!K207+'DOE25'!K225+'DOE25'!K243</f>
        <v>0</v>
      </c>
      <c r="I13" s="191"/>
    </row>
    <row r="14" spans="1:9" x14ac:dyDescent="0.2">
      <c r="A14" s="31">
        <v>2600</v>
      </c>
      <c r="B14" t="s">
        <v>815</v>
      </c>
      <c r="C14" s="205">
        <f t="shared" si="0"/>
        <v>4012550.5299999993</v>
      </c>
      <c r="D14" s="19">
        <f>'DOE25'!L208+'DOE25'!L226+'DOE25'!L244-F14-G14-H14</f>
        <v>2932573.9299999992</v>
      </c>
      <c r="E14" s="179"/>
      <c r="F14" s="180">
        <v>211168.71</v>
      </c>
      <c r="G14" s="19">
        <f>'DOE25'!J208+'DOE25'!J226+'DOE25'!J244</f>
        <v>867712.89</v>
      </c>
      <c r="H14" s="19">
        <f>'DOE25'!K208+'DOE25'!K226+'DOE25'!K244</f>
        <v>1095</v>
      </c>
      <c r="I14" s="191"/>
    </row>
    <row r="15" spans="1:9" x14ac:dyDescent="0.2">
      <c r="A15" s="31">
        <v>2700</v>
      </c>
      <c r="B15" t="s">
        <v>796</v>
      </c>
      <c r="C15" s="205">
        <f t="shared" si="0"/>
        <v>1725721.3599999999</v>
      </c>
      <c r="D15" s="19">
        <f>'DOE25'!L209+'DOE25'!L227+'DOE25'!L245-F15-G15-H15</f>
        <v>246024.57999999984</v>
      </c>
      <c r="E15" s="179"/>
      <c r="F15" s="180">
        <v>1479696.78</v>
      </c>
      <c r="G15" s="19">
        <f>'DOE25'!J209+'DOE25'!J227+'DOE25'!J245</f>
        <v>0</v>
      </c>
      <c r="H15" s="19">
        <f>'DOE25'!K209+'DOE25'!K227+'DOE25'!K245</f>
        <v>0</v>
      </c>
      <c r="I15" s="191"/>
    </row>
    <row r="16" spans="1:9" x14ac:dyDescent="0.2">
      <c r="A16" s="31">
        <v>2800</v>
      </c>
      <c r="B16" t="s">
        <v>797</v>
      </c>
      <c r="C16" s="205">
        <f t="shared" si="0"/>
        <v>1564022.3399999999</v>
      </c>
      <c r="D16" s="179"/>
      <c r="E16" s="19">
        <f>'DOE25'!L210+'DOE25'!L228+'DOE25'!L246-F16-G16-H16</f>
        <v>1564022.3399999999</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363870.13</v>
      </c>
      <c r="D22" s="179"/>
      <c r="E22" s="179"/>
      <c r="F22" s="179"/>
      <c r="G22" s="19">
        <f>'DOE25'!L256+'DOE25'!L337</f>
        <v>363870.13</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349551.72</v>
      </c>
      <c r="D29" s="211">
        <f>'DOE25'!L359+'DOE25'!L360+'DOE25'!L361-'DOE25'!I368-F29-G29-H29-F39</f>
        <v>283355.5</v>
      </c>
      <c r="E29" s="179"/>
      <c r="F29" s="179"/>
      <c r="G29" s="19">
        <f>'DOE25'!J359+'DOE25'!J360+'DOE25'!J361</f>
        <v>61516.17</v>
      </c>
      <c r="H29" s="19">
        <f>'DOE25'!K359+'DOE25'!K360+'DOE25'!K361</f>
        <v>4680.05</v>
      </c>
      <c r="I29" s="191"/>
    </row>
    <row r="30" spans="1:9" x14ac:dyDescent="0.2">
      <c r="A30" s="31"/>
      <c r="C30" s="206"/>
      <c r="D30" s="19"/>
      <c r="F30" s="200"/>
      <c r="G30" s="19"/>
      <c r="H30" s="19"/>
      <c r="I30" s="191"/>
    </row>
    <row r="31" spans="1:9" x14ac:dyDescent="0.2">
      <c r="A31" s="31" t="s">
        <v>814</v>
      </c>
      <c r="B31" t="s">
        <v>813</v>
      </c>
      <c r="C31" s="205">
        <f>SUM(D31:I31)</f>
        <v>1179176.5900000001</v>
      </c>
      <c r="D31" s="19">
        <f>'DOE25'!L291+'DOE25'!L310+'DOE25'!L329+'DOE25'!L334+'DOE25'!L335+'DOE25'!L336-F31-G31-H31</f>
        <v>661433.97</v>
      </c>
      <c r="E31" s="179"/>
      <c r="F31" s="180">
        <v>454673.34</v>
      </c>
      <c r="G31" s="19">
        <f>'DOE25'!J291+'DOE25'!J310+'DOE25'!J329+'DOE25'!J334+'DOE25'!J335+'DOE25'!J336</f>
        <v>8490</v>
      </c>
      <c r="H31" s="19">
        <f>'DOE25'!K291+'DOE25'!K310+'DOE25'!K329+'DOE25'!K334+'DOE25'!K335+'DOE25'!K336</f>
        <v>54579.28</v>
      </c>
      <c r="I31" s="191"/>
    </row>
    <row r="32" spans="1:9" ht="12" thickBot="1" x14ac:dyDescent="0.25">
      <c r="C32" s="206"/>
      <c r="G32" s="187"/>
      <c r="H32" s="187"/>
      <c r="I32" s="193"/>
    </row>
    <row r="33" spans="1:9" ht="12" thickTop="1" x14ac:dyDescent="0.2">
      <c r="B33" t="s">
        <v>806</v>
      </c>
      <c r="D33" s="181">
        <f t="shared" ref="D33:I33" si="1">SUM(D5:D31)</f>
        <v>25137842.609999996</v>
      </c>
      <c r="E33" s="181">
        <f t="shared" si="1"/>
        <v>2827001.0700000003</v>
      </c>
      <c r="F33" s="181">
        <f t="shared" si="1"/>
        <v>2303085.86</v>
      </c>
      <c r="G33" s="181">
        <f t="shared" si="1"/>
        <v>1699838.06</v>
      </c>
      <c r="H33" s="181">
        <f t="shared" si="1"/>
        <v>94086.989999999991</v>
      </c>
      <c r="I33" s="181">
        <f t="shared" si="1"/>
        <v>0</v>
      </c>
    </row>
    <row r="34" spans="1:9" ht="12" thickBot="1" x14ac:dyDescent="0.25"/>
    <row r="35" spans="1:9" ht="12" thickBot="1" x14ac:dyDescent="0.25">
      <c r="B35" s="187" t="s">
        <v>827</v>
      </c>
      <c r="D35" s="188">
        <f>E33</f>
        <v>2827001.0700000003</v>
      </c>
      <c r="E35" s="184"/>
      <c r="F35" s="294" t="s">
        <v>1596</v>
      </c>
      <c r="G35" s="295"/>
      <c r="H35" s="295"/>
      <c r="I35" s="296"/>
    </row>
    <row r="36" spans="1:9" ht="12" thickTop="1" x14ac:dyDescent="0.2">
      <c r="B36" t="s">
        <v>807</v>
      </c>
      <c r="D36" s="19">
        <f>D33</f>
        <v>25137842.609999996</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120779</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J52" sqref="J5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Inter-Lakes Cooperative</v>
      </c>
      <c r="B2">
        <f>'DOE25'!B2</f>
        <v>269</v>
      </c>
      <c r="J2" s="223" t="s">
        <v>1799</v>
      </c>
      <c r="K2" s="308">
        <f>SUM('DOE25'!L198:L201)+SUM('DOE25'!L277:L280)</f>
        <v>10798746.35</v>
      </c>
      <c r="L2" s="308">
        <f>'DOE25'!L203+'DOE25'!L282</f>
        <v>1595785.42</v>
      </c>
      <c r="M2" s="308">
        <f>'DOE25'!L204+'DOE25'!L283</f>
        <v>1467015.5</v>
      </c>
      <c r="N2" s="308">
        <f>'DOE25'!L206+'DOE25'!L285</f>
        <v>1138599.8200000003</v>
      </c>
      <c r="O2" s="316">
        <f>'Salaries-Benefits'!B10+'Salaries-Benefits'!B12+'Salaries-Benefits'!B19+'Salaries-Benefits'!B21+'Salaries-Benefits'!B28+'Salaries-Benefits'!B30+'Salaries-Benefits'!B37+'Salaries-Benefits'!B39</f>
        <v>8376278.54</v>
      </c>
      <c r="P2" s="316">
        <f>'Salaries-Benefits'!B11+'Salaries-Benefits'!B20+'Salaries-Benefits'!B29+'Salaries-Benefits'!B38</f>
        <v>1472831.4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20852555.740000002</v>
      </c>
      <c r="G4" s="228">
        <f>'DOE25'!L212+'DOE25'!L291</f>
        <v>20852555.740000002</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49342.239999999998</v>
      </c>
      <c r="E5" s="219">
        <v>0</v>
      </c>
      <c r="F5" s="231">
        <f>D5+E5</f>
        <v>49342.239999999998</v>
      </c>
      <c r="G5" s="222"/>
      <c r="H5" s="222"/>
      <c r="J5" s="71" t="s">
        <v>1840</v>
      </c>
      <c r="K5" s="20">
        <v>8463.2000000000007</v>
      </c>
      <c r="L5" s="20">
        <v>0</v>
      </c>
      <c r="M5" s="20">
        <v>0</v>
      </c>
      <c r="N5" s="20">
        <v>0</v>
      </c>
      <c r="O5" s="20">
        <v>0</v>
      </c>
      <c r="P5" s="20"/>
      <c r="Q5" s="20"/>
    </row>
    <row r="6" spans="1:22" x14ac:dyDescent="0.2">
      <c r="A6" t="str" cm="1">
        <f t="array" ref="A6">IFERROR(INDEX('School Tables'!$A$4:$G$365,'School Tables'!$J4,3),"")</f>
        <v>Inter-Lakes Elementary School</v>
      </c>
      <c r="B6" s="229">
        <f>IFERROR(VLOOKUP(A6,'School Tables'!$C$3:$D$365,2,FALSE),"")</f>
        <v>29200</v>
      </c>
      <c r="C6" s="222" t="str">
        <f>IFERROR(INDEX('School Tables'!$B$3:$B$365,MATCH('School Level Expenditures'!B6,'School Tables'!$D$3:$D$365,0)),"")</f>
        <v>Inter-Lakes Cooperative</v>
      </c>
      <c r="D6" s="219">
        <v>13353169.789999999</v>
      </c>
      <c r="E6" s="219">
        <v>642713.04</v>
      </c>
      <c r="F6" s="231">
        <f t="shared" ref="F6:F20" si="2">D6+E6</f>
        <v>13995882.829999998</v>
      </c>
      <c r="G6" s="222"/>
      <c r="H6" s="222"/>
      <c r="J6" t="str">
        <f t="shared" ref="J6:J20" si="3">A6</f>
        <v>Inter-Lakes Elementary School</v>
      </c>
      <c r="K6" s="20">
        <v>7246445.8300000001</v>
      </c>
      <c r="L6" s="20">
        <v>953544.83</v>
      </c>
      <c r="M6" s="307">
        <v>985950.35</v>
      </c>
      <c r="N6" s="20">
        <v>698084.51</v>
      </c>
      <c r="O6" s="20">
        <v>3758395.74</v>
      </c>
      <c r="P6" s="20">
        <v>871795.69</v>
      </c>
      <c r="Q6" s="20">
        <v>40060.86</v>
      </c>
    </row>
    <row r="7" spans="1:22" x14ac:dyDescent="0.2">
      <c r="A7" t="str" cm="1">
        <f t="array" ref="A7">IFERROR(INDEX('School Tables'!$A$4:$G$365,'School Tables'!$J5,3),"")</f>
        <v>Inter-Lakes Middle School</v>
      </c>
      <c r="B7" s="229">
        <f>IFERROR(VLOOKUP(A7,'School Tables'!$C$3:$D$365,2,FALSE),"")</f>
        <v>29201</v>
      </c>
      <c r="C7" s="222" t="str">
        <f>IFERROR(INDEX('School Tables'!$B$3:$B$365,MATCH('School Level Expenditures'!B7,'School Tables'!$D$3:$D$365,0)),"")</f>
        <v>Inter-Lakes Cooperative</v>
      </c>
      <c r="D7" s="219">
        <v>4135925.96</v>
      </c>
      <c r="E7" s="219">
        <v>173811.79</v>
      </c>
      <c r="F7" s="231">
        <f t="shared" si="2"/>
        <v>4309737.75</v>
      </c>
      <c r="G7" s="222"/>
      <c r="H7" s="222"/>
      <c r="J7" t="str">
        <f t="shared" si="3"/>
        <v>Inter-Lakes Middle School</v>
      </c>
      <c r="K7" s="20">
        <v>2332191.85</v>
      </c>
      <c r="L7" s="20">
        <v>414700.41</v>
      </c>
      <c r="M7" s="307">
        <v>314323.78999999998</v>
      </c>
      <c r="N7" s="20">
        <v>224062.41</v>
      </c>
      <c r="O7" s="20">
        <v>1383963</v>
      </c>
      <c r="P7" s="20">
        <v>136849.88</v>
      </c>
      <c r="Q7" s="20">
        <v>1825.73</v>
      </c>
    </row>
    <row r="8" spans="1:22" x14ac:dyDescent="0.2">
      <c r="A8" t="str" cm="1">
        <f t="array" ref="A8">IFERROR(INDEX('School Tables'!$A$4:$G$365,'School Tables'!$J6,3),"")</f>
        <v>Sandwich Central School</v>
      </c>
      <c r="B8" s="229">
        <f>IFERROR(VLOOKUP(A8,'School Tables'!$C$3:$D$365,2,FALSE),"")</f>
        <v>20040</v>
      </c>
      <c r="C8" s="222" t="str">
        <f>IFERROR(INDEX('School Tables'!$B$3:$B$365,MATCH('School Level Expenditures'!B8,'School Tables'!$D$3:$D$365,0)),"")</f>
        <v>Inter-Lakes Cooperative</v>
      </c>
      <c r="D8" s="219">
        <v>2408714.29</v>
      </c>
      <c r="E8" s="219">
        <v>88878.63</v>
      </c>
      <c r="F8" s="231">
        <f t="shared" si="2"/>
        <v>2497592.92</v>
      </c>
      <c r="G8" s="222"/>
      <c r="H8" s="222"/>
      <c r="J8" t="str">
        <f t="shared" si="3"/>
        <v>Sandwich Central School</v>
      </c>
      <c r="K8" s="20">
        <v>1211645.47</v>
      </c>
      <c r="L8" s="20">
        <v>227540.18</v>
      </c>
      <c r="M8" s="307">
        <v>166741.35999999999</v>
      </c>
      <c r="N8" s="20">
        <v>216452.9</v>
      </c>
      <c r="O8" s="20">
        <v>792736.12</v>
      </c>
      <c r="P8" s="20">
        <v>96479.12</v>
      </c>
      <c r="Q8" s="20">
        <v>4119.3999999999996</v>
      </c>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19947152.279999997</v>
      </c>
      <c r="E21" s="261">
        <f>SUM(E5:E20)</f>
        <v>905403.46000000008</v>
      </c>
      <c r="F21" s="216"/>
      <c r="G21" s="216"/>
      <c r="H21" s="216"/>
      <c r="K21" s="262">
        <f t="shared" ref="K21:Q21" si="4">SUM(K5:K20)</f>
        <v>10798746.350000001</v>
      </c>
      <c r="L21" s="262">
        <f t="shared" si="4"/>
        <v>1595785.42</v>
      </c>
      <c r="M21" s="262">
        <f t="shared" si="4"/>
        <v>1467015.5</v>
      </c>
      <c r="N21" s="262">
        <f t="shared" si="4"/>
        <v>1138599.82</v>
      </c>
      <c r="O21" s="262">
        <f t="shared" si="4"/>
        <v>5935094.8600000003</v>
      </c>
      <c r="P21" s="262">
        <f t="shared" si="4"/>
        <v>1105124.69</v>
      </c>
      <c r="Q21" s="262">
        <f t="shared" si="4"/>
        <v>46005.990000000005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5224819.34</v>
      </c>
      <c r="L36" s="19">
        <f>'DOE25'!L239+'DOE25'!L320</f>
        <v>748960.02</v>
      </c>
      <c r="M36" s="19">
        <f>'DOE25'!L240+'DOE25'!L321</f>
        <v>685871.37000000011</v>
      </c>
      <c r="N36" s="19">
        <f>'DOE25'!L242+'DOE25'!L323</f>
        <v>513508.74</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10495877</v>
      </c>
      <c r="G38" s="228">
        <f>'DOE25'!L248+'DOE25'!L329</f>
        <v>10495877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392250.66</v>
      </c>
      <c r="E39" s="219">
        <v>10437.129999999999</v>
      </c>
      <c r="F39" s="231">
        <f>D39+E39</f>
        <v>402687.79</v>
      </c>
      <c r="G39" s="222"/>
      <c r="H39" s="222"/>
      <c r="J39" s="71" t="s">
        <v>1840</v>
      </c>
      <c r="K39" s="315">
        <v>374314.58</v>
      </c>
      <c r="L39" s="315">
        <v>0</v>
      </c>
      <c r="M39" s="315">
        <v>0</v>
      </c>
      <c r="N39" s="315">
        <v>0</v>
      </c>
      <c r="O39" s="315">
        <v>0</v>
      </c>
      <c r="P39" s="315"/>
      <c r="Q39" s="315"/>
    </row>
    <row r="40" spans="1:17" x14ac:dyDescent="0.2">
      <c r="A40" t="str" cm="1">
        <f t="array" ref="A40">IFERROR(INDEX('School Tables'!$W$4:$AC$120,'School Tables'!$AF4,3),"")</f>
        <v>Inter-Lakes High School</v>
      </c>
      <c r="B40" s="229">
        <f>IFERROR(VLOOKUP(A40,'School Tables'!$Y$4:$Z$120,2,FALSE),"")</f>
        <v>20035</v>
      </c>
      <c r="C40" s="222" t="str">
        <f>IFERROR(INDEX('School Tables'!$X$4:$X$120,MATCH('School Level Expenditures'!A40,'School Tables'!$Y$4:$Y$120,0)),"")</f>
        <v>Inter-Lakes Cooperative</v>
      </c>
      <c r="D40" s="219">
        <v>9829853.2100000009</v>
      </c>
      <c r="E40" s="219">
        <v>263336</v>
      </c>
      <c r="F40" s="231">
        <f>D40+E40</f>
        <v>10093189.210000001</v>
      </c>
      <c r="G40" s="222"/>
      <c r="H40" s="222"/>
      <c r="J40" t="str">
        <f>A40</f>
        <v>Inter-Lakes High School</v>
      </c>
      <c r="K40" s="20">
        <v>4850504.76</v>
      </c>
      <c r="L40" s="20">
        <v>748960.02</v>
      </c>
      <c r="M40" s="307">
        <v>685871.37</v>
      </c>
      <c r="N40" s="20">
        <v>513508.74</v>
      </c>
      <c r="O40" s="20">
        <v>2441183.6800000002</v>
      </c>
      <c r="P40" s="20">
        <v>367706.71</v>
      </c>
      <c r="Q40" s="20">
        <v>18355.189999999999</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ref="F41:F44" si="10">D41+E41</f>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10222103.870000001</v>
      </c>
      <c r="E45" s="262">
        <f>SUM(E39:E44)</f>
        <v>273773.13</v>
      </c>
      <c r="K45" s="262">
        <f t="shared" ref="K45:Q45" si="11">SUM(K39:K44)</f>
        <v>5224819.34</v>
      </c>
      <c r="L45" s="262">
        <f t="shared" si="11"/>
        <v>748960.02</v>
      </c>
      <c r="M45" s="262">
        <f t="shared" si="11"/>
        <v>685871.37</v>
      </c>
      <c r="N45" s="262">
        <f t="shared" si="11"/>
        <v>513508.74</v>
      </c>
      <c r="O45" s="262">
        <f t="shared" si="11"/>
        <v>2441183.6800000002</v>
      </c>
      <c r="P45" s="262">
        <f t="shared" si="11"/>
        <v>367706.71</v>
      </c>
      <c r="Q45" s="262">
        <f t="shared" si="11"/>
        <v>18355.189999999999</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Inter-Lakes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2913274.69</v>
      </c>
      <c r="D8" s="73">
        <f>'DOE25'!G9</f>
        <v>0</v>
      </c>
      <c r="E8" s="73">
        <f>'DOE25'!H9</f>
        <v>0</v>
      </c>
      <c r="F8" s="73">
        <f>'DOE25'!I9</f>
        <v>3231.11</v>
      </c>
      <c r="G8" s="73">
        <f>'DOE25'!J9</f>
        <v>1082636.79</v>
      </c>
      <c r="H8" s="13">
        <f>SUM(C8:G8)</f>
        <v>3999142.59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4070016.38</v>
      </c>
      <c r="D11" s="73">
        <f>'DOE25'!G12</f>
        <v>42705.46</v>
      </c>
      <c r="E11" s="73">
        <f>'DOE25'!H12</f>
        <v>37136.42</v>
      </c>
      <c r="F11" s="73">
        <f>'DOE25'!I12</f>
        <v>0</v>
      </c>
      <c r="G11" s="73">
        <f>'DOE25'!J12</f>
        <v>0</v>
      </c>
      <c r="H11" s="13">
        <f t="shared" si="0"/>
        <v>4149858.26</v>
      </c>
      <c r="I11" s="90"/>
    </row>
    <row r="12" spans="1:9" x14ac:dyDescent="0.2">
      <c r="A12" s="1" t="s">
        <v>143</v>
      </c>
      <c r="B12" s="6">
        <v>140</v>
      </c>
      <c r="C12" s="73">
        <f>'DOE25'!F13</f>
        <v>137632.64000000001</v>
      </c>
      <c r="D12" s="73">
        <f>'DOE25'!G13</f>
        <v>74144.97</v>
      </c>
      <c r="E12" s="73">
        <f>'DOE25'!H13</f>
        <v>130450.17</v>
      </c>
      <c r="F12" s="73">
        <f>'DOE25'!I13</f>
        <v>0</v>
      </c>
      <c r="G12" s="73">
        <f>'DOE25'!J13</f>
        <v>0</v>
      </c>
      <c r="H12" s="13">
        <f t="shared" si="0"/>
        <v>342227.78</v>
      </c>
      <c r="I12" s="90"/>
    </row>
    <row r="13" spans="1:9" x14ac:dyDescent="0.2">
      <c r="A13" s="1" t="s">
        <v>144</v>
      </c>
      <c r="B13" s="6">
        <v>150</v>
      </c>
      <c r="C13" s="73">
        <f>'DOE25'!F14</f>
        <v>14635.79</v>
      </c>
      <c r="D13" s="73">
        <f>'DOE25'!G14</f>
        <v>3864.05</v>
      </c>
      <c r="E13" s="73">
        <f>'DOE25'!H14</f>
        <v>0</v>
      </c>
      <c r="F13" s="73">
        <f>'DOE25'!I14</f>
        <v>0</v>
      </c>
      <c r="G13" s="73">
        <f>'DOE25'!J14</f>
        <v>0</v>
      </c>
      <c r="H13" s="13">
        <f t="shared" si="0"/>
        <v>18499.84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20873.27</v>
      </c>
      <c r="D16" s="73">
        <f>'DOE25'!G17</f>
        <v>0</v>
      </c>
      <c r="E16" s="73">
        <f>'DOE25'!H17</f>
        <v>0</v>
      </c>
      <c r="F16" s="73">
        <f>'DOE25'!I17</f>
        <v>0</v>
      </c>
      <c r="G16" s="73">
        <f>'DOE25'!J17</f>
        <v>0</v>
      </c>
      <c r="H16" s="13">
        <f t="shared" si="0"/>
        <v>20873.27</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7156432.7699999996</v>
      </c>
      <c r="D18" s="38">
        <f>SUM(D8:D17)</f>
        <v>120714.48</v>
      </c>
      <c r="E18" s="38">
        <f>SUM(E8:E17)</f>
        <v>167586.59</v>
      </c>
      <c r="F18" s="38">
        <f>SUM(F8:F17)</f>
        <v>3231.11</v>
      </c>
      <c r="G18" s="38">
        <f>SUM(G8:G17)</f>
        <v>1082636.79</v>
      </c>
      <c r="H18" s="38">
        <f t="shared" si="0"/>
        <v>8530601.7400000002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4149929.92</v>
      </c>
      <c r="D21" s="73">
        <f>'DOE25'!G22</f>
        <v>0</v>
      </c>
      <c r="E21" s="73">
        <f>'DOE25'!H22</f>
        <v>0</v>
      </c>
      <c r="F21" s="73">
        <f>'DOE25'!I22</f>
        <v>0</v>
      </c>
      <c r="G21" s="73">
        <f>'DOE25'!J22</f>
        <v>0</v>
      </c>
      <c r="H21" s="13">
        <f t="shared" ref="H21:H31" si="1">SUM(C21:G21)</f>
        <v>4149929.92</v>
      </c>
      <c r="I21" s="90"/>
    </row>
    <row r="22" spans="1:9" x14ac:dyDescent="0.2">
      <c r="A22" s="1" t="s">
        <v>151</v>
      </c>
      <c r="B22" s="6">
        <v>410</v>
      </c>
      <c r="C22" s="73">
        <f>'DOE25'!F23</f>
        <v>0</v>
      </c>
      <c r="D22" s="73">
        <f>'DOE25'!G23</f>
        <v>0</v>
      </c>
      <c r="E22" s="73">
        <f>'DOE25'!H23</f>
        <v>3983.75</v>
      </c>
      <c r="F22" s="73">
        <f>'DOE25'!I23</f>
        <v>0</v>
      </c>
      <c r="G22" s="73">
        <f>'DOE25'!J23</f>
        <v>0</v>
      </c>
      <c r="H22" s="13">
        <f t="shared" si="1"/>
        <v>3983.75</v>
      </c>
      <c r="I22" s="90"/>
    </row>
    <row r="23" spans="1:9" x14ac:dyDescent="0.2">
      <c r="A23" s="1" t="s">
        <v>152</v>
      </c>
      <c r="B23" s="6">
        <v>420</v>
      </c>
      <c r="C23" s="73">
        <f>'DOE25'!F24</f>
        <v>224620.37</v>
      </c>
      <c r="D23" s="73">
        <f>'DOE25'!G24</f>
        <v>18736.82</v>
      </c>
      <c r="E23" s="73">
        <f>'DOE25'!H24</f>
        <v>650</v>
      </c>
      <c r="F23" s="73">
        <f>'DOE25'!I24</f>
        <v>0</v>
      </c>
      <c r="G23" s="73">
        <f>'DOE25'!J24</f>
        <v>0</v>
      </c>
      <c r="H23" s="13">
        <f t="shared" si="1"/>
        <v>244007.19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68917.52</v>
      </c>
      <c r="D27" s="73">
        <f>'DOE25'!G28</f>
        <v>0</v>
      </c>
      <c r="E27" s="73">
        <f>'DOE25'!H28</f>
        <v>0</v>
      </c>
      <c r="F27" s="73">
        <f>'DOE25'!I28</f>
        <v>0</v>
      </c>
      <c r="G27" s="23" t="s">
        <v>288</v>
      </c>
      <c r="H27" s="13">
        <f t="shared" si="1"/>
        <v>68917.52</v>
      </c>
      <c r="I27" s="90"/>
    </row>
    <row r="28" spans="1:9" x14ac:dyDescent="0.2">
      <c r="A28" s="1" t="s">
        <v>157</v>
      </c>
      <c r="B28" s="6">
        <v>470</v>
      </c>
      <c r="C28" s="73">
        <f>'DOE25'!F29</f>
        <v>10583.78</v>
      </c>
      <c r="D28" s="73">
        <f>'DOE25'!G29</f>
        <v>0</v>
      </c>
      <c r="E28" s="73">
        <f>'DOE25'!H29</f>
        <v>0</v>
      </c>
      <c r="F28" s="73">
        <f>'DOE25'!I29</f>
        <v>0</v>
      </c>
      <c r="G28" s="23" t="s">
        <v>288</v>
      </c>
      <c r="H28" s="13">
        <f t="shared" si="1"/>
        <v>10583.78</v>
      </c>
      <c r="I28" s="90"/>
    </row>
    <row r="29" spans="1:9" x14ac:dyDescent="0.2">
      <c r="A29" s="1" t="s">
        <v>158</v>
      </c>
      <c r="B29" s="6">
        <v>480</v>
      </c>
      <c r="C29" s="73">
        <f>'DOE25'!F30</f>
        <v>57153</v>
      </c>
      <c r="D29" s="73">
        <f>'DOE25'!G30</f>
        <v>19259.45</v>
      </c>
      <c r="E29" s="73">
        <f>'DOE25'!H30</f>
        <v>0</v>
      </c>
      <c r="F29" s="73">
        <f>'DOE25'!I30</f>
        <v>0</v>
      </c>
      <c r="G29" s="23" t="s">
        <v>288</v>
      </c>
      <c r="H29" s="13">
        <f t="shared" si="1"/>
        <v>76412.45</v>
      </c>
      <c r="I29" s="90"/>
    </row>
    <row r="30" spans="1:9" ht="12" thickBot="1" x14ac:dyDescent="0.25">
      <c r="A30" s="1" t="s">
        <v>159</v>
      </c>
      <c r="B30" s="56">
        <v>490</v>
      </c>
      <c r="C30" s="73">
        <f>'DOE25'!F31</f>
        <v>371.19</v>
      </c>
      <c r="D30" s="73">
        <f>'DOE25'!G31</f>
        <v>0</v>
      </c>
      <c r="E30" s="73">
        <f>'DOE25'!H31</f>
        <v>0</v>
      </c>
      <c r="F30" s="73">
        <f>'DOE25'!I31</f>
        <v>0</v>
      </c>
      <c r="G30" s="73">
        <f>'DOE25'!J31</f>
        <v>0</v>
      </c>
      <c r="H30" s="13">
        <f t="shared" si="1"/>
        <v>371.19</v>
      </c>
      <c r="I30" s="90"/>
    </row>
    <row r="31" spans="1:9" ht="12" thickTop="1" x14ac:dyDescent="0.2">
      <c r="A31" s="35" t="s">
        <v>160</v>
      </c>
      <c r="B31" s="2"/>
      <c r="C31" s="38">
        <f>SUM(C21:C30)</f>
        <v>4511575.78</v>
      </c>
      <c r="D31" s="38">
        <f>SUM(D21:D30)</f>
        <v>37996.270000000004</v>
      </c>
      <c r="E31" s="38">
        <f>SUM(E21:E30)</f>
        <v>4633.75</v>
      </c>
      <c r="F31" s="38">
        <f>SUM(F21:F30)</f>
        <v>0</v>
      </c>
      <c r="G31" s="38">
        <f>SUM(G21:G30)</f>
        <v>0</v>
      </c>
      <c r="H31" s="38">
        <f t="shared" si="1"/>
        <v>4554205.8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82718.210000000006</v>
      </c>
      <c r="E47" s="73">
        <f>'DOE25'!H48</f>
        <v>162952.84</v>
      </c>
      <c r="F47" s="73">
        <f>'DOE25'!I48</f>
        <v>3231.11</v>
      </c>
      <c r="G47" s="73">
        <f>'DOE25'!J48</f>
        <v>1082636.79</v>
      </c>
      <c r="H47" s="13">
        <f t="shared" si="2"/>
        <v>1331538.95</v>
      </c>
      <c r="I47" s="90"/>
    </row>
    <row r="48" spans="1:9" x14ac:dyDescent="0.2">
      <c r="A48" s="1" t="s">
        <v>878</v>
      </c>
      <c r="B48" s="6">
        <v>753</v>
      </c>
      <c r="C48" s="73">
        <f>'DOE25'!F49</f>
        <v>1832898.84</v>
      </c>
      <c r="D48" s="73">
        <f>'DOE25'!G49</f>
        <v>0</v>
      </c>
      <c r="E48" s="73">
        <f>'DOE25'!H49</f>
        <v>0</v>
      </c>
      <c r="F48" s="73">
        <f>'DOE25'!I49</f>
        <v>0</v>
      </c>
      <c r="G48" s="73">
        <f>'DOE25'!J49</f>
        <v>0</v>
      </c>
      <c r="H48" s="13">
        <f t="shared" si="2"/>
        <v>1832898.84</v>
      </c>
      <c r="I48" s="90"/>
    </row>
    <row r="49" spans="1:9" ht="12" thickBot="1" x14ac:dyDescent="0.25">
      <c r="A49" s="28" t="s">
        <v>879</v>
      </c>
      <c r="B49" s="56">
        <v>770</v>
      </c>
      <c r="C49" s="73">
        <f>'DOE25'!F50</f>
        <v>811958.15</v>
      </c>
      <c r="D49" s="23" t="s">
        <v>288</v>
      </c>
      <c r="E49" s="23" t="s">
        <v>288</v>
      </c>
      <c r="F49" s="23" t="s">
        <v>288</v>
      </c>
      <c r="G49" s="23" t="s">
        <v>288</v>
      </c>
      <c r="H49" s="13">
        <f t="shared" si="2"/>
        <v>811958.15</v>
      </c>
      <c r="I49" s="90"/>
    </row>
    <row r="50" spans="1:9" ht="12.75" thickTop="1" thickBot="1" x14ac:dyDescent="0.25">
      <c r="A50" s="35" t="s">
        <v>880</v>
      </c>
      <c r="B50" s="44"/>
      <c r="C50" s="38">
        <f>SUM(C34:C49)</f>
        <v>2644856.9900000002</v>
      </c>
      <c r="D50" s="38">
        <f>SUM(D34:D49)</f>
        <v>82718.210000000006</v>
      </c>
      <c r="E50" s="38">
        <f>SUM(E34:E49)</f>
        <v>162952.84</v>
      </c>
      <c r="F50" s="38">
        <f>SUM(F34:F49)</f>
        <v>3231.11</v>
      </c>
      <c r="G50" s="38">
        <f>SUM(G34:G49)</f>
        <v>1082636.79</v>
      </c>
      <c r="H50" s="38">
        <f t="shared" si="2"/>
        <v>3976395.94</v>
      </c>
      <c r="I50" s="90"/>
    </row>
    <row r="51" spans="1:9" ht="12" thickTop="1" x14ac:dyDescent="0.2">
      <c r="A51" s="35" t="s">
        <v>881</v>
      </c>
      <c r="B51" s="2"/>
      <c r="C51" s="38">
        <f>C50+C31</f>
        <v>7156432.7700000005</v>
      </c>
      <c r="D51" s="38">
        <f>D50+D31</f>
        <v>120714.48000000001</v>
      </c>
      <c r="E51" s="38">
        <f>E50+E31</f>
        <v>167586.59</v>
      </c>
      <c r="F51" s="38">
        <f>F50+F31</f>
        <v>3231.11</v>
      </c>
      <c r="G51" s="38">
        <f>G50+G31</f>
        <v>1082636.79</v>
      </c>
      <c r="H51" s="38">
        <f t="shared" si="2"/>
        <v>8530601.7400000021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22794953</v>
      </c>
      <c r="D56" s="73">
        <f>'DOE25'!G60</f>
        <v>0</v>
      </c>
      <c r="E56" s="73">
        <f>'DOE25'!H60</f>
        <v>0</v>
      </c>
      <c r="F56" s="73">
        <f>'DOE25'!I60</f>
        <v>0</v>
      </c>
      <c r="G56" s="73">
        <f>'DOE25'!J60</f>
        <v>0</v>
      </c>
      <c r="H56" s="13">
        <f t="shared" ref="H56:H63" si="3">SUM(C56:G56)</f>
        <v>22794953</v>
      </c>
      <c r="I56"/>
    </row>
    <row r="57" spans="1:9" x14ac:dyDescent="0.2">
      <c r="A57" s="1" t="s">
        <v>164</v>
      </c>
      <c r="B57" s="6" t="s">
        <v>165</v>
      </c>
      <c r="C57" s="73">
        <f>'DOE25'!F79</f>
        <v>138160.25</v>
      </c>
      <c r="D57" s="23" t="s">
        <v>288</v>
      </c>
      <c r="E57" s="73">
        <f>'DOE25'!H79</f>
        <v>0</v>
      </c>
      <c r="F57" s="23" t="s">
        <v>288</v>
      </c>
      <c r="G57" s="23" t="s">
        <v>288</v>
      </c>
      <c r="H57" s="13">
        <f t="shared" si="3"/>
        <v>138160.25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6960.41</v>
      </c>
      <c r="D59" s="73">
        <f>'DOE25'!G96</f>
        <v>0</v>
      </c>
      <c r="E59" s="73">
        <f>'DOE25'!H96</f>
        <v>0</v>
      </c>
      <c r="F59" s="73">
        <f>'DOE25'!I96</f>
        <v>0</v>
      </c>
      <c r="G59" s="73">
        <f>'DOE25'!J96</f>
        <v>34770.800000000003</v>
      </c>
      <c r="H59" s="13">
        <f t="shared" si="3"/>
        <v>41731.210000000006</v>
      </c>
      <c r="I59"/>
    </row>
    <row r="60" spans="1:9" x14ac:dyDescent="0.2">
      <c r="A60" s="1" t="s">
        <v>170</v>
      </c>
      <c r="B60" s="22" t="s">
        <v>171</v>
      </c>
      <c r="C60" s="23" t="s">
        <v>288</v>
      </c>
      <c r="D60" s="73">
        <f>'DOE25'!G97</f>
        <v>181326.57</v>
      </c>
      <c r="E60" s="23" t="s">
        <v>288</v>
      </c>
      <c r="F60" s="23" t="s">
        <v>288</v>
      </c>
      <c r="G60" s="23" t="s">
        <v>288</v>
      </c>
      <c r="H60" s="13">
        <f t="shared" si="3"/>
        <v>181326.57</v>
      </c>
      <c r="I60"/>
    </row>
    <row r="61" spans="1:9" ht="12" thickBot="1" x14ac:dyDescent="0.25">
      <c r="A61" s="1" t="s">
        <v>172</v>
      </c>
      <c r="B61" s="22" t="s">
        <v>173</v>
      </c>
      <c r="C61" s="73">
        <f>SUM('DOE25'!F98:F110)</f>
        <v>120947.68</v>
      </c>
      <c r="D61" s="73">
        <f>SUM('DOE25'!G98:G110)</f>
        <v>0</v>
      </c>
      <c r="E61" s="73">
        <f>SUM('DOE25'!H98:H110)</f>
        <v>44827.4</v>
      </c>
      <c r="F61" s="73">
        <f>SUM('DOE25'!I98:I110)</f>
        <v>0</v>
      </c>
      <c r="G61" s="73">
        <f>SUM('DOE25'!J98:J110)</f>
        <v>0</v>
      </c>
      <c r="H61" s="13">
        <f t="shared" si="3"/>
        <v>165775.07999999999</v>
      </c>
      <c r="I61"/>
    </row>
    <row r="62" spans="1:9" ht="12.75" thickTop="1" thickBot="1" x14ac:dyDescent="0.25">
      <c r="A62" s="28" t="s">
        <v>174</v>
      </c>
      <c r="B62" s="6"/>
      <c r="C62" s="93">
        <f>SUM(C57:C61)</f>
        <v>266068.33999999997</v>
      </c>
      <c r="D62" s="93">
        <f>SUM(D57:D61)</f>
        <v>181326.57</v>
      </c>
      <c r="E62" s="93">
        <f>SUM(E57:E61)</f>
        <v>44827.4</v>
      </c>
      <c r="F62" s="93">
        <f>SUM(F57:F61)</f>
        <v>0</v>
      </c>
      <c r="G62" s="93">
        <f>SUM(G57:G61)</f>
        <v>34770.800000000003</v>
      </c>
      <c r="H62" s="13">
        <f t="shared" si="3"/>
        <v>526993.11</v>
      </c>
      <c r="I62"/>
    </row>
    <row r="63" spans="1:9" ht="12" thickTop="1" x14ac:dyDescent="0.2">
      <c r="A63" s="28" t="s">
        <v>175</v>
      </c>
      <c r="B63" s="6"/>
      <c r="C63" s="21">
        <f>C56+C62</f>
        <v>23061021.34</v>
      </c>
      <c r="D63" s="21">
        <f>D56+D62</f>
        <v>181326.57</v>
      </c>
      <c r="E63" s="21">
        <f>E56+E62</f>
        <v>44827.4</v>
      </c>
      <c r="F63" s="21">
        <f>F56+F62</f>
        <v>0</v>
      </c>
      <c r="G63" s="21">
        <f>G56+G62</f>
        <v>34770.800000000003</v>
      </c>
      <c r="H63" s="13">
        <f t="shared" si="3"/>
        <v>23321946.109999999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6608290</v>
      </c>
      <c r="D67" s="23"/>
      <c r="E67" s="23"/>
      <c r="F67" s="23"/>
      <c r="G67" s="23"/>
      <c r="H67" s="13">
        <f t="shared" si="4"/>
        <v>6608290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4854.18</v>
      </c>
      <c r="D69" s="73">
        <f>'DOE25'!G120</f>
        <v>0</v>
      </c>
      <c r="E69" s="73">
        <f>'DOE25'!H120</f>
        <v>0</v>
      </c>
      <c r="F69" s="73">
        <f>'DOE25'!I120</f>
        <v>0</v>
      </c>
      <c r="G69" s="73">
        <f>'DOE25'!J120</f>
        <v>0</v>
      </c>
      <c r="H69" s="13">
        <f t="shared" si="4"/>
        <v>4854.18</v>
      </c>
      <c r="I69"/>
    </row>
    <row r="70" spans="1:9" ht="12" thickTop="1" x14ac:dyDescent="0.2">
      <c r="A70" s="28" t="s">
        <v>252</v>
      </c>
      <c r="B70" s="2"/>
      <c r="C70" s="97">
        <f>SUM(C66:C69)</f>
        <v>6613144.1799999997</v>
      </c>
      <c r="D70" s="97">
        <f>D69</f>
        <v>0</v>
      </c>
      <c r="E70" s="97">
        <f>E69</f>
        <v>0</v>
      </c>
      <c r="F70" s="97">
        <f>F69</f>
        <v>0</v>
      </c>
      <c r="G70" s="97">
        <f>G69</f>
        <v>0</v>
      </c>
      <c r="H70" s="13">
        <f t="shared" si="4"/>
        <v>6613144.1799999997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113810.17</v>
      </c>
      <c r="D75" s="23" t="s">
        <v>288</v>
      </c>
      <c r="E75" s="23" t="s">
        <v>288</v>
      </c>
      <c r="F75" s="23" t="s">
        <v>288</v>
      </c>
      <c r="G75" s="23" t="s">
        <v>288</v>
      </c>
      <c r="H75" s="13">
        <f t="shared" si="4"/>
        <v>113810.17</v>
      </c>
      <c r="I75"/>
    </row>
    <row r="76" spans="1:9" x14ac:dyDescent="0.2">
      <c r="A76" s="1" t="s">
        <v>257</v>
      </c>
      <c r="B76" s="6" t="s">
        <v>179</v>
      </c>
      <c r="C76" s="73">
        <f>SUM('DOE25'!F127:F130)</f>
        <v>13356.2</v>
      </c>
      <c r="D76" s="23" t="s">
        <v>288</v>
      </c>
      <c r="E76" s="73">
        <f>SUM('DOE25'!H127:H130)</f>
        <v>9875</v>
      </c>
      <c r="F76" s="73">
        <f>SUM('DOE25'!I127:I130)</f>
        <v>0</v>
      </c>
      <c r="G76" s="23" t="s">
        <v>288</v>
      </c>
      <c r="H76" s="13">
        <f t="shared" si="4"/>
        <v>23231.200000000001</v>
      </c>
      <c r="I76"/>
    </row>
    <row r="77" spans="1:9" ht="12" thickBot="1" x14ac:dyDescent="0.25">
      <c r="A77" s="1" t="s">
        <v>258</v>
      </c>
      <c r="B77" s="6" t="s">
        <v>180</v>
      </c>
      <c r="C77" s="73">
        <f>SUM('DOE25'!F131:F135)</f>
        <v>0</v>
      </c>
      <c r="D77" s="73">
        <f>SUM('DOE25'!G131:G135)</f>
        <v>1971.42</v>
      </c>
      <c r="E77" s="73">
        <f>SUM('DOE25'!H131:H135)</f>
        <v>0</v>
      </c>
      <c r="F77" s="73">
        <f>SUM('DOE25'!I131:I135)</f>
        <v>0</v>
      </c>
      <c r="G77" s="73">
        <f>SUM('DOE25'!J131:J135)</f>
        <v>0</v>
      </c>
      <c r="H77" s="13">
        <f t="shared" si="4"/>
        <v>1971.42</v>
      </c>
      <c r="I77"/>
    </row>
    <row r="78" spans="1:9" ht="12.75" thickTop="1" thickBot="1" x14ac:dyDescent="0.25">
      <c r="A78" s="28" t="s">
        <v>259</v>
      </c>
      <c r="B78" s="6"/>
      <c r="C78" s="93">
        <f>SUM(C72:C77)</f>
        <v>127166.37</v>
      </c>
      <c r="D78" s="93">
        <f>SUM(D72:D77)</f>
        <v>1971.42</v>
      </c>
      <c r="E78" s="93">
        <f>SUM(E72:E77)</f>
        <v>9875</v>
      </c>
      <c r="F78" s="93">
        <f>SUM(F72:F77)</f>
        <v>0</v>
      </c>
      <c r="G78" s="93">
        <f>SUM(G72:G77)</f>
        <v>0</v>
      </c>
      <c r="H78" s="13">
        <f t="shared" si="4"/>
        <v>139012.78999999998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6740310.5499999998</v>
      </c>
      <c r="D81" s="93">
        <f>SUM(D79:D80)+D78+D70</f>
        <v>1971.42</v>
      </c>
      <c r="E81" s="93">
        <f>SUM(E79:E80)+E78+E70</f>
        <v>9875</v>
      </c>
      <c r="F81" s="93">
        <f>SUM(F79:F80)+F78+F70</f>
        <v>0</v>
      </c>
      <c r="G81" s="93">
        <f>SUM(G79:G80)+G78+G70</f>
        <v>0</v>
      </c>
      <c r="H81" s="93">
        <f t="shared" si="4"/>
        <v>6752156.9699999997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190032.06</v>
      </c>
      <c r="D88" s="252">
        <f>SUM('DOE25'!G153:G162)</f>
        <v>178902.37</v>
      </c>
      <c r="E88" s="252">
        <f>SUM('DOE25'!H153:H162)</f>
        <v>1505514.2999999998</v>
      </c>
      <c r="F88" s="252">
        <f>SUM('DOE25'!I153:I162)</f>
        <v>0</v>
      </c>
      <c r="G88" s="23" t="s">
        <v>288</v>
      </c>
      <c r="H88" s="13">
        <f t="shared" si="5"/>
        <v>1874448.7299999997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8551.64</v>
      </c>
      <c r="D90" s="23" t="s">
        <v>288</v>
      </c>
      <c r="E90" s="23" t="s">
        <v>288</v>
      </c>
      <c r="F90" s="23" t="s">
        <v>288</v>
      </c>
      <c r="G90" s="23" t="s">
        <v>288</v>
      </c>
      <c r="H90" s="13">
        <f t="shared" si="5"/>
        <v>8551.64</v>
      </c>
    </row>
    <row r="91" spans="1:9" ht="12.75" thickTop="1" thickBot="1" x14ac:dyDescent="0.25">
      <c r="A91" s="32" t="s">
        <v>747</v>
      </c>
      <c r="C91" s="94">
        <f>SUM(C85:C90)</f>
        <v>198583.7</v>
      </c>
      <c r="D91" s="94">
        <f>SUM(D85:D90)</f>
        <v>178902.37</v>
      </c>
      <c r="E91" s="94">
        <f>SUM(E85:E90)</f>
        <v>1505514.2999999998</v>
      </c>
      <c r="F91" s="94">
        <f>SUM(F85:F90)</f>
        <v>0</v>
      </c>
      <c r="G91" s="23" t="s">
        <v>288</v>
      </c>
      <c r="H91" s="13">
        <f t="shared" si="5"/>
        <v>1883000.3699999999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42644.23</v>
      </c>
      <c r="E96" s="73">
        <f>'DOE25'!H180</f>
        <v>0</v>
      </c>
      <c r="F96" s="73">
        <f>'DOE25'!I180</f>
        <v>0</v>
      </c>
      <c r="G96" s="73">
        <f>'DOE25'!J180</f>
        <v>250000</v>
      </c>
      <c r="H96" s="13">
        <f t="shared" si="5"/>
        <v>292644.23</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42644.23</v>
      </c>
      <c r="E103" s="68">
        <f>SUM(E93:E102)</f>
        <v>0</v>
      </c>
      <c r="F103" s="68">
        <f>SUM(F93:F102)</f>
        <v>0</v>
      </c>
      <c r="G103" s="68">
        <f>SUM(G93:G102)</f>
        <v>250000</v>
      </c>
      <c r="H103" s="68">
        <f t="shared" si="5"/>
        <v>292644.23</v>
      </c>
    </row>
    <row r="104" spans="1:8" ht="12.75" thickTop="1" thickBot="1" x14ac:dyDescent="0.25">
      <c r="A104" s="32" t="s">
        <v>758</v>
      </c>
      <c r="C104" s="68">
        <f>C63+C81+C91+C103</f>
        <v>29999915.59</v>
      </c>
      <c r="D104" s="68">
        <f>D63+D81+D91+D103</f>
        <v>404844.58999999997</v>
      </c>
      <c r="E104" s="68">
        <f>E63+E81+E91+E103</f>
        <v>1560216.6999999997</v>
      </c>
      <c r="F104" s="68">
        <f>F63+F81+F91+F103</f>
        <v>0</v>
      </c>
      <c r="G104" s="68">
        <f>G63+G81+G103</f>
        <v>284770.8</v>
      </c>
      <c r="H104" s="68">
        <f t="shared" si="5"/>
        <v>32249747.68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9799956.1600000001</v>
      </c>
      <c r="D109" s="23" t="s">
        <v>288</v>
      </c>
      <c r="E109" s="73">
        <f>('DOE25'!L277)+('DOE25'!L296)+('DOE25'!L315)</f>
        <v>487485.5</v>
      </c>
      <c r="F109" s="23" t="s">
        <v>288</v>
      </c>
      <c r="G109" s="23" t="s">
        <v>288</v>
      </c>
      <c r="H109" s="13">
        <f t="shared" ref="H109:H115" si="6">SUM(C109:G109)</f>
        <v>10287441.66</v>
      </c>
    </row>
    <row r="110" spans="1:8" x14ac:dyDescent="0.2">
      <c r="A110" t="s">
        <v>198</v>
      </c>
      <c r="B110" s="31" t="s">
        <v>199</v>
      </c>
      <c r="C110" s="73">
        <f>('DOE25'!L199)+('DOE25'!L217)+('DOE25'!L235)</f>
        <v>4758095.3999999994</v>
      </c>
      <c r="D110" s="23" t="s">
        <v>288</v>
      </c>
      <c r="E110" s="73">
        <f>('DOE25'!L278)+('DOE25'!L297)+('DOE25'!L316)</f>
        <v>54224.69</v>
      </c>
      <c r="F110" s="23" t="s">
        <v>288</v>
      </c>
      <c r="G110" s="23" t="s">
        <v>288</v>
      </c>
      <c r="H110" s="13">
        <f t="shared" si="6"/>
        <v>4812320.09</v>
      </c>
    </row>
    <row r="111" spans="1:8" x14ac:dyDescent="0.2">
      <c r="A111" t="s">
        <v>200</v>
      </c>
      <c r="B111" s="31" t="s">
        <v>165</v>
      </c>
      <c r="C111" s="73">
        <f>('DOE25'!L200)+('DOE25'!L218)+('DOE25'!L236)</f>
        <v>177930.26</v>
      </c>
      <c r="D111" s="23" t="s">
        <v>288</v>
      </c>
      <c r="E111" s="73">
        <f>('DOE25'!L279)+('DOE25'!L298)+('DOE25'!L317)</f>
        <v>0</v>
      </c>
      <c r="F111" s="23" t="s">
        <v>288</v>
      </c>
      <c r="G111" s="23" t="s">
        <v>288</v>
      </c>
      <c r="H111" s="13">
        <f t="shared" si="6"/>
        <v>177930.26</v>
      </c>
    </row>
    <row r="112" spans="1:8" x14ac:dyDescent="0.2">
      <c r="A112" t="s">
        <v>201</v>
      </c>
      <c r="B112" s="31" t="s">
        <v>167</v>
      </c>
      <c r="C112" s="73">
        <f>('DOE25'!L201)+('DOE25'!L219)+('DOE25'!L237)</f>
        <v>727508.68</v>
      </c>
      <c r="D112" s="23" t="s">
        <v>288</v>
      </c>
      <c r="E112" s="73">
        <f>+('DOE25'!L280)+('DOE25'!L299)+('DOE25'!L318)</f>
        <v>18365</v>
      </c>
      <c r="F112" s="23" t="s">
        <v>288</v>
      </c>
      <c r="G112" s="23" t="s">
        <v>288</v>
      </c>
      <c r="H112" s="13">
        <f t="shared" si="6"/>
        <v>745873.68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15463490.499999998</v>
      </c>
      <c r="D115" s="68">
        <f>SUM(D109:D114)</f>
        <v>0</v>
      </c>
      <c r="E115" s="68">
        <f>SUM(E109:E114)</f>
        <v>560075.18999999994</v>
      </c>
      <c r="F115" s="68">
        <f>SUM(F109:F114)</f>
        <v>0</v>
      </c>
      <c r="G115" s="68">
        <f>SUM(G109:G114)</f>
        <v>0</v>
      </c>
      <c r="H115" s="68">
        <f t="shared" si="6"/>
        <v>16023565.689999998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2152602.1799999997</v>
      </c>
      <c r="D118" s="23" t="s">
        <v>288</v>
      </c>
      <c r="E118" s="73">
        <f>+('DOE25'!L282)+('DOE25'!L301)+('DOE25'!L320)</f>
        <v>192143.26</v>
      </c>
      <c r="F118" s="23" t="s">
        <v>288</v>
      </c>
      <c r="G118" s="23" t="s">
        <v>288</v>
      </c>
      <c r="H118" s="13">
        <f t="shared" ref="H118:H145" si="7">SUM(C118:G118)</f>
        <v>2344745.4399999995</v>
      </c>
    </row>
    <row r="119" spans="1:8" x14ac:dyDescent="0.2">
      <c r="A119" t="s">
        <v>208</v>
      </c>
      <c r="B119" s="31" t="s">
        <v>209</v>
      </c>
      <c r="C119" s="73">
        <f>('DOE25'!L204)+('DOE25'!L222)+('DOE25'!L240)</f>
        <v>2090901.6700000002</v>
      </c>
      <c r="D119" s="23" t="s">
        <v>288</v>
      </c>
      <c r="E119" s="73">
        <f>+('DOE25'!L283)+('DOE25'!L302)+('DOE25'!L321)</f>
        <v>61985.2</v>
      </c>
      <c r="F119" s="23" t="s">
        <v>288</v>
      </c>
      <c r="G119" s="23" t="s">
        <v>288</v>
      </c>
      <c r="H119" s="13">
        <f t="shared" si="7"/>
        <v>2152886.87</v>
      </c>
    </row>
    <row r="120" spans="1:8" x14ac:dyDescent="0.2">
      <c r="A120" t="s">
        <v>210</v>
      </c>
      <c r="B120" s="31" t="s">
        <v>211</v>
      </c>
      <c r="C120" s="73">
        <f>('DOE25'!L205)+('DOE25'!L223)+('DOE25'!L241)</f>
        <v>1505713.3900000001</v>
      </c>
      <c r="D120" s="23" t="s">
        <v>288</v>
      </c>
      <c r="E120" s="73">
        <f>+('DOE25'!L284)+('DOE25'!L303)+('DOE25'!L322)</f>
        <v>92604.59</v>
      </c>
      <c r="F120" s="23" t="s">
        <v>288</v>
      </c>
      <c r="G120" s="23" t="s">
        <v>288</v>
      </c>
      <c r="H120" s="13">
        <f t="shared" si="7"/>
        <v>1598317.9800000002</v>
      </c>
    </row>
    <row r="121" spans="1:8" x14ac:dyDescent="0.2">
      <c r="A121" t="s">
        <v>212</v>
      </c>
      <c r="B121" s="31" t="s">
        <v>213</v>
      </c>
      <c r="C121" s="73">
        <f>('DOE25'!L206)+('DOE25'!L224)+('DOE25'!L242)</f>
        <v>1636197.3100000003</v>
      </c>
      <c r="D121" s="23" t="s">
        <v>288</v>
      </c>
      <c r="E121" s="73">
        <f>+('DOE25'!L285)+('DOE25'!L304)+('DOE25'!L323)</f>
        <v>15911.25</v>
      </c>
      <c r="F121" s="23" t="s">
        <v>288</v>
      </c>
      <c r="G121" s="23" t="s">
        <v>288</v>
      </c>
      <c r="H121" s="13">
        <f t="shared" si="7"/>
        <v>1652108.5600000003</v>
      </c>
    </row>
    <row r="122" spans="1:8" x14ac:dyDescent="0.2">
      <c r="A122" t="s">
        <v>214</v>
      </c>
      <c r="B122" s="31" t="s">
        <v>215</v>
      </c>
      <c r="C122" s="73">
        <f>('DOE25'!L207)+('DOE25'!L225)+('DOE25'!L243)</f>
        <v>18056.870000000003</v>
      </c>
      <c r="D122" s="23" t="s">
        <v>288</v>
      </c>
      <c r="E122" s="73">
        <f>+('DOE25'!L286)+('DOE25'!L305)+('DOE25'!L324)</f>
        <v>0</v>
      </c>
      <c r="F122" s="23" t="s">
        <v>288</v>
      </c>
      <c r="G122" s="23" t="s">
        <v>288</v>
      </c>
      <c r="H122" s="13">
        <f t="shared" si="7"/>
        <v>18056.870000000003</v>
      </c>
    </row>
    <row r="123" spans="1:8" x14ac:dyDescent="0.2">
      <c r="A123" t="s">
        <v>216</v>
      </c>
      <c r="B123" s="31" t="s">
        <v>217</v>
      </c>
      <c r="C123" s="73">
        <f>('DOE25'!L208)+('DOE25'!L226)+('DOE25'!L244)</f>
        <v>4012550.5299999993</v>
      </c>
      <c r="D123" s="23" t="s">
        <v>288</v>
      </c>
      <c r="E123" s="73">
        <f>+('DOE25'!L287)+('DOE25'!L306)+('DOE25'!L325)</f>
        <v>255949.02</v>
      </c>
      <c r="F123" s="23" t="s">
        <v>288</v>
      </c>
      <c r="G123" s="23" t="s">
        <v>288</v>
      </c>
      <c r="H123" s="13">
        <f t="shared" si="7"/>
        <v>4268499.5499999989</v>
      </c>
    </row>
    <row r="124" spans="1:8" x14ac:dyDescent="0.2">
      <c r="A124" t="s">
        <v>218</v>
      </c>
      <c r="B124" s="31" t="s">
        <v>219</v>
      </c>
      <c r="C124" s="73">
        <f>('DOE25'!L209)+('DOE25'!L227)+('DOE25'!L245+'DOE25'!L255)</f>
        <v>1725721.3599999999</v>
      </c>
      <c r="D124" s="23" t="s">
        <v>288</v>
      </c>
      <c r="E124" s="73">
        <f>+('DOE25'!L288)+('DOE25'!L307)+('DOE25'!L326)</f>
        <v>508.08</v>
      </c>
      <c r="F124" s="23" t="s">
        <v>288</v>
      </c>
      <c r="G124" s="23" t="s">
        <v>288</v>
      </c>
      <c r="H124" s="13">
        <f t="shared" si="7"/>
        <v>1726229.44</v>
      </c>
    </row>
    <row r="125" spans="1:8" x14ac:dyDescent="0.2">
      <c r="A125" t="s">
        <v>220</v>
      </c>
      <c r="B125" s="31" t="s">
        <v>221</v>
      </c>
      <c r="C125" s="73">
        <f>('DOE25'!L210)+('DOE25'!L228)+('DOE25'!L246)</f>
        <v>1564022.3399999999</v>
      </c>
      <c r="D125" s="23" t="s">
        <v>288</v>
      </c>
      <c r="E125" s="73">
        <f>+('DOE25'!L289)+('DOE25'!L308)+('DOE25'!L327)</f>
        <v>0</v>
      </c>
      <c r="F125" s="23" t="s">
        <v>288</v>
      </c>
      <c r="G125" s="23" t="s">
        <v>288</v>
      </c>
      <c r="H125" s="13">
        <f t="shared" si="7"/>
        <v>1564022.3399999999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470330.72</v>
      </c>
      <c r="E127" s="23" t="s">
        <v>288</v>
      </c>
      <c r="F127" s="23" t="s">
        <v>288</v>
      </c>
      <c r="G127" s="23" t="s">
        <v>288</v>
      </c>
      <c r="H127" s="13">
        <f t="shared" si="7"/>
        <v>470330.72</v>
      </c>
    </row>
    <row r="128" spans="1:8" ht="12.75" thickTop="1" thickBot="1" x14ac:dyDescent="0.25">
      <c r="A128" s="32" t="s">
        <v>226</v>
      </c>
      <c r="C128" s="68">
        <f>SUM(C118:C127)</f>
        <v>14705765.649999999</v>
      </c>
      <c r="D128" s="68">
        <f>SUM(D118:D127)</f>
        <v>470330.72</v>
      </c>
      <c r="E128" s="68">
        <f>SUM(E118:E127)</f>
        <v>619101.4</v>
      </c>
      <c r="F128" s="68">
        <f>SUM(F118:F127)</f>
        <v>0</v>
      </c>
      <c r="G128" s="68">
        <f>SUM(G118:G127)</f>
        <v>0</v>
      </c>
      <c r="H128" s="68">
        <f t="shared" si="7"/>
        <v>15795197.77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363870.13</v>
      </c>
      <c r="F130" s="92">
        <f>SUM('DOE25'!L375:'DOE25'!L381)</f>
        <v>0</v>
      </c>
      <c r="G130" s="23" t="s">
        <v>288</v>
      </c>
      <c r="H130" s="13">
        <f t="shared" si="7"/>
        <v>363870.13</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42644.23</v>
      </c>
      <c r="D135" s="23" t="s">
        <v>288</v>
      </c>
      <c r="E135" s="92">
        <f>'DOE25'!L346</f>
        <v>0</v>
      </c>
      <c r="F135" s="23" t="s">
        <v>288</v>
      </c>
      <c r="G135" s="23" t="s">
        <v>288</v>
      </c>
      <c r="H135" s="13">
        <f t="shared" si="7"/>
        <v>42644.23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471.54999999999995</v>
      </c>
      <c r="D138" s="23" t="s">
        <v>288</v>
      </c>
      <c r="E138" s="23" t="s">
        <v>288</v>
      </c>
      <c r="F138" s="23" t="s">
        <v>288</v>
      </c>
      <c r="G138" s="23" t="s">
        <v>288</v>
      </c>
      <c r="H138" s="13">
        <f t="shared" si="7"/>
        <v>471.54999999999995</v>
      </c>
    </row>
    <row r="139" spans="1:8" x14ac:dyDescent="0.2">
      <c r="A139" t="s">
        <v>239</v>
      </c>
      <c r="B139" s="31">
        <v>5252</v>
      </c>
      <c r="C139" s="73">
        <f>'DOE25'!L402</f>
        <v>284299.25</v>
      </c>
      <c r="D139" s="23" t="s">
        <v>288</v>
      </c>
      <c r="E139" s="23" t="s">
        <v>288</v>
      </c>
      <c r="F139" s="23" t="s">
        <v>288</v>
      </c>
      <c r="G139" s="23" t="s">
        <v>288</v>
      </c>
      <c r="H139" s="13">
        <f t="shared" si="7"/>
        <v>284299.25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-34770.799999999988</v>
      </c>
      <c r="D141" s="23" t="s">
        <v>288</v>
      </c>
      <c r="E141" s="23" t="s">
        <v>288</v>
      </c>
      <c r="F141" s="23" t="s">
        <v>288</v>
      </c>
      <c r="G141" s="23" t="s">
        <v>288</v>
      </c>
      <c r="H141" s="13">
        <f t="shared" si="7"/>
        <v>-34770.799999999988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292644.23000000004</v>
      </c>
      <c r="D144" s="98">
        <f>SUM(D130:D143)</f>
        <v>0</v>
      </c>
      <c r="E144" s="98">
        <f>SUM(E130:E143)</f>
        <v>363870.13</v>
      </c>
      <c r="F144" s="98">
        <f>SUM(F130:F143)</f>
        <v>0</v>
      </c>
      <c r="G144" s="98">
        <f>SUM(G130:G143)</f>
        <v>0</v>
      </c>
      <c r="H144" s="98">
        <f t="shared" si="7"/>
        <v>656514.3600000001</v>
      </c>
    </row>
    <row r="145" spans="1:9" ht="12.75" thickTop="1" thickBot="1" x14ac:dyDescent="0.25">
      <c r="A145" s="32" t="s">
        <v>244</v>
      </c>
      <c r="C145" s="68">
        <f>(C115+C128+C144)</f>
        <v>30461900.379999999</v>
      </c>
      <c r="D145" s="68">
        <f>(D115+D128+D144)</f>
        <v>470330.72</v>
      </c>
      <c r="E145" s="68">
        <f>(E115+E128+E144)</f>
        <v>1543046.7199999997</v>
      </c>
      <c r="F145" s="68">
        <f>(F115+F128+F144)</f>
        <v>0</v>
      </c>
      <c r="G145" s="68">
        <f>(G115+G128+G144)</f>
        <v>0</v>
      </c>
      <c r="H145" s="68">
        <f t="shared" si="7"/>
        <v>32475277.819999997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Inter-Lakes Cooperative</v>
      </c>
    </row>
    <row r="3" spans="1:4" x14ac:dyDescent="0.2">
      <c r="B3" s="136" t="s">
        <v>1792</v>
      </c>
    </row>
    <row r="4" spans="1:4" x14ac:dyDescent="0.2">
      <c r="B4" t="s">
        <v>61</v>
      </c>
      <c r="C4" s="128">
        <f>IF('DOE25'!F666+'DOE25'!F671=0,0,ROUND('DOE25'!F673,0))</f>
        <v>30980</v>
      </c>
    </row>
    <row r="5" spans="1:4" x14ac:dyDescent="0.2">
      <c r="B5" t="s">
        <v>700</v>
      </c>
      <c r="C5" s="128">
        <f>IF('DOE25'!G666+'DOE25'!G671=0,0,ROUND('DOE25'!G673,0))</f>
        <v>0</v>
      </c>
    </row>
    <row r="6" spans="1:4" x14ac:dyDescent="0.2">
      <c r="B6" t="s">
        <v>62</v>
      </c>
      <c r="C6" s="128">
        <f>IF('DOE25'!H666+'DOE25'!H671=0,0,ROUND('DOE25'!H673,0))</f>
        <v>34389</v>
      </c>
    </row>
    <row r="7" spans="1:4" x14ac:dyDescent="0.2">
      <c r="B7" t="s">
        <v>701</v>
      </c>
      <c r="C7" s="128">
        <f>IF('DOE25'!I666+'DOE25'!I671=0,0,ROUND('DOE25'!I673,0))</f>
        <v>31987</v>
      </c>
    </row>
    <row r="9" spans="1:4" x14ac:dyDescent="0.2">
      <c r="A9" s="135" t="s">
        <v>94</v>
      </c>
      <c r="B9" s="136" t="s">
        <v>1793</v>
      </c>
      <c r="C9" s="130" t="s">
        <v>720</v>
      </c>
      <c r="D9" s="130" t="s">
        <v>721</v>
      </c>
    </row>
    <row r="10" spans="1:4" x14ac:dyDescent="0.2">
      <c r="A10">
        <v>1100</v>
      </c>
      <c r="B10" t="s">
        <v>702</v>
      </c>
      <c r="C10" s="128">
        <f>ROUND('DOE25'!L198+'DOE25'!L216+'DOE25'!L234+'DOE25'!L277+'DOE25'!L296+'DOE25'!L315,0)</f>
        <v>10287442</v>
      </c>
      <c r="D10" s="131">
        <f>ROUND((C10/$C$28)*100,1)</f>
        <v>32.5</v>
      </c>
    </row>
    <row r="11" spans="1:4" x14ac:dyDescent="0.2">
      <c r="A11">
        <v>1200</v>
      </c>
      <c r="B11" t="s">
        <v>703</v>
      </c>
      <c r="C11" s="128">
        <f>ROUND('DOE25'!L199+'DOE25'!L217+'DOE25'!L235+'DOE25'!L278+'DOE25'!L297+'DOE25'!L316,0)</f>
        <v>4812320</v>
      </c>
      <c r="D11" s="131">
        <f>ROUND((C11/$C$28)*100,1)</f>
        <v>15.2</v>
      </c>
    </row>
    <row r="12" spans="1:4" x14ac:dyDescent="0.2">
      <c r="A12">
        <v>1300</v>
      </c>
      <c r="B12" t="s">
        <v>704</v>
      </c>
      <c r="C12" s="128">
        <f>ROUND('DOE25'!L200+'DOE25'!L218+'DOE25'!L236+'DOE25'!L279+'DOE25'!L298+'DOE25'!L317,0)</f>
        <v>177930</v>
      </c>
      <c r="D12" s="131">
        <f>ROUND((C12/$C$28)*100,1)</f>
        <v>0.6</v>
      </c>
    </row>
    <row r="13" spans="1:4" x14ac:dyDescent="0.2">
      <c r="A13">
        <v>1400</v>
      </c>
      <c r="B13" t="s">
        <v>705</v>
      </c>
      <c r="C13" s="128">
        <f>ROUND('DOE25'!L201+'DOE25'!L219+'DOE25'!L237+'DOE25'!L280+'DOE25'!L299+'DOE25'!L318,0)</f>
        <v>745874</v>
      </c>
      <c r="D13" s="131">
        <f>ROUND((C13/$C$28)*100,1)</f>
        <v>2.4</v>
      </c>
    </row>
    <row r="14" spans="1:4" x14ac:dyDescent="0.2">
      <c r="D14" s="131"/>
    </row>
    <row r="15" spans="1:4" x14ac:dyDescent="0.2">
      <c r="A15">
        <v>2100</v>
      </c>
      <c r="B15" t="s">
        <v>706</v>
      </c>
      <c r="C15" s="128">
        <f>ROUND('DOE25'!L203+'DOE25'!L221+'DOE25'!L239+'DOE25'!L282+'DOE25'!L301+'DOE25'!L320,0)</f>
        <v>2344745</v>
      </c>
      <c r="D15" s="131">
        <f t="shared" ref="D15:D27" si="0">ROUND((C15/$C$28)*100,1)</f>
        <v>7.4</v>
      </c>
    </row>
    <row r="16" spans="1:4" x14ac:dyDescent="0.2">
      <c r="A16">
        <v>2200</v>
      </c>
      <c r="B16" t="s">
        <v>707</v>
      </c>
      <c r="C16" s="128">
        <f>ROUND('DOE25'!L204+'DOE25'!L222+'DOE25'!L240+'DOE25'!L283+'DOE25'!L302+'DOE25'!L321,0)</f>
        <v>2152887</v>
      </c>
      <c r="D16" s="131">
        <f t="shared" si="0"/>
        <v>6.8</v>
      </c>
    </row>
    <row r="17" spans="1:4" x14ac:dyDescent="0.2">
      <c r="A17" s="132" t="s">
        <v>723</v>
      </c>
      <c r="B17" t="s">
        <v>738</v>
      </c>
      <c r="C17" s="128">
        <f>ROUND('DOE25'!L205+'DOE25'!L210+'DOE25'!L223+'DOE25'!L228+'DOE25'!L241+'DOE25'!L246+'DOE25'!L284+'DOE25'!L289+'DOE25'!L303+'DOE25'!L308+'DOE25'!L322+'DOE25'!L327,0)</f>
        <v>3162340</v>
      </c>
      <c r="D17" s="131">
        <f t="shared" si="0"/>
        <v>10</v>
      </c>
    </row>
    <row r="18" spans="1:4" x14ac:dyDescent="0.2">
      <c r="A18">
        <v>2400</v>
      </c>
      <c r="B18" t="s">
        <v>711</v>
      </c>
      <c r="C18" s="128">
        <f>ROUND('DOE25'!L206+'DOE25'!L224+'DOE25'!L242+'DOE25'!L285+'DOE25'!L304+'DOE25'!L323,0)</f>
        <v>1652109</v>
      </c>
      <c r="D18" s="131">
        <f t="shared" si="0"/>
        <v>5.2</v>
      </c>
    </row>
    <row r="19" spans="1:4" x14ac:dyDescent="0.2">
      <c r="A19">
        <v>2500</v>
      </c>
      <c r="B19" t="s">
        <v>708</v>
      </c>
      <c r="C19" s="128">
        <f>ROUND('DOE25'!L207+'DOE25'!L225+'DOE25'!L243+'DOE25'!L286+'DOE25'!L305+'DOE25'!L324,0)</f>
        <v>18057</v>
      </c>
      <c r="D19" s="131">
        <f t="shared" si="0"/>
        <v>0.1</v>
      </c>
    </row>
    <row r="20" spans="1:4" x14ac:dyDescent="0.2">
      <c r="A20">
        <v>2600</v>
      </c>
      <c r="B20" t="s">
        <v>709</v>
      </c>
      <c r="C20" s="128">
        <f>ROUND('DOE25'!L208+'DOE25'!L226+'DOE25'!L244+'DOE25'!L287+'DOE25'!L306+'DOE25'!L325,0)</f>
        <v>4268500</v>
      </c>
      <c r="D20" s="131">
        <f t="shared" si="0"/>
        <v>13.5</v>
      </c>
    </row>
    <row r="21" spans="1:4" x14ac:dyDescent="0.2">
      <c r="A21">
        <v>2700</v>
      </c>
      <c r="B21" t="s">
        <v>710</v>
      </c>
      <c r="C21" s="128">
        <f>ROUND('DOE25'!L209+'DOE25'!L227+'DOE25'!L245+'DOE25'!L288+'DOE25'!L307+'DOE25'!L326,0)</f>
        <v>1726229</v>
      </c>
      <c r="D21" s="131">
        <f t="shared" si="0"/>
        <v>5.5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289004.43</v>
      </c>
      <c r="D27" s="131">
        <f t="shared" si="0"/>
        <v>0.9</v>
      </c>
    </row>
    <row r="28" spans="1:4" x14ac:dyDescent="0.2">
      <c r="B28" s="135" t="s">
        <v>719</v>
      </c>
      <c r="C28" s="129">
        <f>SUM(C10:C27)</f>
        <v>31637437.43</v>
      </c>
      <c r="D28" s="133">
        <f>ROUND(SUM(D10:D27),0)</f>
        <v>100</v>
      </c>
    </row>
    <row r="29" spans="1:4" x14ac:dyDescent="0.2">
      <c r="A29">
        <v>4000</v>
      </c>
      <c r="B29" t="s">
        <v>724</v>
      </c>
      <c r="C29" s="128">
        <f>ROUND('DOE25'!L256+'DOE25'!L337+'DOE25'!L375+'DOE25'!L376+'DOE25'!L377+'DOE25'!L378+'DOE25'!L379+'DOE25'!L380+'DOE25'!L381,0)</f>
        <v>363870</v>
      </c>
    </row>
    <row r="30" spans="1:4" x14ac:dyDescent="0.2">
      <c r="B30" s="135" t="s">
        <v>725</v>
      </c>
      <c r="C30" s="129">
        <f>SUM(C28:C29)</f>
        <v>32001307.43</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22794953</v>
      </c>
      <c r="D35" s="131">
        <f t="shared" ref="D35:D40" si="1">ROUND((C35/$C$41)*100,1)</f>
        <v>71.7</v>
      </c>
    </row>
    <row r="36" spans="1:4" x14ac:dyDescent="0.2">
      <c r="B36" s="71" t="s">
        <v>739</v>
      </c>
      <c r="C36" s="128">
        <f>SUM('DOE25'!F112:J112)-SUM('DOE25'!G97:G110)+('DOE25'!F175+'DOE25'!F176+'DOE25'!I175+'DOE25'!I176)-C35</f>
        <v>345666.53999999911</v>
      </c>
      <c r="D36" s="131">
        <f t="shared" si="1"/>
        <v>1.1000000000000001</v>
      </c>
    </row>
    <row r="37" spans="1:4" x14ac:dyDescent="0.2">
      <c r="A37" s="132" t="s">
        <v>831</v>
      </c>
      <c r="B37" s="71" t="s">
        <v>728</v>
      </c>
      <c r="C37" s="128">
        <f>ROUND('DOE25'!F117+'DOE25'!F118,0)</f>
        <v>6608290</v>
      </c>
      <c r="D37" s="131">
        <f t="shared" si="1"/>
        <v>20.8</v>
      </c>
    </row>
    <row r="38" spans="1:4" x14ac:dyDescent="0.2">
      <c r="A38" s="132" t="s">
        <v>734</v>
      </c>
      <c r="B38" s="71" t="s">
        <v>729</v>
      </c>
      <c r="C38" s="128">
        <f>ROUND(SUM('DOE25'!F140:J140)-SUM('DOE25'!F117:F119),0)</f>
        <v>143867</v>
      </c>
      <c r="D38" s="131">
        <f t="shared" si="1"/>
        <v>0.5</v>
      </c>
    </row>
    <row r="39" spans="1:4" x14ac:dyDescent="0.2">
      <c r="A39">
        <v>4000</v>
      </c>
      <c r="B39" s="71" t="s">
        <v>730</v>
      </c>
      <c r="C39" s="128">
        <f>ROUND('DOE25'!F170+'DOE25'!G170+'DOE25'!H170+'DOE25'!I170,0)</f>
        <v>1883000</v>
      </c>
      <c r="D39" s="131">
        <f t="shared" si="1"/>
        <v>5.9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31775776.539999999</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Inter-Lakes Cooperative</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138</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36</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139</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IFERROR(SMALL($I$4:$I$385,ROWS($I$4:I6)),"")</f>
        <v>273</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f>IF('School Level Expenditures'!$B$2='School Tables'!W39,'School Tables'!AD39,"")</f>
        <v>36</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f>IF('School Level Expenditures'!$B$2=A141,'School Tables'!H141,"")</f>
        <v>138</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f>IF('School Level Expenditures'!$B$2=A142,'School Tables'!H142,"")</f>
        <v>139</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f>IF('School Level Expenditures'!$B$2=A276,'School Tables'!H276,"")</f>
        <v>273</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2024-10-01T15:27:12Z</cp:lastPrinted>
  <dcterms:created xsi:type="dcterms:W3CDTF">1997-12-04T19:04:30Z</dcterms:created>
  <dcterms:modified xsi:type="dcterms:W3CDTF">2024-12-20T18:53:32Z</dcterms:modified>
</cp:coreProperties>
</file>