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55B22020-56F8-4C00-8E11-EC78C22C8164}"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D40" i="14" l="1"/>
  <c r="D6" i="14"/>
  <c r="K7" i="14"/>
  <c r="K6" i="14"/>
  <c r="K27" i="14"/>
  <c r="K40" i="14"/>
  <c r="C12" i="12"/>
  <c r="P7" i="14" l="1"/>
  <c r="O7" i="14"/>
  <c r="O6" i="14"/>
  <c r="O40" i="14"/>
  <c r="O27" i="14"/>
  <c r="Q40" i="14" l="1"/>
  <c r="Q27" i="14"/>
  <c r="Q7" i="14"/>
  <c r="Q6" i="14"/>
  <c r="N40" i="14"/>
  <c r="N27" i="14"/>
  <c r="N7" i="14"/>
  <c r="N6" i="14"/>
  <c r="M40" i="14"/>
  <c r="M27" i="14"/>
  <c r="M7" i="14"/>
  <c r="M6" i="14"/>
  <c r="L6" i="14"/>
  <c r="L7" i="14"/>
  <c r="D27" i="14"/>
  <c r="D7" i="14"/>
  <c r="D5" i="14"/>
  <c r="F15" i="13"/>
  <c r="F14" i="13"/>
  <c r="H29" i="1"/>
  <c r="F29" i="1"/>
  <c r="F12" i="1"/>
  <c r="F9"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42" i="2" l="1"/>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43" i="2"/>
  <c r="H98" i="2"/>
  <c r="H99" i="2"/>
  <c r="H100" i="2"/>
  <c r="H101" i="2"/>
  <c r="H102" i="2"/>
  <c r="H94" i="2"/>
  <c r="H93" i="2"/>
  <c r="H89" i="2"/>
  <c r="H90" i="2"/>
  <c r="H87" i="2"/>
  <c r="H85" i="2"/>
  <c r="H73" i="2"/>
  <c r="H74" i="2"/>
  <c r="H79" i="2"/>
  <c r="H80" i="2"/>
  <c r="H72" i="2"/>
  <c r="H58" i="2"/>
  <c r="H43" i="2"/>
  <c r="H40" i="2"/>
  <c r="H25" i="2"/>
  <c r="H26" i="2"/>
  <c r="H10" i="2"/>
  <c r="H14"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B20" i="14"/>
  <c r="J20" i="14"/>
  <c r="B6" i="14"/>
  <c r="J6" i="14"/>
  <c r="F40" i="2"/>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H44" i="2" s="1"/>
  <c r="I459" i="1"/>
  <c r="J39" i="1" s="1"/>
  <c r="G38" i="2" s="1"/>
  <c r="H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H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H15" i="2" s="1"/>
  <c r="E15" i="2"/>
  <c r="F15" i="2"/>
  <c r="C16" i="2"/>
  <c r="D16" i="2"/>
  <c r="E16" i="2"/>
  <c r="F16" i="2"/>
  <c r="I445" i="1"/>
  <c r="J17" i="1" s="1"/>
  <c r="C17" i="2"/>
  <c r="D17" i="2"/>
  <c r="E17" i="2"/>
  <c r="F17" i="2"/>
  <c r="I446" i="1"/>
  <c r="J18" i="1" s="1"/>
  <c r="G17" i="2" s="1"/>
  <c r="H17" i="2" s="1"/>
  <c r="C21" i="2"/>
  <c r="D21" i="2"/>
  <c r="E21" i="2"/>
  <c r="F21" i="2"/>
  <c r="I449" i="1"/>
  <c r="J22" i="1" s="1"/>
  <c r="C22" i="2"/>
  <c r="H22" i="2" s="1"/>
  <c r="D22" i="2"/>
  <c r="E22" i="2"/>
  <c r="F22" i="2"/>
  <c r="I450" i="1"/>
  <c r="J23" i="1" s="1"/>
  <c r="G22" i="2" s="1"/>
  <c r="C23" i="2"/>
  <c r="D23" i="2"/>
  <c r="E23" i="2"/>
  <c r="F23" i="2"/>
  <c r="I451" i="1"/>
  <c r="J24" i="1" s="1"/>
  <c r="G23" i="2" s="1"/>
  <c r="C24" i="2"/>
  <c r="D24" i="2"/>
  <c r="H24" i="2" s="1"/>
  <c r="E24" i="2"/>
  <c r="F24" i="2"/>
  <c r="C25" i="2"/>
  <c r="F25" i="2"/>
  <c r="C26" i="2"/>
  <c r="F26" i="2"/>
  <c r="C27" i="2"/>
  <c r="D27" i="2"/>
  <c r="E27" i="2"/>
  <c r="F27" i="2"/>
  <c r="C28" i="2"/>
  <c r="H28" i="2" s="1"/>
  <c r="D28" i="2"/>
  <c r="E28" i="2"/>
  <c r="F28" i="2"/>
  <c r="C29" i="2"/>
  <c r="D29" i="2"/>
  <c r="H29" i="2" s="1"/>
  <c r="E29" i="2"/>
  <c r="F29" i="2"/>
  <c r="C30" i="2"/>
  <c r="D30" i="2"/>
  <c r="E30" i="2"/>
  <c r="F30" i="2"/>
  <c r="I452" i="1"/>
  <c r="J31" i="1" s="1"/>
  <c r="G30" i="2" s="1"/>
  <c r="H30" i="2" s="1"/>
  <c r="C34" i="2"/>
  <c r="D34" i="2"/>
  <c r="E34" i="2"/>
  <c r="F34" i="2"/>
  <c r="C35" i="2"/>
  <c r="H35" i="2" s="1"/>
  <c r="D35" i="2"/>
  <c r="E35" i="2"/>
  <c r="F35" i="2"/>
  <c r="I455" i="1"/>
  <c r="J49" i="1" s="1"/>
  <c r="G48" i="2" s="1"/>
  <c r="I457" i="1"/>
  <c r="J43" i="1" s="1"/>
  <c r="I458" i="1"/>
  <c r="J37" i="1" s="1"/>
  <c r="G36" i="2" s="1"/>
  <c r="H36" i="2" s="1"/>
  <c r="I460" i="1"/>
  <c r="J48" i="1" s="1"/>
  <c r="G47" i="2" s="1"/>
  <c r="H47" i="2" s="1"/>
  <c r="C49" i="2"/>
  <c r="H49" i="2" s="1"/>
  <c r="F56" i="2"/>
  <c r="C58" i="2"/>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4" i="2"/>
  <c r="E12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H653" i="1"/>
  <c r="G654" i="1"/>
  <c r="H654" i="1"/>
  <c r="H655" i="1"/>
  <c r="H656" i="1"/>
  <c r="I170" i="1"/>
  <c r="G663" i="1" l="1"/>
  <c r="C120" i="2"/>
  <c r="K36" i="14"/>
  <c r="K37" i="14" s="1"/>
  <c r="H96" i="2"/>
  <c r="G646" i="1"/>
  <c r="J652" i="1"/>
  <c r="G477" i="1"/>
  <c r="H48" i="2"/>
  <c r="H16" i="2"/>
  <c r="H13" i="2"/>
  <c r="I409" i="1"/>
  <c r="D29" i="13"/>
  <c r="C29" i="13" s="1"/>
  <c r="G662" i="1"/>
  <c r="H113" i="2"/>
  <c r="E120" i="2"/>
  <c r="H120" i="2"/>
  <c r="D18" i="13"/>
  <c r="C18" i="13" s="1"/>
  <c r="D15" i="13"/>
  <c r="C15" i="13" s="1"/>
  <c r="E13" i="13"/>
  <c r="C13" i="13" s="1"/>
  <c r="C125" i="2"/>
  <c r="H125" i="2" s="1"/>
  <c r="C112" i="2"/>
  <c r="H112" i="2" s="1"/>
  <c r="C12" i="10"/>
  <c r="C119" i="2"/>
  <c r="K2" i="14"/>
  <c r="K3" i="14" s="1"/>
  <c r="H76" i="2"/>
  <c r="H61" i="2"/>
  <c r="H27" i="2"/>
  <c r="D78" i="2"/>
  <c r="H77" i="2"/>
  <c r="H34" i="2"/>
  <c r="H23" i="2"/>
  <c r="H11" i="2"/>
  <c r="H12"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H103" i="2" s="1"/>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119" i="2" l="1"/>
  <c r="G50" i="2"/>
  <c r="G51" i="2" s="1"/>
  <c r="H42" i="2"/>
  <c r="H21" i="2"/>
  <c r="H134" i="2"/>
  <c r="D128" i="2"/>
  <c r="D145" i="2" s="1"/>
  <c r="H127" i="2"/>
  <c r="H114" i="2"/>
  <c r="H123" i="2"/>
  <c r="H122" i="2"/>
  <c r="H78" i="2"/>
  <c r="E51" i="2"/>
  <c r="H91" i="2"/>
  <c r="I662" i="1"/>
  <c r="H62" i="2"/>
  <c r="H50" i="2"/>
  <c r="H31" i="2"/>
  <c r="H18"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1" i="2"/>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<sst xmlns="http://schemas.openxmlformats.org/spreadsheetml/2006/main" count="6645" uniqueCount="1844">
  <si>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</si>
  <si>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</si>
  <si>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</si>
  <si>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</si>
  <si>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</si>
  <si>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</si>
  <si>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</si>
  <si>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</si>
  <si>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</si>
  <si>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</si>
  <si>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</si>
  <si>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</si>
  <si>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</si>
  <si>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</si>
  <si>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</si>
  <si>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</si>
  <si>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</si>
  <si>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</si>
  <si>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</si>
  <si>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</si>
  <si>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</si>
  <si>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</si>
  <si>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</si>
  <si>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</si>
  <si>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</si>
  <si>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</si>
  <si>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</si>
  <si>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</si>
  <si>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</si>
  <si>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</si>
  <si>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</si>
  <si>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</si>
  <si>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</si>
  <si>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</si>
  <si>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</si>
  <si>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</si>
  <si>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</si>
  <si>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</si>
  <si>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</si>
  <si>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</si>
  <si>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</si>
  <si>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</si>
  <si>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</si>
  <si>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</si>
  <si>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</si>
  <si>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</si>
  <si>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</si>
  <si>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</si>
  <si>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</si>
  <si>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</si>
  <si>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</si>
  <si>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</si>
  <si>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</si>
  <si>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</si>
  <si>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</si>
  <si>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</si>
  <si>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</si>
  <si>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</si>
  <si>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</si>
  <si>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</si>
  <si>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</si>
  <si>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</si>
  <si>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</si>
  <si>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</si>
  <si>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</si>
  <si>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</si>
  <si>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</si>
  <si>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</si>
  <si>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</si>
  <si>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</si>
  <si>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</si>
  <si>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</si>
  <si>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</si>
  <si>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</si>
  <si>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</si>
  <si>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</si>
  <si>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</si>
  <si>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</si>
  <si>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</si>
  <si>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</si>
  <si>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</si>
  <si>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</si>
  <si>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</si>
  <si>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</si>
  <si>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</si>
  <si>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</si>
  <si>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</si>
  <si>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</si>
  <si>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</si>
  <si>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</si>
  <si>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</si>
  <si>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</si>
  <si>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</si>
  <si>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</si>
  <si>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</si>
  <si>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</si>
  <si>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</si>
  <si>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</si>
  <si>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</si>
  <si>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</si>
  <si>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</si>
  <si>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</si>
  <si>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</si>
  <si>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</si>
  <si>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</si>
  <si>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</si>
  <si>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</si>
  <si>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</si>
  <si>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</si>
  <si>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</si>
  <si>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</si>
  <si>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</si>
  <si>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</si>
  <si>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</si>
  <si>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</si>
  <si>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</si>
  <si>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</si>
  <si>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</si>
  <si>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</si>
  <si>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</si>
  <si>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</si>
  <si>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</si>
  <si>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</si>
  <si>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</si>
  <si>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</si>
  <si>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</si>
  <si>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</si>
  <si>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</si>
  <si>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</si>
  <si>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</si>
  <si>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</si>
  <si>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</si>
  <si>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</si>
  <si>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</si>
  <si>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</si>
  <si>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</si>
  <si>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</si>
  <si>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</si>
  <si>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</si>
  <si>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</si>
  <si>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</si>
  <si>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</si>
  <si>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</si>
  <si>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</si>
  <si>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</si>
  <si>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</si>
  <si>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</si>
  <si>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</si>
  <si>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</si>
  <si>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</si>
  <si>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</si>
  <si>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</si>
  <si>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</si>
  <si>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</si>
  <si>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</si>
  <si>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</si>
  <si>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</si>
  <si>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</si>
  <si>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</si>
  <si>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</si>
  <si>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</si>
  <si>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</si>
  <si>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</si>
  <si>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</si>
  <si>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</si>
  <si>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</si>
  <si>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</si>
  <si>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</si>
  <si>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</si>
  <si>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</si>
  <si>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</si>
  <si>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</si>
  <si>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</si>
  <si>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</si>
  <si>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</si>
  <si>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</si>
  <si>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</si>
  <si>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</si>
  <si>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</si>
  <si>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</si>
  <si>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</si>
  <si>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</si>
  <si>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</si>
  <si>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</si>
  <si>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</si>
  <si>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</si>
  <si>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</si>
  <si>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</si>
  <si>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</si>
  <si>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</si>
  <si>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</si>
  <si>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</si>
  <si>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</si>
  <si>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</si>
  <si>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</si>
  <si>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</si>
  <si>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</si>
  <si>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</si>
  <si>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</si>
  <si>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</si>
  <si>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</si>
  <si>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</si>
  <si>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</si>
  <si>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</si>
  <si>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</si>
  <si>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</si>
  <si>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</si>
  <si>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</si>
  <si>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</si>
  <si>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</si>
  <si>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</si>
  <si>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</si>
  <si>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</si>
  <si>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</si>
  <si>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</si>
  <si>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</si>
  <si>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</si>
  <si>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</si>
  <si>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</si>
  <si>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</si>
  <si>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</si>
  <si>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</si>
  <si>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</si>
  <si>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</si>
  <si>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</si>
  <si>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</si>
  <si>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</si>
  <si>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</si>
  <si>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</si>
  <si>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</si>
  <si>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</si>
  <si>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</si>
  <si>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</si>
  <si>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</si>
  <si>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</si>
  <si>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</si>
  <si>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</si>
  <si>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</si>
  <si>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</si>
  <si>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</si>
  <si>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</si>
  <si>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</si>
  <si>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</si>
  <si>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</si>
  <si>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</si>
  <si>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</si>
  <si>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</si>
  <si>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</si>
  <si>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</si>
  <si>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</si>
  <si>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</si>
  <si>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</si>
  <si>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</si>
  <si>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</si>
  <si>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</si>
  <si>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</si>
  <si>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</si>
  <si>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</si>
  <si>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</si>
  <si>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</si>
  <si>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</si>
  <si>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</si>
  <si>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</si>
  <si>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</si>
  <si>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</si>
  <si>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</si>
  <si>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</si>
  <si>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</si>
  <si>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</si>
  <si>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</si>
  <si>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</si>
  <si>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</si>
  <si>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</si>
  <si>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</si>
  <si>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</si>
  <si>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</si>
  <si>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</si>
  <si>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</si>
  <si>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</si>
  <si>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</si>
  <si>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</si>
  <si>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</si>
  <si>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</si>
  <si>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</si>
  <si>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</si>
  <si>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</si>
  <si>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</si>
  <si>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</si>
  <si>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</si>
  <si>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</si>
  <si>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</si>
  <si>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</si>
  <si>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</si>
  <si>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</si>
  <si>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</si>
  <si>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</si>
  <si>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</si>
  <si>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</si>
  <si>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</si>
  <si>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</si>
  <si>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</si>
  <si>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</si>
  <si>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</si>
  <si>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</si>
  <si>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</si>
  <si>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</si>
  <si>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</si>
  <si>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</si>
  <si>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</si>
  <si>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</si>
  <si>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</si>
  <si>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</si>
  <si>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</si>
  <si>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</si>
  <si>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</si>
  <si>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</si>
  <si>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</si>
  <si>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</si>
  <si>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</si>
  <si>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</si>
  <si>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</si>
  <si>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</si>
  <si>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</si>
  <si>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</si>
  <si>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</si>
  <si>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</si>
  <si>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</si>
  <si>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</si>
  <si>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</si>
  <si>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</si>
  <si>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</si>
  <si>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</si>
  <si>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</si>
  <si>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</si>
  <si>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</si>
  <si>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</si>
  <si>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</si>
  <si>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</si>
  <si>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</si>
  <si>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</si>
  <si>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</si>
  <si>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</si>
  <si>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</si>
  <si>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</si>
  <si>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</si>
  <si>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</si>
  <si>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</si>
  <si>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</si>
  <si>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</si>
  <si>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</si>
  <si>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</si>
  <si>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</si>
  <si>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</si>
  <si>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</si>
  <si>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</si>
  <si>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</si>
  <si>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</si>
  <si>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</si>
  <si>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</si>
  <si>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</si>
  <si>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</si>
  <si>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</si>
  <si>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</si>
  <si>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</si>
  <si>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</si>
  <si>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</si>
  <si>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</si>
  <si>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</si>
  <si>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</si>
  <si>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</si>
  <si>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</si>
  <si>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</si>
  <si>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</si>
  <si>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</si>
  <si>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</si>
  <si>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</si>
  <si>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</si>
  <si>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</si>
  <si>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</si>
  <si>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</si>
  <si>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</si>
  <si>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</si>
  <si>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</si>
  <si>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</si>
  <si>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</si>
  <si>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</si>
  <si>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</si>
  <si>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</si>
  <si>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</si>
  <si>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</si>
  <si>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</si>
  <si>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</si>
  <si>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</si>
  <si>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</si>
  <si>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</si>
  <si>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</si>
  <si>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</si>
  <si>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</si>
  <si>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</si>
  <si>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</si>
  <si>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</si>
  <si>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</si>
  <si>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</si>
  <si>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</si>
  <si>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</si>
  <si>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</si>
  <si>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</si>
  <si>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</si>
  <si>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</si>
  <si>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</si>
  <si>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</si>
  <si>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</si>
  <si>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</si>
  <si>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</si>
  <si>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</si>
  <si>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</si>
  <si>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</si>
  <si>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</si>
  <si>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</si>
  <si>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</si>
  <si>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</si>
  <si>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</si>
  <si>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</si>
  <si>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</si>
  <si>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</si>
  <si>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</si>
  <si>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</si>
  <si>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</si>
  <si>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</si>
  <si>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</si>
  <si>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</si>
  <si>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</si>
  <si>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</si>
  <si>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</si>
  <si>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</si>
  <si>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</si>
  <si>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</si>
  <si>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</si>
  <si>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</si>
  <si>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</si>
  <si>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</si>
  <si>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</si>
  <si>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</si>
  <si>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</si>
  <si>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</si>
  <si>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</si>
  <si>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</si>
  <si>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</si>
  <si>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</si>
  <si>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</si>
  <si>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</si>
  <si>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</si>
  <si>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</si>
  <si>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</si>
  <si>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</si>
  <si>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</si>
  <si>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</si>
  <si>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</si>
  <si>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</si>
  <si>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</si>
  <si>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</si>
  <si>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</si>
  <si>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</si>
  <si>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</si>
  <si>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</si>
  <si>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</si>
  <si>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</si>
  <si>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</si>
  <si>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</si>
  <si>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</si>
  <si>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</si>
  <si>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</si>
  <si>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</si>
  <si>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</si>
  <si>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</si>
  <si>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</si>
  <si>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</si>
  <si>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</si>
  <si>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</si>
  <si>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</si>
  <si>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</si>
  <si>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</si>
  <si>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</si>
  <si>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</si>
  <si>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</si>
  <si>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</si>
  <si>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</si>
  <si>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</si>
  <si>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</si>
  <si>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</si>
  <si>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</si>
  <si>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</si>
  <si>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</si>
  <si>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</si>
  <si>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</si>
  <si>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</si>
  <si>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</si>
  <si>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</si>
  <si>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</si>
  <si>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</si>
  <si>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</si>
  <si>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</si>
  <si>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</si>
  <si>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</si>
  <si>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</si>
  <si>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</si>
  <si>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</si>
  <si>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</si>
  <si>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</si>
  <si>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</si>
  <si>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</si>
  <si>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</si>
  <si>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</si>
  <si>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</si>
  <si>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</si>
  <si>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</si>
  <si>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</si>
  <si>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</si>
  <si>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</si>
  <si>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</si>
  <si>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</si>
  <si>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</si>
  <si>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</si>
  <si>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</si>
  <si>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</si>
  <si>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</si>
  <si>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</si>
  <si>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</si>
  <si>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</si>
  <si>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</si>
  <si>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</si>
  <si>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</si>
  <si>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</si>
  <si>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</si>
  <si>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</si>
  <si>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</si>
  <si>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</si>
  <si>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</si>
  <si>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</si>
  <si>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</si>
  <si>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</si>
  <si>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</si>
  <si>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</si>
  <si>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</si>
  <si>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</si>
  <si>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</si>
  <si>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</si>
  <si>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</si>
  <si>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</si>
  <si>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</si>
  <si>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</si>
  <si>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</si>
  <si>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</si>
  <si>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</si>
  <si>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</si>
  <si>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</si>
  <si>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</si>
  <si>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</si>
  <si>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</si>
  <si>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</si>
  <si>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</si>
  <si>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</si>
  <si>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</si>
  <si>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</si>
  <si>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</si>
  <si>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</si>
  <si>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</si>
  <si>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</si>
  <si>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</si>
  <si>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</si>
  <si>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</si>
  <si>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</si>
  <si>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</si>
  <si>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</si>
  <si>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</si>
  <si>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</si>
  <si>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</si>
  <si>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</si>
  <si>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</si>
  <si>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</si>
  <si>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</si>
  <si>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</si>
  <si>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</si>
  <si>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</si>
  <si>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</si>
  <si>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</si>
  <si>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</si>
  <si>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</si>
  <si>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</si>
  <si>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</si>
  <si>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</si>
  <si>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</si>
  <si>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</si>
  <si>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</si>
  <si>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</si>
  <si>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</si>
  <si>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</si>
  <si>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</si>
  <si>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</si>
  <si>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</si>
  <si>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</si>
  <si>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</si>
  <si>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</si>
  <si>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</si>
  <si>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</si>
  <si>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</si>
  <si>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</si>
  <si>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</si>
  <si>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</si>
  <si>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</si>
  <si>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</si>
  <si>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</si>
  <si>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</si>
  <si>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</si>
  <si>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</si>
  <si>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</si>
  <si>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</si>
  <si>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</si>
  <si>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</si>
  <si>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</si>
  <si>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</si>
  <si>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</si>
  <si>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</si>
  <si>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</si>
  <si>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</si>
  <si>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</si>
  <si>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</si>
  <si>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</si>
  <si>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</si>
  <si>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</si>
  <si>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</si>
  <si>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</si>
  <si>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</si>
  <si>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</si>
  <si>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</si>
  <si>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</si>
  <si>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</si>
  <si>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</si>
  <si>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</si>
  <si>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</si>
  <si>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</si>
  <si>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</si>
  <si>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</si>
  <si>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</si>
  <si>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</si>
  <si>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</si>
  <si>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</si>
  <si>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</si>
  <si>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</si>
  <si>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</si>
  <si>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</si>
  <si>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</si>
  <si>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</si>
  <si>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</si>
  <si>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</si>
  <si>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</si>
  <si>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</si>
  <si>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</si>
  <si>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</si>
  <si>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</si>
  <si>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</si>
  <si>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</si>
  <si>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</si>
  <si>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</si>
  <si>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</si>
  <si>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</si>
  <si>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</si>
  <si>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</si>
  <si>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</si>
  <si>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</si>
  <si>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</si>
  <si>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</si>
  <si>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</si>
  <si>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</si>
  <si>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</si>
  <si>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</si>
  <si>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</si>
  <si>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</si>
  <si>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</si>
  <si>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</si>
  <si>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</si>
  <si>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</si>
  <si>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</si>
  <si>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</si>
  <si>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</si>
  <si>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</si>
  <si>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</si>
  <si>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</si>
  <si>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</si>
  <si>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</si>
  <si>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</si>
  <si>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</si>
  <si>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</si>
  <si>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</si>
  <si>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</si>
  <si>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</si>
  <si>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</si>
  <si>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</si>
  <si>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</si>
  <si>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</si>
  <si>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</si>
  <si>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</si>
  <si>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</si>
  <si>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</si>
  <si>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</si>
  <si>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</si>
  <si>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</si>
  <si>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</si>
  <si>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</si>
  <si>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</si>
  <si>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</si>
  <si>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</si>
  <si>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</si>
  <si>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</si>
  <si>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</si>
  <si>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</si>
  <si>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</si>
  <si>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</si>
  <si>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</si>
  <si>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</si>
  <si>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</si>
  <si>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</si>
  <si>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</si>
  <si>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</si>
  <si>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</si>
  <si>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</si>
  <si>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</si>
  <si>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</si>
  <si>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</si>
  <si>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</si>
  <si>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</si>
  <si>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</si>
  <si>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</si>
  <si>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</si>
  <si>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</si>
  <si>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</si>
  <si>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</si>
  <si>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</si>
  <si>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</si>
  <si>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</si>
  <si>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</si>
  <si>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</si>
  <si>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</si>
  <si>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</si>
  <si>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</si>
  <si>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</si>
  <si>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</si>
  <si>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</si>
  <si>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</si>
  <si>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</si>
  <si>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</si>
  <si>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</si>
  <si>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</si>
  <si>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</si>
  <si>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</si>
  <si>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</si>
  <si>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</si>
  <si>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</si>
  <si>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</si>
  <si>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</si>
  <si>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</si>
  <si>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</si>
  <si>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</si>
  <si>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</si>
  <si>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</si>
  <si>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</si>
  <si>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</si>
  <si>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</si>
  <si>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</si>
  <si>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</si>
  <si>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</si>
  <si>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</si>
  <si>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</si>
  <si>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</si>
  <si>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</si>
  <si>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</si>
  <si>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</si>
  <si>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</si>
  <si>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</si>
  <si>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</si>
  <si>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</si>
  <si>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</si>
  <si>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</si>
  <si>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</si>
  <si>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</si>
  <si>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</si>
  <si>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</si>
  <si>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</si>
  <si>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</si>
  <si>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</si>
  <si>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</si>
  <si>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</si>
  <si>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</si>
  <si>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</si>
  <si>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</si>
  <si>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</si>
  <si>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</si>
  <si>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</si>
  <si>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</si>
  <si>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</si>
  <si>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</si>
  <si>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</si>
  <si>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</si>
  <si>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</si>
  <si>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</si>
  <si>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</si>
  <si>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</si>
  <si>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</si>
  <si>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</si>
  <si>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</si>
  <si>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</si>
  <si>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</si>
  <si>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</si>
  <si>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</si>
  <si>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</si>
  <si>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</si>
  <si>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</si>
  <si>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</si>
  <si>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</si>
  <si>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</si>
  <si>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</si>
  <si>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</si>
  <si>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</si>
  <si>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</si>
  <si>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</si>
  <si>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</si>
  <si>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</si>
  <si>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</si>
  <si>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</si>
  <si>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</si>
  <si>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</si>
  <si>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</si>
  <si>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</si>
  <si>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</si>
  <si>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</si>
  <si>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</si>
  <si>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</si>
  <si>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</si>
  <si>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</si>
  <si>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</si>
  <si>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</si>
  <si>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</si>
  <si>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</si>
  <si>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</si>
  <si>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</si>
  <si>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</si>
  <si>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</si>
  <si>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</si>
  <si>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</si>
  <si>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</si>
  <si>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</si>
  <si>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</si>
  <si>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</si>
  <si>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</si>
  <si>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</si>
  <si>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</si>
  <si>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</si>
  <si>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</si>
  <si>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</si>
  <si>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</si>
  <si>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</si>
  <si>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</si>
  <si>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</si>
  <si>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</si>
  <si>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</si>
  <si>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</si>
  <si>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</si>
  <si>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</si>
  <si>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</si>
  <si>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</si>
  <si>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</si>
  <si>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</si>
  <si>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</si>
  <si>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</si>
  <si>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</si>
  <si>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</si>
  <si>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</si>
  <si>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</si>
  <si>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</si>
  <si>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</si>
  <si>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</si>
  <si>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</si>
  <si>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</si>
  <si>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</si>
  <si>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</si>
  <si>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</si>
  <si>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</si>
  <si>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</si>
  <si>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</si>
  <si>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</si>
  <si>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</si>
  <si>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</si>
  <si>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</si>
  <si>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</si>
  <si>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</si>
  <si>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</si>
  <si>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</si>
  <si>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</si>
  <si>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</si>
  <si>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</si>
  <si>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</si>
  <si>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</si>
  <si>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</si>
  <si>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</si>
  <si>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</si>
  <si>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</si>
  <si>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</si>
  <si>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</si>
  <si>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</si>
  <si>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</si>
  <si>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</si>
  <si>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</si>
  <si>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</si>
  <si>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</si>
  <si>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</si>
  <si>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</si>
  <si>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</si>
  <si>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</si>
  <si>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</si>
  <si>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</si>
  <si>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</si>
  <si>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</si>
  <si>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</si>
  <si>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</si>
  <si>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</si>
  <si>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</si>
  <si>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</si>
  <si>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</si>
  <si>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</si>
  <si>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</si>
  <si>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</si>
  <si>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</si>
  <si>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</si>
  <si>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</si>
  <si>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</si>
  <si>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</si>
  <si>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</si>
  <si>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</si>
  <si>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</si>
  <si>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</si>
  <si>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</si>
  <si>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</si>
  <si>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</si>
  <si>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</si>
  <si>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</si>
  <si>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</si>
  <si>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</si>
  <si>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</si>
  <si>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</si>
  <si>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</si>
  <si>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</si>
  <si>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</si>
  <si>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</si>
  <si>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</si>
  <si>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</si>
  <si>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</si>
  <si>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</si>
  <si>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</si>
  <si>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</si>
  <si>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</si>
  <si>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</si>
  <si>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</si>
  <si>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</si>
  <si>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</si>
  <si>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</si>
  <si>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</si>
  <si>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</si>
  <si>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</si>
  <si>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</si>
  <si>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</si>
  <si>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</si>
  <si>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</si>
  <si>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</si>
  <si>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</si>
  <si>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</si>
  <si>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</si>
  <si>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</si>
  <si>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</si>
  <si>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</si>
  <si>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</si>
  <si>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</si>
  <si>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</si>
  <si>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</si>
  <si>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</si>
  <si>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</si>
  <si>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</si>
  <si>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</si>
  <si>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</si>
  <si>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</si>
  <si>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</si>
  <si>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</si>
  <si>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</si>
  <si>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</si>
  <si>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</si>
  <si>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</si>
  <si>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</si>
  <si>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</si>
  <si>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</si>
  <si>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</si>
  <si>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</si>
  <si>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</si>
  <si>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</si>
  <si>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</si>
  <si>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</si>
  <si>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</si>
  <si>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</si>
  <si>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</si>
  <si>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</si>
  <si>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</si>
  <si>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</si>
  <si>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</si>
  <si>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</si>
  <si>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</si>
  <si>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</si>
  <si>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</si>
  <si>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</si>
  <si>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</si>
  <si>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</si>
  <si>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</si>
  <si>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</si>
  <si>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</si>
  <si>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</si>
  <si>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</si>
  <si>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</si>
  <si>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</si>
  <si>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</si>
  <si>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</si>
  <si>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</si>
  <si>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</si>
  <si>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</si>
  <si>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</si>
  <si>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</si>
  <si>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</si>
  <si>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</si>
  <si>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</si>
  <si>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</si>
  <si>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</si>
  <si>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</si>
  <si>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</si>
  <si>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</si>
  <si>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</si>
  <si>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</si>
  <si>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</si>
  <si>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</si>
  <si>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</si>
  <si>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</si>
  <si>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</si>
  <si>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</si>
  <si>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</si>
  <si>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</si>
  <si>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</si>
  <si>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</si>
  <si>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</si>
  <si>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</si>
  <si>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</si>
  <si>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</si>
  <si>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</si>
  <si>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</si>
  <si>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</si>
  <si>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</si>
  <si>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</si>
  <si>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</si>
  <si>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</si>
  <si>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</si>
  <si>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</si>
  <si>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</si>
  <si>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</si>
  <si>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</si>
  <si>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</si>
  <si>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</si>
  <si>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</si>
  <si>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</si>
  <si>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</si>
  <si>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</si>
  <si>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</si>
  <si>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</si>
  <si>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</si>
  <si>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</si>
  <si>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</si>
  <si>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</si>
  <si>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</si>
  <si>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</si>
  <si>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</si>
  <si>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</si>
  <si>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</si>
  <si>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</si>
  <si>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</si>
  <si>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</si>
  <si>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</si>
  <si>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</si>
  <si>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</si>
  <si>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</si>
  <si>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</si>
  <si>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</si>
  <si>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</si>
  <si>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</si>
  <si>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</si>
  <si>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</si>
  <si>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</si>
  <si>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</si>
  <si>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</si>
  <si>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</si>
  <si>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</si>
  <si>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</si>
  <si>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</si>
  <si>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</si>
  <si>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</si>
  <si>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</si>
  <si>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</si>
  <si>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</si>
  <si>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</si>
  <si>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</si>
  <si>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</si>
  <si>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</si>
  <si>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</si>
  <si>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</si>
  <si>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</si>
  <si>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</si>
  <si>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</si>
  <si>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</si>
  <si>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</si>
  <si>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</si>
  <si>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</si>
  <si>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</si>
  <si>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</si>
  <si>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</si>
  <si>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</si>
  <si>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</si>
  <si>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</si>
  <si>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</si>
  <si>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</si>
  <si>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</si>
  <si>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</si>
  <si>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</si>
  <si>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</si>
  <si>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</si>
  <si>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</si>
  <si>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</si>
  <si>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</si>
  <si>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</si>
  <si>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</si>
  <si>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</si>
  <si>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</si>
  <si>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</si>
  <si>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</si>
  <si>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</si>
  <si>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</si>
  <si>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</si>
  <si>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</si>
  <si>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</si>
  <si>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</si>
  <si>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</si>
  <si>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</si>
  <si>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</si>
  <si>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</si>
  <si>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</si>
  <si>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</si>
  <si>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</si>
  <si>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</si>
  <si>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</si>
  <si>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</si>
  <si>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</si>
  <si>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</si>
  <si>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</si>
  <si>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</si>
  <si>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</si>
  <si>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</si>
  <si>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</si>
  <si>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</si>
  <si>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</si>
  <si>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</si>
  <si>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</si>
  <si>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</si>
  <si>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</si>
  <si>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</si>
  <si>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</si>
  <si>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</si>
  <si>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</si>
  <si>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</si>
  <si>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</si>
  <si>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</si>
  <si>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</si>
  <si>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</si>
  <si>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</si>
  <si>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</si>
  <si>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</si>
  <si>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</si>
  <si>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</si>
  <si>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</si>
  <si>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</si>
  <si>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</si>
  <si>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</si>
  <si>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</si>
  <si>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</si>
  <si>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</si>
  <si>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</si>
  <si>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</si>
  <si>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</si>
  <si>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</si>
  <si>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</si>
  <si>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</si>
  <si>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</si>
  <si>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</si>
  <si>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</si>
  <si>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</si>
  <si>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</si>
  <si>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</si>
  <si>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</si>
  <si>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</si>
  <si>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</si>
  <si>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</si>
  <si>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</si>
  <si>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</si>
  <si>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</si>
  <si>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</si>
  <si>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</si>
  <si>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</si>
  <si>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</si>
  <si>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</si>
  <si>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</si>
  <si>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</si>
  <si>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</si>
  <si>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</si>
  <si>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</si>
  <si>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</si>
  <si>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</si>
  <si>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</si>
  <si>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</si>
  <si>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</si>
  <si>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</si>
  <si>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</si>
  <si>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</si>
  <si>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</si>
  <si>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</si>
  <si>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</si>
  <si>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</si>
  <si>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</si>
  <si>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</si>
  <si>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</si>
  <si>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</si>
  <si>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</si>
  <si>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</si>
  <si>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</si>
  <si>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</si>
  <si>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</si>
  <si>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</si>
  <si>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</si>
  <si>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</si>
  <si>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</si>
  <si>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</si>
  <si>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</si>
  <si>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</si>
  <si>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</si>
  <si>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</si>
  <si>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</si>
  <si>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</si>
  <si>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</si>
  <si>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</si>
  <si>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</si>
  <si>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</si>
  <si>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</si>
  <si>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</si>
  <si>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</si>
  <si>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</si>
  <si>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</si>
  <si>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</si>
  <si>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</si>
  <si>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</si>
  <si>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</si>
  <si>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</si>
  <si>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</si>
  <si>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</si>
  <si>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</si>
  <si>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</si>
  <si>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</si>
  <si>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</si>
  <si>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</si>
  <si>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</si>
  <si>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</si>
  <si>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</si>
  <si>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</si>
  <si>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</si>
  <si>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</si>
  <si>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</si>
  <si>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</si>
  <si>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</si>
  <si>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</si>
  <si>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</si>
  <si>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</si>
  <si>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</si>
  <si>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</si>
  <si>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</si>
  <si>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</si>
  <si>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</si>
  <si>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</si>
  <si>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</si>
  <si>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</si>
  <si>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</si>
  <si>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</si>
  <si>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</si>
  <si>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</si>
  <si>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</si>
  <si>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</si>
  <si>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</si>
  <si>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</si>
  <si>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</si>
  <si>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</si>
  <si>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</si>
  <si>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</si>
  <si>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</si>
  <si>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</si>
  <si>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</si>
  <si>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</si>
  <si>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</si>
  <si>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</si>
  <si>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</si>
  <si>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</si>
  <si>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</si>
  <si>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</si>
  <si>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</si>
  <si>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</si>
  <si>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</si>
  <si>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</si>
  <si>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</si>
  <si>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</si>
  <si>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</si>
  <si>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</si>
  <si>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</si>
  <si>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</si>
  <si>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</si>
  <si>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</si>
  <si>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</si>
  <si>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</si>
  <si>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</si>
  <si>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</si>
  <si>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</si>
  <si>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</si>
  <si>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</si>
  <si>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</si>
  <si>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</si>
  <si>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</si>
  <si>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</si>
  <si>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</si>
  <si>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</si>
  <si>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</si>
  <si>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</si>
  <si>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</si>
  <si>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</si>
  <si>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</si>
  <si>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</si>
  <si>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</si>
  <si>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</si>
  <si>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</si>
  <si>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</si>
  <si>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</si>
  <si>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</si>
  <si>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</si>
  <si>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</si>
  <si>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</si>
  <si>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</si>
  <si>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</si>
  <si>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</si>
  <si>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</si>
  <si>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</si>
  <si>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</si>
  <si>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</si>
  <si>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</si>
  <si>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</si>
  <si>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</si>
  <si>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</si>
  <si>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</si>
  <si>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</si>
  <si>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</si>
  <si>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</si>
  <si>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</si>
  <si>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</si>
  <si>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</si>
  <si>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</si>
  <si>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</si>
  <si>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</si>
  <si>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</si>
  <si>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</si>
  <si>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</si>
  <si>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</si>
  <si>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</si>
  <si>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</si>
  <si>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</si>
  <si>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</si>
  <si>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</si>
  <si>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</si>
  <si>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</si>
  <si>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</si>
  <si>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</si>
  <si>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</si>
  <si>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</si>
  <si>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</si>
  <si>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</si>
  <si>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</si>
  <si>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</si>
  <si>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</si>
  <si>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</si>
  <si>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</si>
  <si>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</si>
  <si>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</si>
  <si>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</si>
  <si>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</si>
  <si>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</si>
  <si>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</si>
  <si>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</si>
  <si>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</si>
  <si>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</si>
  <si>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</si>
  <si>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</si>
  <si>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</si>
  <si>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</si>
  <si>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</si>
  <si>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</si>
  <si>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</si>
  <si>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</si>
  <si>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</si>
  <si>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</si>
  <si>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</si>
  <si>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</si>
  <si>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</si>
  <si>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</si>
  <si>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</si>
  <si>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</si>
  <si>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</si>
  <si>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</si>
  <si>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</si>
  <si>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</si>
  <si>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</si>
  <si>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</si>
  <si>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</si>
  <si>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</si>
  <si>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</si>
  <si>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</si>
  <si>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</si>
  <si>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</si>
  <si>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</si>
  <si>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</si>
  <si>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</si>
  <si>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</si>
  <si>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</si>
  <si>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</si>
  <si>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</si>
  <si>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</si>
  <si>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</si>
  <si>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</si>
  <si>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</si>
  <si>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</si>
  <si>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</si>
  <si>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</si>
  <si>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</si>
  <si>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</si>
  <si>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</si>
  <si>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</si>
  <si>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</si>
  <si>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</si>
  <si>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</si>
  <si>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</si>
  <si>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</si>
  <si>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</si>
  <si>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</si>
  <si>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</si>
  <si>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</si>
  <si>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</si>
  <si>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</si>
  <si>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</si>
  <si>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</si>
  <si>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</si>
  <si>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</si>
  <si>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</si>
  <si>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</si>
  <si>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</si>
  <si>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</si>
  <si>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</si>
  <si>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</si>
  <si>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</si>
  <si>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</si>
  <si>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</si>
  <si>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</si>
  <si>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</si>
  <si>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</si>
  <si>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</si>
  <si>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</si>
  <si>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</si>
  <si>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</si>
  <si>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</si>
  <si>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</si>
  <si>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</si>
  <si>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</si>
  <si>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</si>
  <si>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</si>
  <si>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</si>
  <si>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</si>
  <si>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</si>
  <si>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</si>
  <si>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</si>
  <si>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</si>
  <si>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</si>
  <si>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</si>
  <si>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</si>
  <si>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</si>
  <si>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</si>
  <si>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</si>
  <si>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</si>
  <si>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</si>
  <si>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</si>
  <si>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</si>
  <si>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</si>
  <si>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</si>
  <si>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</si>
  <si>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</si>
  <si>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</si>
  <si>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</si>
  <si>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</si>
  <si>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</si>
  <si>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</si>
  <si>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</si>
  <si>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</si>
  <si>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</si>
  <si>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</si>
  <si>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</si>
  <si>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</si>
  <si>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</si>
  <si>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</si>
  <si>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</si>
  <si>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</si>
  <si>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</si>
  <si>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</si>
  <si>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</si>
  <si>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</si>
  <si>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</si>
  <si>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</si>
  <si>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</si>
  <si>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</si>
  <si>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</si>
  <si>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</si>
  <si>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</si>
  <si>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</si>
  <si>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</si>
  <si>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</si>
  <si>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</si>
  <si>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</si>
  <si>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</si>
  <si>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</si>
  <si>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</si>
  <si>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</si>
  <si>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</si>
  <si>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</si>
  <si>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</si>
  <si>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</si>
  <si>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</si>
  <si>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</si>
  <si>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</si>
  <si>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</si>
  <si>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</si>
  <si>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</si>
  <si>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</si>
  <si>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</si>
  <si>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</si>
  <si>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</si>
  <si>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</si>
  <si>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</si>
  <si>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</si>
  <si>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</si>
  <si>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</si>
  <si>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</si>
  <si>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</si>
  <si>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</si>
  <si>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</si>
  <si>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</si>
  <si>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</si>
  <si>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</si>
  <si>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</si>
  <si>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</si>
  <si>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</si>
  <si>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</si>
  <si>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</si>
  <si>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</si>
  <si>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</si>
  <si>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</si>
  <si>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</si>
  <si>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</si>
  <si>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</si>
  <si>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</si>
  <si>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</si>
  <si>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</si>
  <si>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</si>
  <si>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</si>
  <si>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</si>
  <si>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</si>
  <si>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</si>
  <si>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</si>
  <si>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</si>
  <si>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</si>
  <si>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</si>
  <si>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</si>
  <si>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</si>
  <si>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</si>
  <si>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</si>
  <si>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</si>
  <si>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</si>
  <si>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</si>
  <si>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</si>
  <si>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</si>
  <si>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</si>
  <si>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</si>
  <si>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</si>
  <si>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</si>
  <si>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</si>
  <si>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</si>
  <si>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</si>
  <si>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</si>
  <si>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</si>
  <si>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</si>
  <si>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</si>
  <si>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</si>
  <si>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</si>
  <si>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</si>
  <si>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</si>
  <si>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</si>
  <si>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</si>
  <si>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</si>
  <si>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</si>
  <si>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</si>
  <si>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</si>
  <si>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</si>
  <si>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</si>
  <si>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</si>
  <si>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</si>
  <si>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</si>
  <si>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</si>
  <si>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</si>
  <si>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</si>
  <si>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</si>
  <si>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</si>
  <si>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</si>
  <si>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</si>
  <si>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</si>
  <si>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</si>
  <si>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</si>
  <si>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</si>
  <si>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</si>
  <si>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</si>
  <si>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</si>
  <si>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</si>
  <si>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</si>
  <si>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</si>
  <si>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</si>
  <si>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</si>
  <si>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</si>
  <si>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</si>
  <si>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</si>
  <si>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</si>
  <si>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</si>
  <si>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</si>
  <si>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</si>
  <si>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</si>
  <si>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</si>
  <si>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</si>
  <si>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</si>
  <si>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</si>
  <si>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</si>
  <si>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</si>
  <si>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</si>
  <si>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</si>
  <si>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</si>
  <si>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</si>
  <si>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</si>
  <si>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</si>
  <si>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</si>
  <si>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</si>
  <si>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</si>
  <si>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</si>
  <si>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</si>
  <si>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</si>
  <si>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</si>
  <si>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</si>
  <si>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</si>
  <si>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</si>
  <si>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</si>
  <si>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</si>
  <si>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</si>
  <si>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</si>
  <si>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</si>
  <si>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</si>
  <si>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</si>
  <si>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</si>
  <si>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</si>
  <si>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</si>
  <si>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</si>
  <si>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</si>
  <si>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</si>
  <si>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</si>
  <si>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</si>
  <si>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</si>
  <si>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</si>
  <si>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</si>
  <si>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</si>
  <si>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</si>
  <si>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</si>
  <si>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</si>
  <si>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</si>
  <si>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</si>
  <si>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</si>
  <si>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</si>
  <si>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</si>
  <si>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</si>
  <si>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</si>
  <si>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</si>
  <si>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</si>
  <si>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</si>
  <si>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</si>
  <si>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</si>
  <si>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</si>
  <si>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</si>
  <si>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</si>
  <si>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</si>
  <si>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</si>
  <si>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</si>
  <si>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</si>
  <si>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</si>
  <si>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</si>
  <si>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</si>
  <si>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</si>
  <si>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</si>
  <si>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</si>
  <si>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</si>
  <si>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</si>
  <si>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</si>
  <si>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</si>
  <si>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</si>
  <si>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</si>
  <si>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</si>
  <si>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</si>
  <si>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</si>
  <si>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</si>
  <si>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</si>
  <si>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</si>
  <si>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</si>
  <si>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</si>
  <si>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</si>
  <si>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</si>
  <si>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</si>
  <si>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</si>
  <si>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</si>
  <si>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</si>
  <si>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</si>
  <si>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</si>
  <si>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</si>
  <si>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</si>
  <si>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</si>
  <si>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</si>
  <si>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</si>
  <si>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</si>
  <si>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</si>
  <si>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</si>
  <si>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</si>
  <si>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</si>
  <si>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</si>
  <si>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</si>
  <si>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</si>
  <si>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</si>
  <si>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</si>
  <si>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</si>
  <si>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</si>
  <si>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</si>
  <si>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</si>
  <si>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</si>
  <si>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</si>
  <si>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</si>
  <si>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</si>
  <si>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</si>
  <si>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</si>
  <si>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</si>
  <si>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</si>
  <si>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</si>
  <si>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</si>
  <si>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</si>
  <si>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</si>
  <si>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</si>
  <si>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</si>
  <si>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</si>
  <si>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</si>
  <si>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</si>
  <si>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</si>
  <si>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</si>
  <si>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</si>
  <si>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</si>
  <si>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</si>
  <si>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</si>
  <si>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</si>
  <si>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</si>
  <si>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</si>
  <si>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</si>
  <si>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</si>
  <si>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</si>
  <si>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</si>
  <si>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</si>
  <si>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</si>
  <si>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</si>
  <si>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</si>
  <si>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</si>
  <si>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</si>
  <si>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</si>
  <si>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</si>
  <si>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</si>
  <si>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</si>
  <si>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</si>
  <si>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</si>
  <si>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</si>
  <si>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</si>
  <si>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</si>
  <si>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</si>
  <si>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</si>
  <si>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</si>
  <si>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</si>
  <si>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</si>
  <si>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</si>
  <si>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</si>
  <si>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</si>
  <si>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</si>
  <si>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</si>
  <si>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</si>
  <si>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</si>
  <si>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</si>
  <si>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</si>
  <si>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</si>
  <si>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</si>
  <si>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</si>
  <si>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</si>
  <si>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</si>
  <si>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</si>
  <si>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</si>
  <si>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</si>
  <si>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</si>
  <si>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</si>
  <si>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</si>
  <si>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7/17</t>
  </si>
  <si>
    <t>8/27</t>
  </si>
  <si>
    <t>Private Purpose Trusts (Scholarships)</t>
  </si>
  <si>
    <t>Permanent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</si>
</sst>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1130</v>
      </c>
      <c r="B2">
        <f>INDEX('School Tables'!$AH$3:$AH$213,MATCH('DOE25'!A2,'School Tables'!$AJ$3:$AJ$213,0))</f>
        <v>274</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3481746.89+8000+5000</f>
        <v>3494746.89</v>
      </c>
      <c r="G9" s="18">
        <v>18.88</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3456682.84</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107263.58+55731.04</f>
        <v>162994.62</v>
      </c>
      <c r="G12" s="18">
        <v>84952.06</v>
      </c>
      <c r="H12" s="18"/>
      <c r="I12" s="18"/>
      <c r="J12" s="13">
        <f>SUM(I442)</f>
        <v>43718.79</v>
      </c>
      <c r="K12" s="23" t="s">
        <v>288</v>
      </c>
      <c r="L12" s="23" t="s">
        <v>288</v>
      </c>
      <c r="M12" s="8"/>
      <c r="N12" s="164"/>
    </row>
    <row r="13" spans="1:14" s="3" customFormat="1" ht="12.2" customHeight="1" x14ac:dyDescent="0.15">
      <c r="A13" s="1" t="s">
        <v>604</v>
      </c>
      <c r="B13" s="2" t="s">
        <v>289</v>
      </c>
      <c r="C13" s="6">
        <v>5</v>
      </c>
      <c r="D13" s="2" t="s">
        <v>428</v>
      </c>
      <c r="E13" s="6">
        <v>140</v>
      </c>
      <c r="F13" s="18">
        <v>63570.25</v>
      </c>
      <c r="G13" s="18">
        <v>41450.699999999997</v>
      </c>
      <c r="H13" s="18">
        <v>245904.95</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5406.22</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12445.32</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15019.5</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3741737.4800000004</v>
      </c>
      <c r="G19" s="38">
        <f>SUM(G9:G18)</f>
        <v>138866.96</v>
      </c>
      <c r="H19" s="38">
        <f>SUM(H9:H18)</f>
        <v>245904.95</v>
      </c>
      <c r="I19" s="38">
        <f>SUM(I9:I18)</f>
        <v>0</v>
      </c>
      <c r="J19" s="38">
        <f>SUM(J9:J18)</f>
        <v>3500401.63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235934.43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22600.68</v>
      </c>
      <c r="G23" s="18"/>
      <c r="H23" s="18"/>
      <c r="I23" s="18"/>
      <c r="J23" s="13">
        <f>SUM(I450)</f>
        <v>55731.040000000001</v>
      </c>
      <c r="K23" s="23" t="s">
        <v>288</v>
      </c>
      <c r="L23" s="23" t="s">
        <v>288</v>
      </c>
      <c r="M23" s="8"/>
      <c r="N23" s="164"/>
    </row>
    <row r="24" spans="1:14" s="3" customFormat="1" ht="12.2" customHeight="1" x14ac:dyDescent="0.15">
      <c r="A24" s="1" t="s">
        <v>570</v>
      </c>
      <c r="B24" s="2" t="s">
        <v>289</v>
      </c>
      <c r="C24" s="6">
        <v>14</v>
      </c>
      <c r="D24" s="2" t="s">
        <v>429</v>
      </c>
      <c r="E24" s="6">
        <v>420</v>
      </c>
      <c r="F24" s="18">
        <v>665066.80000000005</v>
      </c>
      <c r="G24" s="18">
        <v>192</v>
      </c>
      <c r="H24" s="18">
        <v>7369.46</v>
      </c>
      <c r="I24" s="18"/>
      <c r="J24" s="13">
        <f>SUM(I451)</f>
        <v>43718.79</v>
      </c>
      <c r="K24" s="23" t="s">
        <v>288</v>
      </c>
      <c r="L24" s="23" t="s">
        <v>288</v>
      </c>
      <c r="M24" s="8"/>
      <c r="N24" s="164"/>
    </row>
    <row r="25" spans="1:14" s="3" customFormat="1" ht="12.2" customHeight="1" x14ac:dyDescent="0.15">
      <c r="A25" s="1" t="s">
        <v>574</v>
      </c>
      <c r="B25" s="2" t="s">
        <v>289</v>
      </c>
      <c r="C25" s="6">
        <v>15</v>
      </c>
      <c r="D25" s="2" t="s">
        <v>429</v>
      </c>
      <c r="E25" s="6">
        <v>430</v>
      </c>
      <c r="F25" s="18"/>
      <c r="G25" s="102">
        <v>23628.6</v>
      </c>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27621.55</v>
      </c>
      <c r="G28" s="18"/>
      <c r="H28" s="18">
        <v>2358.75</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2113.05+3477.49+14254.7</f>
        <v>19845.240000000002</v>
      </c>
      <c r="G29" s="18"/>
      <c r="H29" s="18">
        <f>180.44+61.87</f>
        <v>242.31</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20571.61</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735134.27000000014</v>
      </c>
      <c r="G32" s="38">
        <f>SUM(G22:G31)</f>
        <v>44392.21</v>
      </c>
      <c r="H32" s="38">
        <f>SUM(H22:H31)</f>
        <v>245904.94999999998</v>
      </c>
      <c r="I32" s="38">
        <f>SUM(I22:I31)</f>
        <v>0</v>
      </c>
      <c r="J32" s="38">
        <f>SUM(J22:J31)</f>
        <v>99449.83</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12445.32</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15019.5</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82029.429999999993</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3400951.8</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1157757</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v>94373.91</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2897209.8-1157757</f>
        <v>1739452.7999999998</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3006603.21</v>
      </c>
      <c r="G51" s="38">
        <f>SUM(G35:G50)</f>
        <v>94474.75</v>
      </c>
      <c r="H51" s="38">
        <f>SUM(H35:H50)</f>
        <v>0</v>
      </c>
      <c r="I51" s="38">
        <f>SUM(I35:I50)</f>
        <v>0</v>
      </c>
      <c r="J51" s="38">
        <f>SUM(J35:J50)</f>
        <v>3400951.8</v>
      </c>
      <c r="K51" s="42" t="s">
        <v>288</v>
      </c>
      <c r="L51" s="42" t="s">
        <v>288</v>
      </c>
      <c r="N51" s="130"/>
    </row>
    <row r="52" spans="1:14" s="3" customFormat="1" ht="12.2" customHeight="1" thickTop="1" x14ac:dyDescent="0.15">
      <c r="A52" s="35" t="s">
        <v>455</v>
      </c>
      <c r="B52" s="36" t="s">
        <v>289</v>
      </c>
      <c r="C52" s="6">
        <v>37</v>
      </c>
      <c r="D52" s="36" t="s">
        <v>653</v>
      </c>
      <c r="E52" s="36"/>
      <c r="F52" s="38">
        <f>F51+F32</f>
        <v>3741737.48</v>
      </c>
      <c r="G52" s="38">
        <f>G51+G32</f>
        <v>138866.96</v>
      </c>
      <c r="H52" s="38">
        <f>H51+H32</f>
        <v>245904.94999999998</v>
      </c>
      <c r="I52" s="38">
        <f>I51+I32</f>
        <v>0</v>
      </c>
      <c r="J52" s="38">
        <f>J51+J32</f>
        <v>3500401.63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20793615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20793615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17961.34</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17961.34</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144964.56</v>
      </c>
      <c r="G96" s="18"/>
      <c r="H96" s="18"/>
      <c r="I96" s="18"/>
      <c r="J96" s="18">
        <v>93038.22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283263.78000000003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2025</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46950.5</v>
      </c>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23352.19</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103887.55</v>
      </c>
      <c r="G110" s="18"/>
      <c r="H110" s="18">
        <v>172055.47</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321179.8</v>
      </c>
      <c r="G111" s="38">
        <f>SUM(G96:G110)</f>
        <v>283263.78000000003</v>
      </c>
      <c r="H111" s="38">
        <f>SUM(H96:H110)</f>
        <v>172055.47</v>
      </c>
      <c r="I111" s="38">
        <f>SUM(I96:I110)</f>
        <v>0</v>
      </c>
      <c r="J111" s="38">
        <f>SUM(J96:J110)</f>
        <v>93038.22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21132756.140000001</v>
      </c>
      <c r="G112" s="38">
        <f>G60+G111</f>
        <v>283263.78000000003</v>
      </c>
      <c r="H112" s="38">
        <f>H60+H79+H94+H111</f>
        <v>172055.47</v>
      </c>
      <c r="I112" s="38">
        <f>I60+I111</f>
        <v>0</v>
      </c>
      <c r="J112" s="38">
        <f>J60+J111</f>
        <v>93038.22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4933228.05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2361538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31326.84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7326092.8899999997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744055.42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34802.04</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8189.6</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6108.6</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8524.2000000000007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787047.06</v>
      </c>
      <c r="G136" s="38">
        <f>SUM(G123:G135)</f>
        <v>8524.2000000000007</v>
      </c>
      <c r="H136" s="38">
        <f>SUM(H123:H135)</f>
        <v>6108.6</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8113139.9499999993</v>
      </c>
      <c r="G140" s="38">
        <f>G121+SUM(G136:G137)</f>
        <v>8524.2000000000007</v>
      </c>
      <c r="H140" s="38">
        <f>H121+SUM(H136:H139)</f>
        <v>6108.6</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404816.74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95520.66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300742.82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428405.78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155992.06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23573.15</v>
      </c>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485673.32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155992.06</v>
      </c>
      <c r="G163" s="38">
        <f>SUM(G150:G162)</f>
        <v>324315.97000000003</v>
      </c>
      <c r="H163" s="38">
        <f>SUM(H150:H162)</f>
        <v>1414416.5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155992.06</v>
      </c>
      <c r="G170" s="38">
        <f>G147+G163+SUM(G164:G169)</f>
        <v>324315.97000000003</v>
      </c>
      <c r="H170" s="38">
        <f>H147+H163+SUM(H164:H169)</f>
        <v>1414416.5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40151.1</v>
      </c>
      <c r="H180" s="18"/>
      <c r="I180" s="18"/>
      <c r="J180" s="18">
        <v>550000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v>20825.650000000001</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20825.650000000001</v>
      </c>
      <c r="G184" s="38">
        <f>SUM(G180:G183)</f>
        <v>40151.1</v>
      </c>
      <c r="H184" s="38">
        <f>SUM(H180:H183)</f>
        <v>0</v>
      </c>
      <c r="I184" s="38">
        <f>SUM(I180:I183)</f>
        <v>0</v>
      </c>
      <c r="J184" s="38">
        <f>SUM(J180:J183)</f>
        <v>550000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20825.650000000001</v>
      </c>
      <c r="G193" s="38">
        <f>G184+SUM(G189:G192)</f>
        <v>40151.1</v>
      </c>
      <c r="H193" s="38">
        <f>+H184+SUM(H189:H192)</f>
        <v>0</v>
      </c>
      <c r="I193" s="38">
        <f>I178+I184+SUM(I189:I192)</f>
        <v>0</v>
      </c>
      <c r="J193" s="38">
        <f>J184</f>
        <v>550000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29422713.799999997</v>
      </c>
      <c r="G194" s="38">
        <f>G112+G140+G170+G193</f>
        <v>656255.05000000005</v>
      </c>
      <c r="H194" s="38">
        <f>H112+H140+H170+H193</f>
        <v>1592580.57</v>
      </c>
      <c r="I194" s="38">
        <f>I112+I140+I170+I193</f>
        <v>0</v>
      </c>
      <c r="J194" s="38">
        <f>J112+J140+J193</f>
        <v>643038.22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3011893.49</v>
      </c>
      <c r="G198" s="18">
        <v>1637492.9000000001</v>
      </c>
      <c r="H198" s="18">
        <v>22262.63</v>
      </c>
      <c r="I198" s="18">
        <v>362192.83</v>
      </c>
      <c r="J198" s="18">
        <v>0</v>
      </c>
      <c r="K198" s="18">
        <v>5000</v>
      </c>
      <c r="L198" s="13">
        <f>SUM(F198:K198)</f>
        <v>5038841.8500000006</v>
      </c>
      <c r="M198" s="8"/>
      <c r="N198" s="164"/>
    </row>
    <row r="199" spans="1:14" s="3" customFormat="1" ht="12.2" customHeight="1" x14ac:dyDescent="0.15">
      <c r="A199" s="1" t="s">
        <v>439</v>
      </c>
      <c r="B199" s="2" t="s">
        <v>341</v>
      </c>
      <c r="C199" s="2" t="s">
        <v>291</v>
      </c>
      <c r="D199" s="2" t="s">
        <v>431</v>
      </c>
      <c r="E199" s="6">
        <v>1200</v>
      </c>
      <c r="F199" s="18">
        <v>1630999.2399999998</v>
      </c>
      <c r="G199" s="18">
        <v>761375.05</v>
      </c>
      <c r="H199" s="18">
        <v>551978.53</v>
      </c>
      <c r="I199" s="18">
        <v>13075.6</v>
      </c>
      <c r="J199" s="18">
        <v>0</v>
      </c>
      <c r="K199" s="18">
        <v>5591.2000000000007</v>
      </c>
      <c r="L199" s="13">
        <f>SUM(F199:K199)</f>
        <v>2963019.6200000006</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150198.04</v>
      </c>
      <c r="G201" s="18">
        <v>41435.310000000005</v>
      </c>
      <c r="H201" s="18">
        <v>1658.69</v>
      </c>
      <c r="I201" s="18">
        <v>373.92</v>
      </c>
      <c r="J201" s="18">
        <v>0</v>
      </c>
      <c r="K201" s="18">
        <v>340</v>
      </c>
      <c r="L201" s="13">
        <f>SUM(F201:K201)</f>
        <v>194005.96000000002</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486234.04999999993</v>
      </c>
      <c r="G203" s="18">
        <v>246368.6</v>
      </c>
      <c r="H203" s="18">
        <v>249016.28</v>
      </c>
      <c r="I203" s="18">
        <v>9555.2699999999986</v>
      </c>
      <c r="J203" s="18">
        <v>0</v>
      </c>
      <c r="K203" s="18">
        <v>50</v>
      </c>
      <c r="L203" s="13">
        <f t="shared" ref="L203:L209" si="0">SUM(F203:K203)</f>
        <v>991224.2</v>
      </c>
      <c r="M203" s="8"/>
      <c r="N203" s="164"/>
    </row>
    <row r="204" spans="1:14" s="3" customFormat="1" ht="12.2" customHeight="1" x14ac:dyDescent="0.15">
      <c r="A204" s="1" t="s">
        <v>443</v>
      </c>
      <c r="B204" s="2" t="s">
        <v>341</v>
      </c>
      <c r="C204" s="2" t="s">
        <v>295</v>
      </c>
      <c r="D204" s="2" t="s">
        <v>431</v>
      </c>
      <c r="E204" s="6">
        <v>2200</v>
      </c>
      <c r="F204" s="18">
        <v>208381.38</v>
      </c>
      <c r="G204" s="18">
        <v>74705.600000000006</v>
      </c>
      <c r="H204" s="18">
        <v>30775.57</v>
      </c>
      <c r="I204" s="18">
        <v>18712.39</v>
      </c>
      <c r="J204" s="18">
        <v>0</v>
      </c>
      <c r="K204" s="18">
        <v>519.17999999999995</v>
      </c>
      <c r="L204" s="13">
        <f t="shared" si="0"/>
        <v>333094.12</v>
      </c>
      <c r="M204" s="8"/>
      <c r="N204" s="164"/>
    </row>
    <row r="205" spans="1:14" s="3" customFormat="1" ht="12.2" customHeight="1" x14ac:dyDescent="0.15">
      <c r="A205" s="1" t="s">
        <v>444</v>
      </c>
      <c r="B205" s="2" t="s">
        <v>341</v>
      </c>
      <c r="C205" s="2" t="s">
        <v>296</v>
      </c>
      <c r="D205" s="2" t="s">
        <v>431</v>
      </c>
      <c r="E205" s="6">
        <v>2300</v>
      </c>
      <c r="F205" s="18">
        <v>183639.98</v>
      </c>
      <c r="G205" s="18">
        <v>78055.41</v>
      </c>
      <c r="H205" s="18">
        <v>50326.739999999991</v>
      </c>
      <c r="I205" s="18">
        <v>264.8</v>
      </c>
      <c r="J205" s="18">
        <v>0</v>
      </c>
      <c r="K205" s="18">
        <v>5878.63</v>
      </c>
      <c r="L205" s="13">
        <f t="shared" si="0"/>
        <v>318165.56</v>
      </c>
      <c r="M205" s="8"/>
      <c r="N205" s="164"/>
    </row>
    <row r="206" spans="1:14" s="3" customFormat="1" ht="12.2" customHeight="1" x14ac:dyDescent="0.15">
      <c r="A206" s="1" t="s">
        <v>445</v>
      </c>
      <c r="B206" s="2" t="s">
        <v>341</v>
      </c>
      <c r="C206" s="2" t="s">
        <v>297</v>
      </c>
      <c r="D206" s="2" t="s">
        <v>431</v>
      </c>
      <c r="E206" s="6">
        <v>2400</v>
      </c>
      <c r="F206" s="18">
        <v>546604.41</v>
      </c>
      <c r="G206" s="18">
        <v>318544.75</v>
      </c>
      <c r="H206" s="18">
        <v>9761.7999999999993</v>
      </c>
      <c r="I206" s="18">
        <v>30851.760000000002</v>
      </c>
      <c r="J206" s="18">
        <v>0</v>
      </c>
      <c r="K206" s="18">
        <v>1892</v>
      </c>
      <c r="L206" s="13">
        <f t="shared" si="0"/>
        <v>907654.72000000009</v>
      </c>
      <c r="M206" s="8"/>
      <c r="N206" s="164"/>
    </row>
    <row r="207" spans="1:14" s="3" customFormat="1" ht="12.2" customHeight="1" x14ac:dyDescent="0.15">
      <c r="A207" s="1" t="s">
        <v>446</v>
      </c>
      <c r="B207" s="2" t="s">
        <v>341</v>
      </c>
      <c r="C207" s="2" t="s">
        <v>298</v>
      </c>
      <c r="D207" s="2" t="s">
        <v>431</v>
      </c>
      <c r="E207" s="6">
        <v>2500</v>
      </c>
      <c r="F207" s="18">
        <v>216350.59</v>
      </c>
      <c r="G207" s="18">
        <v>109151.91</v>
      </c>
      <c r="H207" s="18">
        <v>18561.309999999998</v>
      </c>
      <c r="I207" s="18">
        <v>4234.0600000000004</v>
      </c>
      <c r="J207" s="18">
        <v>1223.28</v>
      </c>
      <c r="K207" s="18">
        <v>36456.050000000003</v>
      </c>
      <c r="L207" s="13">
        <f t="shared" si="0"/>
        <v>385977.2</v>
      </c>
      <c r="M207" s="8"/>
      <c r="N207" s="164"/>
    </row>
    <row r="208" spans="1:14" s="3" customFormat="1" ht="12.2" customHeight="1" x14ac:dyDescent="0.15">
      <c r="A208" s="1" t="s">
        <v>447</v>
      </c>
      <c r="B208" s="2" t="s">
        <v>341</v>
      </c>
      <c r="C208" s="2" t="s">
        <v>299</v>
      </c>
      <c r="D208" s="2" t="s">
        <v>431</v>
      </c>
      <c r="E208" s="6">
        <v>2600</v>
      </c>
      <c r="F208" s="18">
        <v>389206.58</v>
      </c>
      <c r="G208" s="18">
        <v>195669.91000000003</v>
      </c>
      <c r="H208" s="18">
        <v>437540.04</v>
      </c>
      <c r="I208" s="18">
        <v>269187.12</v>
      </c>
      <c r="J208" s="18">
        <v>64077.599999999999</v>
      </c>
      <c r="K208" s="18">
        <v>0</v>
      </c>
      <c r="L208" s="13">
        <f t="shared" si="0"/>
        <v>1355681.25</v>
      </c>
      <c r="M208" s="8"/>
      <c r="N208" s="164"/>
    </row>
    <row r="209" spans="1:14" s="3" customFormat="1" ht="12.2" customHeight="1" x14ac:dyDescent="0.15">
      <c r="A209" s="1" t="s">
        <v>448</v>
      </c>
      <c r="B209" s="2" t="s">
        <v>341</v>
      </c>
      <c r="C209" s="2" t="s">
        <v>300</v>
      </c>
      <c r="D209" s="2" t="s">
        <v>431</v>
      </c>
      <c r="E209" s="6">
        <v>2700</v>
      </c>
      <c r="F209" s="18">
        <v>0</v>
      </c>
      <c r="G209" s="18">
        <v>0</v>
      </c>
      <c r="H209" s="18">
        <v>568951.86</v>
      </c>
      <c r="I209" s="18">
        <v>64112.990000000005</v>
      </c>
      <c r="J209" s="18">
        <v>0</v>
      </c>
      <c r="K209" s="18">
        <v>0</v>
      </c>
      <c r="L209" s="13">
        <f t="shared" si="0"/>
        <v>633064.85</v>
      </c>
      <c r="M209" s="8"/>
      <c r="N209" s="164"/>
    </row>
    <row r="210" spans="1:14" s="3" customFormat="1" ht="12.2" customHeight="1" x14ac:dyDescent="0.15">
      <c r="A210" s="1" t="s">
        <v>449</v>
      </c>
      <c r="B210" s="2" t="s">
        <v>341</v>
      </c>
      <c r="C210" s="2" t="s">
        <v>343</v>
      </c>
      <c r="D210" s="2" t="s">
        <v>431</v>
      </c>
      <c r="E210" s="6">
        <v>2800</v>
      </c>
      <c r="F210" s="18">
        <v>65288.04</v>
      </c>
      <c r="G210" s="18">
        <v>23745.03</v>
      </c>
      <c r="H210" s="18">
        <v>92768.37</v>
      </c>
      <c r="I210" s="18">
        <v>176709.76000000001</v>
      </c>
      <c r="J210" s="18">
        <v>16691.89</v>
      </c>
      <c r="K210" s="18">
        <v>0</v>
      </c>
      <c r="L210" s="13">
        <f>SUM(F210:K210)</f>
        <v>375203.09</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6888795.8000000007</v>
      </c>
      <c r="G212" s="38">
        <f t="shared" si="1"/>
        <v>3486544.4700000007</v>
      </c>
      <c r="H212" s="38">
        <f t="shared" si="1"/>
        <v>2033601.8200000003</v>
      </c>
      <c r="I212" s="38">
        <f t="shared" si="1"/>
        <v>949270.5</v>
      </c>
      <c r="J212" s="38">
        <f t="shared" si="1"/>
        <v>81992.76999999999</v>
      </c>
      <c r="K212" s="38">
        <f t="shared" si="1"/>
        <v>55727.060000000005</v>
      </c>
      <c r="L212" s="38">
        <f t="shared" si="1"/>
        <v>13495932.42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980797.17000000016</v>
      </c>
      <c r="G216" s="18">
        <v>469763.28000000009</v>
      </c>
      <c r="H216" s="18">
        <v>1718.26</v>
      </c>
      <c r="I216" s="18">
        <v>73148.7</v>
      </c>
      <c r="J216" s="18">
        <v>0</v>
      </c>
      <c r="K216" s="18">
        <v>0</v>
      </c>
      <c r="L216" s="13">
        <f>SUM(F216:K216)</f>
        <v>1525427.4100000001</v>
      </c>
      <c r="M216" s="8"/>
      <c r="N216" s="164"/>
    </row>
    <row r="217" spans="1:14" s="3" customFormat="1" ht="12.2" customHeight="1" x14ac:dyDescent="0.15">
      <c r="A217" s="1" t="s">
        <v>439</v>
      </c>
      <c r="B217" s="2" t="s">
        <v>346</v>
      </c>
      <c r="C217" s="2" t="s">
        <v>291</v>
      </c>
      <c r="D217" s="2" t="s">
        <v>431</v>
      </c>
      <c r="E217" s="6">
        <v>1200</v>
      </c>
      <c r="F217" s="18">
        <v>441197.87000000005</v>
      </c>
      <c r="G217" s="18">
        <v>259025.78000000003</v>
      </c>
      <c r="H217" s="18">
        <v>381833.48000000004</v>
      </c>
      <c r="I217" s="18">
        <v>6275.63</v>
      </c>
      <c r="J217" s="18">
        <v>0</v>
      </c>
      <c r="K217" s="18">
        <v>2417.62</v>
      </c>
      <c r="L217" s="13">
        <f>SUM(F217:K217)</f>
        <v>1090750.3800000001</v>
      </c>
      <c r="M217" s="8"/>
      <c r="N217" s="164"/>
    </row>
    <row r="218" spans="1:14" s="3" customFormat="1" ht="12.2" customHeight="1" x14ac:dyDescent="0.15">
      <c r="A218" s="1" t="s">
        <v>440</v>
      </c>
      <c r="B218" s="2" t="s">
        <v>346</v>
      </c>
      <c r="C218" s="2" t="s">
        <v>292</v>
      </c>
      <c r="D218" s="2" t="s">
        <v>431</v>
      </c>
      <c r="E218" s="6">
        <v>1300</v>
      </c>
      <c r="F218" s="18">
        <v>149886.39999999999</v>
      </c>
      <c r="G218" s="18">
        <v>76801.209999999992</v>
      </c>
      <c r="H218" s="18">
        <v>0</v>
      </c>
      <c r="I218" s="18">
        <v>8000.48</v>
      </c>
      <c r="J218" s="18">
        <v>0</v>
      </c>
      <c r="K218" s="18">
        <v>950</v>
      </c>
      <c r="L218" s="13">
        <f>SUM(F218:K218)</f>
        <v>235638.09</v>
      </c>
      <c r="M218" s="8"/>
      <c r="N218" s="164"/>
    </row>
    <row r="219" spans="1:14" s="3" customFormat="1" ht="12.2" customHeight="1" x14ac:dyDescent="0.15">
      <c r="A219" s="1" t="s">
        <v>441</v>
      </c>
      <c r="B219" s="2" t="s">
        <v>346</v>
      </c>
      <c r="C219" s="2" t="s">
        <v>293</v>
      </c>
      <c r="D219" s="2" t="s">
        <v>431</v>
      </c>
      <c r="E219" s="6">
        <v>1400</v>
      </c>
      <c r="F219" s="18">
        <v>80299.740000000005</v>
      </c>
      <c r="G219" s="18">
        <v>21204.82</v>
      </c>
      <c r="H219" s="18">
        <v>7910.88</v>
      </c>
      <c r="I219" s="18">
        <v>18422.11</v>
      </c>
      <c r="J219" s="18">
        <v>0</v>
      </c>
      <c r="K219" s="18">
        <v>1780</v>
      </c>
      <c r="L219" s="13">
        <f>SUM(F219:K219)</f>
        <v>129617.55</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326155.77999999997</v>
      </c>
      <c r="G221" s="18">
        <v>174462.81999999995</v>
      </c>
      <c r="H221" s="18">
        <v>65559.31</v>
      </c>
      <c r="I221" s="18">
        <v>11033.480000000001</v>
      </c>
      <c r="J221" s="18">
        <v>0</v>
      </c>
      <c r="K221" s="18">
        <v>0</v>
      </c>
      <c r="L221" s="13">
        <f t="shared" ref="L221:L227" si="2">SUM(F221:K221)</f>
        <v>577211.3899999999</v>
      </c>
      <c r="M221" s="8"/>
      <c r="N221" s="164"/>
    </row>
    <row r="222" spans="1:14" s="3" customFormat="1" ht="12.2" customHeight="1" x14ac:dyDescent="0.15">
      <c r="A222" s="1" t="s">
        <v>443</v>
      </c>
      <c r="B222" s="2" t="s">
        <v>346</v>
      </c>
      <c r="C222" s="2" t="s">
        <v>295</v>
      </c>
      <c r="D222" s="2" t="s">
        <v>431</v>
      </c>
      <c r="E222" s="6">
        <v>2200</v>
      </c>
      <c r="F222" s="18">
        <v>64743.5</v>
      </c>
      <c r="G222" s="18">
        <v>21942.55</v>
      </c>
      <c r="H222" s="18">
        <v>13307.279999999999</v>
      </c>
      <c r="I222" s="18">
        <v>12818.23</v>
      </c>
      <c r="J222" s="18">
        <v>0</v>
      </c>
      <c r="K222" s="18">
        <v>224.49</v>
      </c>
      <c r="L222" s="13">
        <f t="shared" si="2"/>
        <v>113036.05</v>
      </c>
      <c r="M222" s="8"/>
      <c r="N222" s="164"/>
    </row>
    <row r="223" spans="1:14" s="3" customFormat="1" ht="12.2" customHeight="1" x14ac:dyDescent="0.15">
      <c r="A223" s="1" t="s">
        <v>444</v>
      </c>
      <c r="B223" s="2" t="s">
        <v>346</v>
      </c>
      <c r="C223" s="2" t="s">
        <v>296</v>
      </c>
      <c r="D223" s="2" t="s">
        <v>431</v>
      </c>
      <c r="E223" s="6">
        <v>2300</v>
      </c>
      <c r="F223" s="18">
        <v>79405.5</v>
      </c>
      <c r="G223" s="18">
        <v>33750.99</v>
      </c>
      <c r="H223" s="18">
        <v>21761.15</v>
      </c>
      <c r="I223" s="18">
        <v>114.49</v>
      </c>
      <c r="J223" s="18">
        <v>0</v>
      </c>
      <c r="K223" s="18">
        <v>2541.9</v>
      </c>
      <c r="L223" s="13">
        <f t="shared" si="2"/>
        <v>137574.02999999997</v>
      </c>
      <c r="M223" s="8"/>
      <c r="N223" s="164"/>
    </row>
    <row r="224" spans="1:14" s="3" customFormat="1" ht="12.2" customHeight="1" x14ac:dyDescent="0.15">
      <c r="A224" s="1" t="s">
        <v>445</v>
      </c>
      <c r="B224" s="2" t="s">
        <v>346</v>
      </c>
      <c r="C224" s="2" t="s">
        <v>297</v>
      </c>
      <c r="D224" s="2" t="s">
        <v>431</v>
      </c>
      <c r="E224" s="6">
        <v>2400</v>
      </c>
      <c r="F224" s="18">
        <v>246056.27000000002</v>
      </c>
      <c r="G224" s="18">
        <v>111443.73</v>
      </c>
      <c r="H224" s="18">
        <v>7123.4199999999992</v>
      </c>
      <c r="I224" s="18">
        <v>148.54</v>
      </c>
      <c r="J224" s="18">
        <v>0</v>
      </c>
      <c r="K224" s="18">
        <v>888.75</v>
      </c>
      <c r="L224" s="13">
        <f t="shared" si="2"/>
        <v>365660.70999999996</v>
      </c>
      <c r="M224" s="8"/>
      <c r="N224" s="164"/>
    </row>
    <row r="225" spans="1:14" s="3" customFormat="1" ht="12.2" customHeight="1" x14ac:dyDescent="0.15">
      <c r="A225" s="1" t="s">
        <v>446</v>
      </c>
      <c r="B225" s="2" t="s">
        <v>346</v>
      </c>
      <c r="C225" s="2" t="s">
        <v>298</v>
      </c>
      <c r="D225" s="2" t="s">
        <v>431</v>
      </c>
      <c r="E225" s="6">
        <v>2500</v>
      </c>
      <c r="F225" s="18">
        <v>93549.47</v>
      </c>
      <c r="G225" s="18">
        <v>47197.009999999995</v>
      </c>
      <c r="H225" s="18">
        <v>8025.8600000000006</v>
      </c>
      <c r="I225" s="18">
        <v>1830.8</v>
      </c>
      <c r="J225" s="18">
        <v>528.94000000000005</v>
      </c>
      <c r="K225" s="18">
        <v>15763.5</v>
      </c>
      <c r="L225" s="13">
        <f t="shared" si="2"/>
        <v>166895.57999999996</v>
      </c>
      <c r="M225" s="8"/>
      <c r="N225" s="164"/>
    </row>
    <row r="226" spans="1:14" s="3" customFormat="1" ht="12.2" customHeight="1" x14ac:dyDescent="0.15">
      <c r="A226" s="1" t="s">
        <v>447</v>
      </c>
      <c r="B226" s="2" t="s">
        <v>346</v>
      </c>
      <c r="C226" s="2" t="s">
        <v>299</v>
      </c>
      <c r="D226" s="2" t="s">
        <v>431</v>
      </c>
      <c r="E226" s="6">
        <v>2600</v>
      </c>
      <c r="F226" s="18">
        <v>170811.91999999998</v>
      </c>
      <c r="G226" s="18">
        <v>79958.709999999992</v>
      </c>
      <c r="H226" s="18">
        <v>175816.41</v>
      </c>
      <c r="I226" s="18">
        <v>153574.04999999999</v>
      </c>
      <c r="J226" s="18">
        <v>28647.09</v>
      </c>
      <c r="K226" s="18">
        <v>0</v>
      </c>
      <c r="L226" s="13">
        <f t="shared" si="2"/>
        <v>608808.17999999993</v>
      </c>
      <c r="M226" s="8"/>
      <c r="N226" s="164"/>
    </row>
    <row r="227" spans="1:14" s="3" customFormat="1" ht="12.2" customHeight="1" x14ac:dyDescent="0.15">
      <c r="A227" s="1" t="s">
        <v>448</v>
      </c>
      <c r="B227" s="2" t="s">
        <v>346</v>
      </c>
      <c r="C227" s="2" t="s">
        <v>300</v>
      </c>
      <c r="D227" s="2" t="s">
        <v>431</v>
      </c>
      <c r="E227" s="6">
        <v>2700</v>
      </c>
      <c r="F227" s="18">
        <v>0</v>
      </c>
      <c r="G227" s="18">
        <v>0</v>
      </c>
      <c r="H227" s="18">
        <v>281423.95</v>
      </c>
      <c r="I227" s="18">
        <v>27722.3</v>
      </c>
      <c r="J227" s="18">
        <v>0</v>
      </c>
      <c r="K227" s="18">
        <v>0</v>
      </c>
      <c r="L227" s="13">
        <f t="shared" si="2"/>
        <v>309146.25</v>
      </c>
      <c r="M227" s="8"/>
      <c r="N227" s="164"/>
    </row>
    <row r="228" spans="1:14" s="3" customFormat="1" ht="12.2" customHeight="1" x14ac:dyDescent="0.15">
      <c r="A228" s="1" t="s">
        <v>449</v>
      </c>
      <c r="B228" s="2" t="s">
        <v>346</v>
      </c>
      <c r="C228" s="2" t="s">
        <v>343</v>
      </c>
      <c r="D228" s="2" t="s">
        <v>431</v>
      </c>
      <c r="E228" s="6">
        <v>2800</v>
      </c>
      <c r="F228" s="18">
        <v>28230.39</v>
      </c>
      <c r="G228" s="18">
        <v>10267.300000000001</v>
      </c>
      <c r="H228" s="18">
        <v>40112.81</v>
      </c>
      <c r="I228" s="18">
        <v>78566.510000000009</v>
      </c>
      <c r="J228" s="18">
        <v>7217.53</v>
      </c>
      <c r="K228" s="18">
        <v>0</v>
      </c>
      <c r="L228" s="13">
        <f>SUM(F228:K228)</f>
        <v>164394.54</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2661134.0100000002</v>
      </c>
      <c r="G230" s="38">
        <f>SUM(G216:G229)</f>
        <v>1305818.2</v>
      </c>
      <c r="H230" s="38">
        <f>SUM(H216:H229)</f>
        <v>1004592.81</v>
      </c>
      <c r="I230" s="38">
        <f>SUM(I216:I229)</f>
        <v>391655.32</v>
      </c>
      <c r="J230" s="38">
        <f>SUM(J216:J229)</f>
        <v>36393.56</v>
      </c>
      <c r="K230" s="38">
        <f t="shared" si="3"/>
        <v>24566.260000000002</v>
      </c>
      <c r="L230" s="38">
        <f t="shared" si="3"/>
        <v>5424160.1599999983</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1234150.07</v>
      </c>
      <c r="G234" s="18">
        <v>615431.59</v>
      </c>
      <c r="H234" s="18">
        <v>7256.29</v>
      </c>
      <c r="I234" s="18">
        <v>126624.59999999999</v>
      </c>
      <c r="J234" s="18">
        <v>0</v>
      </c>
      <c r="K234" s="18">
        <v>9165</v>
      </c>
      <c r="L234" s="13">
        <f>SUM(F234:K234)</f>
        <v>1992627.5500000003</v>
      </c>
      <c r="M234" s="8"/>
      <c r="N234" s="164"/>
    </row>
    <row r="235" spans="1:14" s="3" customFormat="1" ht="12.2" customHeight="1" x14ac:dyDescent="0.15">
      <c r="A235" s="1" t="s">
        <v>439</v>
      </c>
      <c r="B235" s="2" t="s">
        <v>350</v>
      </c>
      <c r="C235" s="2" t="s">
        <v>291</v>
      </c>
      <c r="D235" s="2" t="s">
        <v>431</v>
      </c>
      <c r="E235" s="6">
        <v>1200</v>
      </c>
      <c r="F235" s="18">
        <v>541652.41999999993</v>
      </c>
      <c r="G235" s="18">
        <v>271976.69999999995</v>
      </c>
      <c r="H235" s="18">
        <v>1204279.2000000002</v>
      </c>
      <c r="I235" s="18">
        <v>6291.41</v>
      </c>
      <c r="J235" s="18">
        <v>0</v>
      </c>
      <c r="K235" s="18">
        <v>3460.48</v>
      </c>
      <c r="L235" s="13">
        <f>SUM(F235:K235)</f>
        <v>2027660.21</v>
      </c>
      <c r="M235" s="8"/>
      <c r="N235" s="164"/>
    </row>
    <row r="236" spans="1:14" s="3" customFormat="1" ht="12.2" customHeight="1" x14ac:dyDescent="0.15">
      <c r="A236" s="1" t="s">
        <v>440</v>
      </c>
      <c r="B236" s="2" t="s">
        <v>350</v>
      </c>
      <c r="C236" s="2" t="s">
        <v>292</v>
      </c>
      <c r="D236" s="2" t="s">
        <v>431</v>
      </c>
      <c r="E236" s="6">
        <v>1300</v>
      </c>
      <c r="F236" s="18">
        <v>145112.41</v>
      </c>
      <c r="G236" s="18">
        <v>76370.48</v>
      </c>
      <c r="H236" s="18">
        <v>55858.06</v>
      </c>
      <c r="I236" s="18">
        <v>29593.5</v>
      </c>
      <c r="J236" s="18">
        <v>0</v>
      </c>
      <c r="K236" s="18">
        <v>5400</v>
      </c>
      <c r="L236" s="13">
        <f>SUM(F236:K236)</f>
        <v>312334.45</v>
      </c>
      <c r="M236" s="8"/>
      <c r="N236" s="164"/>
    </row>
    <row r="237" spans="1:14" s="3" customFormat="1" ht="12.2" customHeight="1" x14ac:dyDescent="0.15">
      <c r="A237" s="1" t="s">
        <v>441</v>
      </c>
      <c r="B237" s="2" t="s">
        <v>350</v>
      </c>
      <c r="C237" s="2" t="s">
        <v>293</v>
      </c>
      <c r="D237" s="2" t="s">
        <v>431</v>
      </c>
      <c r="E237" s="6">
        <v>1400</v>
      </c>
      <c r="F237" s="18">
        <v>154598.39999999999</v>
      </c>
      <c r="G237" s="18">
        <v>31057.599999999999</v>
      </c>
      <c r="H237" s="18">
        <v>24109.43</v>
      </c>
      <c r="I237" s="18">
        <v>59250.69</v>
      </c>
      <c r="J237" s="18">
        <v>0</v>
      </c>
      <c r="K237" s="18">
        <v>12946</v>
      </c>
      <c r="L237" s="13">
        <f>SUM(F237:K237)</f>
        <v>281962.12</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408787.48</v>
      </c>
      <c r="G239" s="18">
        <v>212432.57999999996</v>
      </c>
      <c r="H239" s="18">
        <v>73116.05</v>
      </c>
      <c r="I239" s="18">
        <v>23953.64</v>
      </c>
      <c r="J239" s="18">
        <v>691.47</v>
      </c>
      <c r="K239" s="18">
        <v>0</v>
      </c>
      <c r="L239" s="13">
        <f t="shared" ref="L239:L245" si="4">SUM(F239:K239)</f>
        <v>718981.22</v>
      </c>
      <c r="M239" s="8"/>
      <c r="N239" s="164"/>
    </row>
    <row r="240" spans="1:14" s="3" customFormat="1" ht="12.2" customHeight="1" x14ac:dyDescent="0.15">
      <c r="A240" s="1" t="s">
        <v>443</v>
      </c>
      <c r="B240" s="2" t="s">
        <v>350</v>
      </c>
      <c r="C240" s="2" t="s">
        <v>295</v>
      </c>
      <c r="D240" s="2" t="s">
        <v>431</v>
      </c>
      <c r="E240" s="6">
        <v>2200</v>
      </c>
      <c r="F240" s="18">
        <v>74134.109999999986</v>
      </c>
      <c r="G240" s="18">
        <v>24420.85</v>
      </c>
      <c r="H240" s="18">
        <v>19047.45</v>
      </c>
      <c r="I240" s="18">
        <v>16069.850000000002</v>
      </c>
      <c r="J240" s="18">
        <v>0</v>
      </c>
      <c r="K240" s="18">
        <v>321.33</v>
      </c>
      <c r="L240" s="13">
        <f t="shared" si="4"/>
        <v>133993.58999999997</v>
      </c>
      <c r="M240" s="8"/>
      <c r="N240" s="164"/>
    </row>
    <row r="241" spans="1:14" s="3" customFormat="1" ht="12.2" customHeight="1" x14ac:dyDescent="0.15">
      <c r="A241" s="1" t="s">
        <v>444</v>
      </c>
      <c r="B241" s="2" t="s">
        <v>350</v>
      </c>
      <c r="C241" s="2" t="s">
        <v>296</v>
      </c>
      <c r="D241" s="2" t="s">
        <v>431</v>
      </c>
      <c r="E241" s="6">
        <v>2300</v>
      </c>
      <c r="F241" s="18">
        <v>113657.48</v>
      </c>
      <c r="G241" s="18">
        <v>48309.66</v>
      </c>
      <c r="H241" s="18">
        <v>31147.98</v>
      </c>
      <c r="I241" s="18">
        <v>163.89</v>
      </c>
      <c r="J241" s="18">
        <v>0</v>
      </c>
      <c r="K241" s="18">
        <v>3638.37</v>
      </c>
      <c r="L241" s="13">
        <f t="shared" si="4"/>
        <v>196917.38000000003</v>
      </c>
      <c r="M241" s="8"/>
      <c r="N241" s="164"/>
    </row>
    <row r="242" spans="1:14" s="3" customFormat="1" ht="12.2" customHeight="1" x14ac:dyDescent="0.15">
      <c r="A242" s="1" t="s">
        <v>445</v>
      </c>
      <c r="B242" s="2" t="s">
        <v>350</v>
      </c>
      <c r="C242" s="2" t="s">
        <v>297</v>
      </c>
      <c r="D242" s="2" t="s">
        <v>431</v>
      </c>
      <c r="E242" s="6">
        <v>2400</v>
      </c>
      <c r="F242" s="18">
        <v>251212.95</v>
      </c>
      <c r="G242" s="18">
        <v>112847.56</v>
      </c>
      <c r="H242" s="18">
        <v>18496.939999999999</v>
      </c>
      <c r="I242" s="18">
        <v>3589.35</v>
      </c>
      <c r="J242" s="18">
        <v>0</v>
      </c>
      <c r="K242" s="18">
        <v>1322.75</v>
      </c>
      <c r="L242" s="13">
        <f t="shared" si="4"/>
        <v>387469.55</v>
      </c>
      <c r="M242" s="8"/>
      <c r="N242" s="164"/>
    </row>
    <row r="243" spans="1:14" s="3" customFormat="1" ht="12.2" customHeight="1" x14ac:dyDescent="0.15">
      <c r="A243" s="1" t="s">
        <v>446</v>
      </c>
      <c r="B243" s="2" t="s">
        <v>350</v>
      </c>
      <c r="C243" s="2" t="s">
        <v>298</v>
      </c>
      <c r="D243" s="2" t="s">
        <v>431</v>
      </c>
      <c r="E243" s="6">
        <v>2500</v>
      </c>
      <c r="F243" s="18">
        <v>133902.57999999999</v>
      </c>
      <c r="G243" s="18">
        <v>67555.73</v>
      </c>
      <c r="H243" s="18">
        <v>11487.87</v>
      </c>
      <c r="I243" s="18">
        <v>2620.5299999999997</v>
      </c>
      <c r="J243" s="18">
        <v>757.1</v>
      </c>
      <c r="K243" s="18">
        <v>22563.200000000001</v>
      </c>
      <c r="L243" s="13">
        <f t="shared" si="4"/>
        <v>238887.01</v>
      </c>
      <c r="M243" s="8"/>
      <c r="N243" s="164"/>
    </row>
    <row r="244" spans="1:14" s="3" customFormat="1" ht="12.2" customHeight="1" x14ac:dyDescent="0.15">
      <c r="A244" s="1" t="s">
        <v>447</v>
      </c>
      <c r="B244" s="2" t="s">
        <v>350</v>
      </c>
      <c r="C244" s="2" t="s">
        <v>299</v>
      </c>
      <c r="D244" s="2" t="s">
        <v>431</v>
      </c>
      <c r="E244" s="6">
        <v>2600</v>
      </c>
      <c r="F244" s="18">
        <v>200748.99</v>
      </c>
      <c r="G244" s="18">
        <v>97214.98</v>
      </c>
      <c r="H244" s="18">
        <v>266646.81</v>
      </c>
      <c r="I244" s="18">
        <v>150566.51999999999</v>
      </c>
      <c r="J244" s="18">
        <v>28262.07</v>
      </c>
      <c r="K244" s="18">
        <v>0</v>
      </c>
      <c r="L244" s="13">
        <f t="shared" si="4"/>
        <v>743439.37</v>
      </c>
      <c r="M244" s="8"/>
      <c r="N244" s="164"/>
    </row>
    <row r="245" spans="1:14" s="3" customFormat="1" ht="12.2" customHeight="1" x14ac:dyDescent="0.15">
      <c r="A245" s="1" t="s">
        <v>448</v>
      </c>
      <c r="B245" s="2" t="s">
        <v>350</v>
      </c>
      <c r="C245" s="2" t="s">
        <v>300</v>
      </c>
      <c r="D245" s="2" t="s">
        <v>431</v>
      </c>
      <c r="E245" s="6">
        <v>2700</v>
      </c>
      <c r="F245" s="18">
        <v>0</v>
      </c>
      <c r="G245" s="18">
        <v>0</v>
      </c>
      <c r="H245" s="18">
        <v>675387.21</v>
      </c>
      <c r="I245" s="18">
        <v>39680.47</v>
      </c>
      <c r="J245" s="18">
        <v>0</v>
      </c>
      <c r="K245" s="18">
        <v>0</v>
      </c>
      <c r="L245" s="13">
        <f t="shared" si="4"/>
        <v>715067.67999999993</v>
      </c>
      <c r="M245" s="8"/>
      <c r="N245" s="164"/>
    </row>
    <row r="246" spans="1:14" s="3" customFormat="1" ht="12.2" customHeight="1" x14ac:dyDescent="0.15">
      <c r="A246" s="1" t="s">
        <v>449</v>
      </c>
      <c r="B246" s="2" t="s">
        <v>350</v>
      </c>
      <c r="C246" s="2" t="s">
        <v>343</v>
      </c>
      <c r="D246" s="2" t="s">
        <v>431</v>
      </c>
      <c r="E246" s="6">
        <v>2800</v>
      </c>
      <c r="F246" s="18">
        <v>40407.75</v>
      </c>
      <c r="G246" s="18">
        <v>14696.15</v>
      </c>
      <c r="H246" s="18">
        <v>57415.679999999993</v>
      </c>
      <c r="I246" s="18">
        <v>108894.5</v>
      </c>
      <c r="J246" s="18">
        <v>10330.86</v>
      </c>
      <c r="K246" s="18">
        <v>0</v>
      </c>
      <c r="L246" s="13">
        <f>SUM(F246:K246)</f>
        <v>231744.94</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3298364.6399999997</v>
      </c>
      <c r="G248" s="38">
        <f t="shared" si="5"/>
        <v>1572313.8799999997</v>
      </c>
      <c r="H248" s="38">
        <f t="shared" si="5"/>
        <v>2444248.9700000002</v>
      </c>
      <c r="I248" s="38">
        <f t="shared" si="5"/>
        <v>567298.94999999995</v>
      </c>
      <c r="J248" s="38">
        <f t="shared" si="5"/>
        <v>40041.5</v>
      </c>
      <c r="K248" s="38">
        <f t="shared" si="5"/>
        <v>58817.130000000005</v>
      </c>
      <c r="L248" s="38">
        <f t="shared" si="5"/>
        <v>7981085.0699999994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79157.42</v>
      </c>
      <c r="G254" s="18">
        <v>32512.19</v>
      </c>
      <c r="H254" s="18">
        <v>0</v>
      </c>
      <c r="I254" s="18">
        <v>16732.32</v>
      </c>
      <c r="J254" s="18">
        <v>0</v>
      </c>
      <c r="K254" s="18">
        <v>0</v>
      </c>
      <c r="L254" s="13">
        <f t="shared" si="6"/>
        <v>128401.93</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439479.1</v>
      </c>
      <c r="I256" s="18">
        <v>0</v>
      </c>
      <c r="J256" s="18">
        <v>0</v>
      </c>
      <c r="K256" s="18">
        <v>0</v>
      </c>
      <c r="L256" s="13">
        <f t="shared" si="6"/>
        <v>439479.1</v>
      </c>
      <c r="M256" s="8"/>
      <c r="N256" s="164"/>
    </row>
    <row r="257" spans="1:14" s="3" customFormat="1" ht="12.2" customHeight="1" thickTop="1" thickBot="1" x14ac:dyDescent="0.2">
      <c r="A257" s="35" t="s">
        <v>461</v>
      </c>
      <c r="B257" s="37">
        <v>10</v>
      </c>
      <c r="C257" s="37">
        <v>7</v>
      </c>
      <c r="D257" s="36" t="s">
        <v>431</v>
      </c>
      <c r="E257" s="37"/>
      <c r="F257" s="38">
        <f t="shared" ref="F257:K257" si="7">SUM(F251:F256)</f>
        <v>79157.42</v>
      </c>
      <c r="G257" s="38">
        <f t="shared" si="7"/>
        <v>32512.19</v>
      </c>
      <c r="H257" s="38">
        <f t="shared" si="7"/>
        <v>439479.1</v>
      </c>
      <c r="I257" s="38">
        <f t="shared" si="7"/>
        <v>16732.32</v>
      </c>
      <c r="J257" s="38">
        <f t="shared" si="7"/>
        <v>0</v>
      </c>
      <c r="K257" s="38">
        <f t="shared" si="7"/>
        <v>0</v>
      </c>
      <c r="L257" s="38">
        <f>SUM(F257:K257)</f>
        <v>567881.02999999991</v>
      </c>
      <c r="M257" s="8"/>
      <c r="N257" s="164"/>
    </row>
    <row r="258" spans="1:14" s="3" customFormat="1" ht="12.2" customHeight="1" thickTop="1" x14ac:dyDescent="0.15">
      <c r="A258" s="35" t="s">
        <v>462</v>
      </c>
      <c r="B258" s="37">
        <v>10</v>
      </c>
      <c r="C258" s="37">
        <v>8</v>
      </c>
      <c r="D258" s="36" t="s">
        <v>431</v>
      </c>
      <c r="E258" s="37"/>
      <c r="F258" s="38">
        <f t="shared" ref="F258:L258" si="8">F212+F230+F248+F257</f>
        <v>12927451.869999999</v>
      </c>
      <c r="G258" s="38">
        <f t="shared" si="8"/>
        <v>6397188.7400000012</v>
      </c>
      <c r="H258" s="38">
        <f t="shared" si="8"/>
        <v>5921922.7000000002</v>
      </c>
      <c r="I258" s="38">
        <f t="shared" si="8"/>
        <v>1924957.09</v>
      </c>
      <c r="J258" s="38">
        <f t="shared" si="8"/>
        <v>158427.82999999999</v>
      </c>
      <c r="K258" s="38">
        <f t="shared" si="8"/>
        <v>139110.45000000001</v>
      </c>
      <c r="L258" s="38">
        <f t="shared" si="8"/>
        <v>27469058.68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145000</v>
      </c>
      <c r="L261" s="13">
        <f>SUM(F261:K261)</f>
        <v>145000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33277.5</v>
      </c>
      <c r="L262" s="13">
        <f>SUM(F262:K262)</f>
        <v>33277.5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40151.1</v>
      </c>
      <c r="L264" s="13">
        <f>SUM(F264:K264)</f>
        <v>40151.1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550000</v>
      </c>
      <c r="L267" s="13">
        <f t="shared" si="9"/>
        <v>550000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768428.6</v>
      </c>
      <c r="L271" s="38">
        <f t="shared" si="9"/>
        <v>768428.6</v>
      </c>
      <c r="M271" s="8"/>
      <c r="N271" s="164"/>
    </row>
    <row r="272" spans="1:14" s="33" customFormat="1" ht="12.2" customHeight="1" thickTop="1" x14ac:dyDescent="0.2">
      <c r="A272" s="40" t="s">
        <v>464</v>
      </c>
      <c r="B272" s="37">
        <v>10</v>
      </c>
      <c r="C272" s="37">
        <v>18</v>
      </c>
      <c r="D272" s="36" t="s">
        <v>431</v>
      </c>
      <c r="E272" s="37"/>
      <c r="F272" s="39">
        <f t="shared" ref="F272:L272" si="11">F258+F271</f>
        <v>12927451.869999999</v>
      </c>
      <c r="G272" s="39">
        <f t="shared" si="11"/>
        <v>6397188.7400000012</v>
      </c>
      <c r="H272" s="39">
        <f t="shared" si="11"/>
        <v>5921922.7000000002</v>
      </c>
      <c r="I272" s="39">
        <f t="shared" si="11"/>
        <v>1924957.09</v>
      </c>
      <c r="J272" s="39">
        <f t="shared" si="11"/>
        <v>158427.82999999999</v>
      </c>
      <c r="K272" s="39">
        <f t="shared" si="11"/>
        <v>907539.05</v>
      </c>
      <c r="L272" s="39">
        <f t="shared" si="11"/>
        <v>28237487.280000001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370515.38</v>
      </c>
      <c r="G277" s="18">
        <v>170391.16999999995</v>
      </c>
      <c r="H277" s="18">
        <v>0</v>
      </c>
      <c r="I277" s="18">
        <v>8645</v>
      </c>
      <c r="J277" s="18">
        <v>0</v>
      </c>
      <c r="K277" s="18">
        <v>0</v>
      </c>
      <c r="L277" s="13">
        <f>SUM(F277:K277)</f>
        <v>549551.54999999993</v>
      </c>
      <c r="M277" s="8"/>
      <c r="N277" s="164"/>
    </row>
    <row r="278" spans="1:14" s="3" customFormat="1" ht="12.2" customHeight="1" x14ac:dyDescent="0.15">
      <c r="A278" s="1" t="s">
        <v>439</v>
      </c>
      <c r="B278" s="2" t="s">
        <v>357</v>
      </c>
      <c r="C278" s="2" t="s">
        <v>291</v>
      </c>
      <c r="D278" s="2" t="s">
        <v>431</v>
      </c>
      <c r="E278" s="6">
        <v>1200</v>
      </c>
      <c r="F278" s="18">
        <v>198556.05000000002</v>
      </c>
      <c r="G278" s="18">
        <v>72833.999999999971</v>
      </c>
      <c r="H278" s="18">
        <v>0</v>
      </c>
      <c r="I278" s="18">
        <v>4273.25</v>
      </c>
      <c r="J278" s="18">
        <v>0</v>
      </c>
      <c r="K278" s="18">
        <v>0</v>
      </c>
      <c r="L278" s="13">
        <f>SUM(F278:K278)</f>
        <v>275663.3</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12486.25</v>
      </c>
      <c r="G280" s="18">
        <v>3407.5</v>
      </c>
      <c r="H280" s="18">
        <v>0</v>
      </c>
      <c r="I280" s="18">
        <v>0</v>
      </c>
      <c r="J280" s="18">
        <v>0</v>
      </c>
      <c r="K280" s="18">
        <v>0</v>
      </c>
      <c r="L280" s="13">
        <f>SUM(F280:K280)</f>
        <v>15893.75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24703.65</v>
      </c>
      <c r="G282" s="18">
        <v>13019.189999999997</v>
      </c>
      <c r="H282" s="18">
        <v>0</v>
      </c>
      <c r="I282" s="18">
        <v>0</v>
      </c>
      <c r="J282" s="18">
        <v>0</v>
      </c>
      <c r="K282" s="18">
        <v>0</v>
      </c>
      <c r="L282" s="13">
        <f t="shared" ref="L282:L288" si="12">SUM(F282:K282)</f>
        <v>37722.839999999997</v>
      </c>
      <c r="M282" s="8"/>
      <c r="N282" s="164"/>
    </row>
    <row r="283" spans="1:14" s="3" customFormat="1" ht="12.2" customHeight="1" x14ac:dyDescent="0.15">
      <c r="A283" s="1" t="s">
        <v>443</v>
      </c>
      <c r="B283" s="2" t="s">
        <v>357</v>
      </c>
      <c r="C283" s="2" t="s">
        <v>295</v>
      </c>
      <c r="D283" s="2" t="s">
        <v>431</v>
      </c>
      <c r="E283" s="6">
        <v>2200</v>
      </c>
      <c r="F283" s="18">
        <v>0</v>
      </c>
      <c r="G283" s="18">
        <v>0</v>
      </c>
      <c r="H283" s="18">
        <v>39056.51</v>
      </c>
      <c r="I283" s="18">
        <v>22099.22</v>
      </c>
      <c r="J283" s="18">
        <v>0</v>
      </c>
      <c r="K283" s="18">
        <v>0</v>
      </c>
      <c r="L283" s="13">
        <f t="shared" si="12"/>
        <v>61155.73</v>
      </c>
      <c r="M283" s="8"/>
      <c r="N283" s="164"/>
    </row>
    <row r="284" spans="1:14" s="3" customFormat="1" ht="12.2" customHeight="1" x14ac:dyDescent="0.15">
      <c r="A284" s="1" t="s">
        <v>444</v>
      </c>
      <c r="B284" s="2" t="s">
        <v>357</v>
      </c>
      <c r="C284" s="2" t="s">
        <v>296</v>
      </c>
      <c r="D284" s="2" t="s">
        <v>431</v>
      </c>
      <c r="E284" s="6">
        <v>2300</v>
      </c>
      <c r="F284" s="18">
        <v>27013.800000000003</v>
      </c>
      <c r="G284" s="18">
        <v>2106.79</v>
      </c>
      <c r="H284" s="18">
        <v>9523.64</v>
      </c>
      <c r="I284" s="18">
        <v>7027.619999999999</v>
      </c>
      <c r="J284" s="18">
        <v>0</v>
      </c>
      <c r="K284" s="18">
        <v>0</v>
      </c>
      <c r="L284" s="13">
        <f t="shared" si="12"/>
        <v>45671.850000000006</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4587.71</v>
      </c>
      <c r="K287" s="18">
        <v>0</v>
      </c>
      <c r="L287" s="13">
        <f t="shared" si="12"/>
        <v>4587.71</v>
      </c>
      <c r="M287" s="8"/>
      <c r="N287" s="164"/>
    </row>
    <row r="288" spans="1:14" s="3" customFormat="1" ht="12.2" customHeight="1" x14ac:dyDescent="0.15">
      <c r="A288" s="1" t="s">
        <v>448</v>
      </c>
      <c r="B288" s="2" t="s">
        <v>357</v>
      </c>
      <c r="C288" s="2" t="s">
        <v>300</v>
      </c>
      <c r="D288" s="2" t="s">
        <v>431</v>
      </c>
      <c r="E288" s="6">
        <v>2700</v>
      </c>
      <c r="F288" s="18">
        <v>0</v>
      </c>
      <c r="G288" s="18">
        <v>0</v>
      </c>
      <c r="H288" s="18">
        <v>2237.29</v>
      </c>
      <c r="I288" s="18">
        <v>0</v>
      </c>
      <c r="J288" s="18">
        <v>0</v>
      </c>
      <c r="K288" s="18">
        <v>0</v>
      </c>
      <c r="L288" s="13">
        <f t="shared" si="12"/>
        <v>2237.29</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633275.13000000012</v>
      </c>
      <c r="G291" s="39">
        <f t="shared" si="13"/>
        <v>261758.64999999994</v>
      </c>
      <c r="H291" s="39">
        <f t="shared" si="13"/>
        <v>50817.440000000002</v>
      </c>
      <c r="I291" s="39">
        <f t="shared" si="13"/>
        <v>42045.09</v>
      </c>
      <c r="J291" s="39">
        <f t="shared" si="13"/>
        <v>4587.71</v>
      </c>
      <c r="K291" s="39">
        <f t="shared" si="13"/>
        <v>0</v>
      </c>
      <c r="L291" s="38">
        <f t="shared" si="13"/>
        <v>992484.01999999979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74081.150000000009</v>
      </c>
      <c r="G297" s="18">
        <v>26149.270000000004</v>
      </c>
      <c r="H297" s="18">
        <v>0</v>
      </c>
      <c r="I297" s="18">
        <v>886.15</v>
      </c>
      <c r="J297" s="18">
        <v>0</v>
      </c>
      <c r="K297" s="18">
        <v>0</v>
      </c>
      <c r="L297" s="13">
        <f>SUM(F297:K297)</f>
        <v>101116.57</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27625</v>
      </c>
      <c r="I299" s="18">
        <v>0</v>
      </c>
      <c r="J299" s="18">
        <v>0</v>
      </c>
      <c r="K299" s="18">
        <v>0</v>
      </c>
      <c r="L299" s="13">
        <f>SUM(F299:K299)</f>
        <v>27625</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14310.84</v>
      </c>
      <c r="I302" s="18">
        <v>9555.65</v>
      </c>
      <c r="J302" s="18">
        <v>0</v>
      </c>
      <c r="K302" s="18">
        <v>0</v>
      </c>
      <c r="L302" s="13">
        <f t="shared" si="14"/>
        <v>23866.489999999998</v>
      </c>
      <c r="M302" s="8"/>
      <c r="N302" s="164"/>
    </row>
    <row r="303" spans="1:14" s="3" customFormat="1" ht="12.2" customHeight="1" x14ac:dyDescent="0.15">
      <c r="A303" s="1" t="s">
        <v>444</v>
      </c>
      <c r="B303" s="2" t="s">
        <v>358</v>
      </c>
      <c r="C303" s="2" t="s">
        <v>296</v>
      </c>
      <c r="D303" s="2" t="s">
        <v>431</v>
      </c>
      <c r="E303" s="6">
        <v>2300</v>
      </c>
      <c r="F303" s="18">
        <v>11680.7</v>
      </c>
      <c r="G303" s="18">
        <v>910.96999999999991</v>
      </c>
      <c r="H303" s="18">
        <v>4117.99</v>
      </c>
      <c r="I303" s="18">
        <v>3038.72</v>
      </c>
      <c r="J303" s="18">
        <v>0</v>
      </c>
      <c r="K303" s="18">
        <v>0</v>
      </c>
      <c r="L303" s="13">
        <f t="shared" si="14"/>
        <v>19748.38</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1983.72</v>
      </c>
      <c r="K306" s="18">
        <v>0</v>
      </c>
      <c r="L306" s="13">
        <f t="shared" si="14"/>
        <v>1983.72</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85761.85</v>
      </c>
      <c r="G310" s="39">
        <f t="shared" si="15"/>
        <v>27060.240000000005</v>
      </c>
      <c r="H310" s="39">
        <f t="shared" si="15"/>
        <v>46053.829999999994</v>
      </c>
      <c r="I310" s="39">
        <f t="shared" si="15"/>
        <v>13480.519999999999</v>
      </c>
      <c r="J310" s="39">
        <f t="shared" si="15"/>
        <v>1983.72</v>
      </c>
      <c r="K310" s="39">
        <f t="shared" si="15"/>
        <v>0</v>
      </c>
      <c r="L310" s="38">
        <f t="shared" si="15"/>
        <v>174340.16</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4"/>
    </row>
    <row r="316" spans="1:14" s="3" customFormat="1" ht="12.2" customHeight="1" x14ac:dyDescent="0.15">
      <c r="A316" s="1" t="s">
        <v>439</v>
      </c>
      <c r="B316" s="2" t="s">
        <v>359</v>
      </c>
      <c r="C316" s="2" t="s">
        <v>291</v>
      </c>
      <c r="D316" s="2" t="s">
        <v>431</v>
      </c>
      <c r="E316" s="6">
        <v>1200</v>
      </c>
      <c r="F316" s="18">
        <v>31534.41</v>
      </c>
      <c r="G316" s="18">
        <v>2412.4</v>
      </c>
      <c r="H316" s="18">
        <v>0</v>
      </c>
      <c r="I316" s="18">
        <v>1268.3900000000001</v>
      </c>
      <c r="J316" s="18">
        <v>0</v>
      </c>
      <c r="K316" s="18">
        <v>0</v>
      </c>
      <c r="L316" s="13">
        <f>SUM(F316:K316)</f>
        <v>35215.199999999997</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1800</v>
      </c>
      <c r="G318" s="18">
        <v>137.69999999999999</v>
      </c>
      <c r="H318" s="18">
        <v>0</v>
      </c>
      <c r="I318" s="18">
        <v>3875.9</v>
      </c>
      <c r="J318" s="18">
        <v>0</v>
      </c>
      <c r="K318" s="18">
        <v>295</v>
      </c>
      <c r="L318" s="13">
        <f>SUM(F318:K318)</f>
        <v>6108.6</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0</v>
      </c>
      <c r="G321" s="18">
        <v>0</v>
      </c>
      <c r="H321" s="18">
        <v>20483.899999999998</v>
      </c>
      <c r="I321" s="18">
        <v>13677.53</v>
      </c>
      <c r="J321" s="18">
        <v>0</v>
      </c>
      <c r="K321" s="18">
        <v>0</v>
      </c>
      <c r="L321" s="13">
        <f t="shared" si="16"/>
        <v>34161.43</v>
      </c>
      <c r="M321" s="8"/>
      <c r="N321" s="164"/>
    </row>
    <row r="322" spans="1:14" s="3" customFormat="1" ht="12.2" customHeight="1" x14ac:dyDescent="0.15">
      <c r="A322" s="1" t="s">
        <v>444</v>
      </c>
      <c r="B322" s="2" t="s">
        <v>359</v>
      </c>
      <c r="C322" s="2" t="s">
        <v>296</v>
      </c>
      <c r="D322" s="2" t="s">
        <v>431</v>
      </c>
      <c r="E322" s="6">
        <v>2300</v>
      </c>
      <c r="F322" s="18">
        <v>16719.25</v>
      </c>
      <c r="G322" s="18">
        <v>1303.92</v>
      </c>
      <c r="H322" s="18">
        <v>5894.34</v>
      </c>
      <c r="I322" s="18">
        <v>4349.5</v>
      </c>
      <c r="J322" s="18">
        <v>0</v>
      </c>
      <c r="K322" s="18">
        <v>0</v>
      </c>
      <c r="L322" s="13">
        <f t="shared" si="16"/>
        <v>28267.01</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2839.4</v>
      </c>
      <c r="K325" s="18">
        <v>0</v>
      </c>
      <c r="L325" s="13">
        <f t="shared" si="16"/>
        <v>2839.4</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50053.66</v>
      </c>
      <c r="G329" s="39">
        <f t="shared" si="17"/>
        <v>3854.02</v>
      </c>
      <c r="H329" s="39">
        <f t="shared" si="17"/>
        <v>26378.239999999998</v>
      </c>
      <c r="I329" s="39">
        <f t="shared" si="17"/>
        <v>23171.32</v>
      </c>
      <c r="J329" s="39">
        <f t="shared" si="17"/>
        <v>2839.4</v>
      </c>
      <c r="K329" s="39">
        <f t="shared" si="17"/>
        <v>295</v>
      </c>
      <c r="L329" s="38">
        <f t="shared" si="17"/>
        <v>106591.63999999998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13365.599999999999</v>
      </c>
      <c r="G336" s="18">
        <v>1022.5</v>
      </c>
      <c r="H336" s="18">
        <v>0</v>
      </c>
      <c r="I336" s="18">
        <v>0</v>
      </c>
      <c r="J336" s="18">
        <v>0</v>
      </c>
      <c r="K336" s="18">
        <v>0</v>
      </c>
      <c r="L336" s="13">
        <f t="shared" si="18"/>
        <v>14388.099999999999</v>
      </c>
      <c r="M336" s="8"/>
      <c r="N336" s="164"/>
    </row>
    <row r="337" spans="1:43" s="3" customFormat="1" ht="12.2" customHeight="1" thickBot="1" x14ac:dyDescent="0.2">
      <c r="A337" s="1" t="s">
        <v>584</v>
      </c>
      <c r="B337" s="6">
        <v>14</v>
      </c>
      <c r="C337" s="6">
        <v>5</v>
      </c>
      <c r="D337" s="2" t="s">
        <v>431</v>
      </c>
      <c r="E337" s="6">
        <v>4000</v>
      </c>
      <c r="F337" s="18">
        <v>0</v>
      </c>
      <c r="G337" s="18">
        <v>0</v>
      </c>
      <c r="H337" s="18">
        <v>283951</v>
      </c>
      <c r="I337" s="18">
        <v>0</v>
      </c>
      <c r="J337" s="18">
        <v>0</v>
      </c>
      <c r="K337" s="18">
        <v>0</v>
      </c>
      <c r="L337" s="13">
        <f t="shared" si="18"/>
        <v>283951</v>
      </c>
      <c r="M337" s="8"/>
      <c r="N337" s="164"/>
    </row>
    <row r="338" spans="1:43" s="3" customFormat="1" ht="12.2" customHeight="1" thickTop="1" thickBot="1" x14ac:dyDescent="0.2">
      <c r="A338" s="46" t="s">
        <v>467</v>
      </c>
      <c r="B338" s="37">
        <v>14</v>
      </c>
      <c r="C338" s="47">
        <v>6</v>
      </c>
      <c r="D338" s="44" t="s">
        <v>431</v>
      </c>
      <c r="E338" s="47"/>
      <c r="F338" s="38">
        <f t="shared" ref="F338:K338" si="19">SUM(F333:F337)</f>
        <v>13365.599999999999</v>
      </c>
      <c r="G338" s="38">
        <f t="shared" si="19"/>
        <v>1022.5</v>
      </c>
      <c r="H338" s="38">
        <f t="shared" si="19"/>
        <v>283951</v>
      </c>
      <c r="I338" s="38">
        <f t="shared" si="19"/>
        <v>0</v>
      </c>
      <c r="J338" s="38">
        <f t="shared" si="19"/>
        <v>0</v>
      </c>
      <c r="K338" s="38">
        <f t="shared" si="19"/>
        <v>0</v>
      </c>
      <c r="L338" s="38">
        <f t="shared" si="18"/>
        <v>298339.09999999998</v>
      </c>
      <c r="M338" s="8"/>
      <c r="N338" s="164"/>
    </row>
    <row r="339" spans="1:43" s="3" customFormat="1" ht="12.2" customHeight="1" thickTop="1" x14ac:dyDescent="0.15">
      <c r="A339" s="35" t="s">
        <v>468</v>
      </c>
      <c r="B339" s="37">
        <v>14</v>
      </c>
      <c r="C339" s="37">
        <v>7</v>
      </c>
      <c r="D339" s="36" t="s">
        <v>431</v>
      </c>
      <c r="E339" s="37"/>
      <c r="F339" s="38">
        <f t="shared" ref="F339:L339" si="20">F291+F310+F329+F338</f>
        <v>782456.24000000011</v>
      </c>
      <c r="G339" s="38">
        <f t="shared" si="20"/>
        <v>293695.40999999997</v>
      </c>
      <c r="H339" s="38">
        <f t="shared" si="20"/>
        <v>407200.51</v>
      </c>
      <c r="I339" s="38">
        <f t="shared" si="20"/>
        <v>78696.929999999993</v>
      </c>
      <c r="J339" s="38">
        <f t="shared" si="20"/>
        <v>9410.83</v>
      </c>
      <c r="K339" s="38">
        <f t="shared" si="20"/>
        <v>295</v>
      </c>
      <c r="L339" s="38">
        <f t="shared" si="20"/>
        <v>1571754.9199999995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20825.650000000001</v>
      </c>
      <c r="L345" s="13">
        <f t="shared" ref="L345:L351" si="21">SUM(F345:K345)</f>
        <v>20825.650000000001</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20825.650000000001</v>
      </c>
      <c r="L352" s="38">
        <f>SUM(L342:L351)</f>
        <v>20825.650000000001</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782456.24000000011</v>
      </c>
      <c r="G353" s="38">
        <f>G339</f>
        <v>293695.40999999997</v>
      </c>
      <c r="H353" s="38">
        <f>H339</f>
        <v>407200.51</v>
      </c>
      <c r="I353" s="38">
        <f>I339</f>
        <v>78696.929999999993</v>
      </c>
      <c r="J353" s="38">
        <f>J339</f>
        <v>9410.83</v>
      </c>
      <c r="K353" s="38">
        <f>K339+K352</f>
        <v>21120.65</v>
      </c>
      <c r="L353" s="38">
        <f>L339+L352</f>
        <v>1592580.5699999994</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0</v>
      </c>
      <c r="G359" s="18">
        <v>0</v>
      </c>
      <c r="H359" s="18">
        <v>308545.18000000005</v>
      </c>
      <c r="I359" s="18">
        <v>23455.86</v>
      </c>
      <c r="J359" s="18">
        <v>5830.42</v>
      </c>
      <c r="K359" s="18">
        <v>0</v>
      </c>
      <c r="L359" s="13">
        <f>SUM(F359:K359)</f>
        <v>337831.46</v>
      </c>
      <c r="M359" s="8"/>
      <c r="N359" s="164"/>
    </row>
    <row r="360" spans="1:22" s="3" customFormat="1" ht="12.2" customHeight="1" x14ac:dyDescent="0.15">
      <c r="A360" s="1" t="s">
        <v>542</v>
      </c>
      <c r="B360" s="2" t="s">
        <v>366</v>
      </c>
      <c r="C360" s="6">
        <v>2</v>
      </c>
      <c r="D360" s="2" t="s">
        <v>431</v>
      </c>
      <c r="E360" s="6"/>
      <c r="F360" s="18">
        <v>0</v>
      </c>
      <c r="G360" s="18">
        <v>0</v>
      </c>
      <c r="H360" s="18">
        <v>132356.18000000002</v>
      </c>
      <c r="I360" s="18">
        <v>1007.29</v>
      </c>
      <c r="J360" s="18">
        <v>2521.06</v>
      </c>
      <c r="K360" s="18">
        <v>0</v>
      </c>
      <c r="L360" s="13">
        <f>SUM(F360:K360)</f>
        <v>135884.53000000003</v>
      </c>
      <c r="M360" s="8"/>
      <c r="N360" s="164"/>
    </row>
    <row r="361" spans="1:22" s="3" customFormat="1" ht="12.2" customHeight="1" x14ac:dyDescent="0.15">
      <c r="A361" s="3" t="s">
        <v>543</v>
      </c>
      <c r="B361" s="2" t="s">
        <v>366</v>
      </c>
      <c r="C361" s="6">
        <v>3</v>
      </c>
      <c r="D361" s="2" t="s">
        <v>431</v>
      </c>
      <c r="E361" s="6"/>
      <c r="F361" s="18">
        <v>0</v>
      </c>
      <c r="G361" s="18">
        <v>0</v>
      </c>
      <c r="H361" s="18">
        <v>189448.77</v>
      </c>
      <c r="I361" s="18">
        <v>1441.77</v>
      </c>
      <c r="J361" s="18">
        <v>3608.52</v>
      </c>
      <c r="K361" s="18">
        <v>0</v>
      </c>
      <c r="L361" s="13">
        <f>SUM(F361:K361)</f>
        <v>194499.05999999997</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630350.13000000012</v>
      </c>
      <c r="I363" s="38">
        <f t="shared" si="22"/>
        <v>25904.920000000002</v>
      </c>
      <c r="J363" s="38">
        <f t="shared" si="22"/>
        <v>11960</v>
      </c>
      <c r="K363" s="38">
        <f t="shared" si="22"/>
        <v>0</v>
      </c>
      <c r="L363" s="38">
        <f t="shared" si="22"/>
        <v>668215.05000000005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20264.900000000001</v>
      </c>
      <c r="G368" s="18">
        <v>0</v>
      </c>
      <c r="H368" s="18">
        <v>0</v>
      </c>
      <c r="I368" s="13">
        <f>SUM(F368:H368)</f>
        <v>20264.900000000001</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3190.9599999999996</v>
      </c>
      <c r="G369" s="53">
        <v>1007.29</v>
      </c>
      <c r="H369" s="53">
        <v>1441.77</v>
      </c>
      <c r="I369" s="13">
        <f>SUM(F369:H369)</f>
        <v>5640.02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23455.86</v>
      </c>
      <c r="G370" s="38">
        <f>SUM(G368:G369)</f>
        <v>1007.29</v>
      </c>
      <c r="H370" s="38">
        <f>SUM(H368:H369)</f>
        <v>1441.77</v>
      </c>
      <c r="I370" s="38">
        <f>SUM(I368:I369)</f>
        <v>25904.920000000002</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400000</v>
      </c>
      <c r="H390" s="18">
        <v>13039.05</v>
      </c>
      <c r="I390" s="18"/>
      <c r="J390" s="23" t="s">
        <v>288</v>
      </c>
      <c r="K390" s="23" t="s">
        <v>288</v>
      </c>
      <c r="L390" s="13">
        <f t="shared" si="25"/>
        <v>413039.05</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400000</v>
      </c>
      <c r="H394" s="97">
        <f>SUM(H388:H393)</f>
        <v>13039.05</v>
      </c>
      <c r="I394" s="54">
        <f>SUM(I388:I393)</f>
        <v>0</v>
      </c>
      <c r="J394" s="42" t="s">
        <v>288</v>
      </c>
      <c r="K394" s="42" t="s">
        <v>288</v>
      </c>
      <c r="L394" s="38">
        <f>SUM(L388:L393)</f>
        <v>413039.05</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150000</v>
      </c>
      <c r="H398" s="18">
        <v>13749.36</v>
      </c>
      <c r="I398" s="18"/>
      <c r="J398" s="23" t="s">
        <v>288</v>
      </c>
      <c r="K398" s="23" t="s">
        <v>288</v>
      </c>
      <c r="L398" s="13">
        <f t="shared" si="26"/>
        <v>163749.35999999999</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33003.08</v>
      </c>
      <c r="I401" s="18"/>
      <c r="J401" s="23" t="s">
        <v>288</v>
      </c>
      <c r="K401" s="23" t="s">
        <v>288</v>
      </c>
      <c r="L401" s="13">
        <f t="shared" si="26"/>
        <v>33003.08</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150000</v>
      </c>
      <c r="H402" s="38">
        <f>SUM(H396:H401)</f>
        <v>46752.44</v>
      </c>
      <c r="I402" s="38">
        <f>SUM(I396:I401)</f>
        <v>0</v>
      </c>
      <c r="J402" s="42" t="s">
        <v>288</v>
      </c>
      <c r="K402" s="42" t="s">
        <v>288</v>
      </c>
      <c r="L402" s="38">
        <f>SUM(L396:L401)</f>
        <v>196752.44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t="s">
        <v>1842</v>
      </c>
      <c r="B404" s="2" t="s">
        <v>381</v>
      </c>
      <c r="C404" s="6">
        <v>15</v>
      </c>
      <c r="D404" s="2" t="s">
        <v>432</v>
      </c>
      <c r="E404" s="6"/>
      <c r="F404" s="18"/>
      <c r="G404" s="18"/>
      <c r="H404" s="18">
        <v>32364.85</v>
      </c>
      <c r="I404" s="18"/>
      <c r="J404" s="23" t="s">
        <v>288</v>
      </c>
      <c r="K404" s="23" t="s">
        <v>288</v>
      </c>
      <c r="L404" s="13">
        <f>SUM(F404:K404)</f>
        <v>32364.85</v>
      </c>
      <c r="M404" s="8"/>
      <c r="N404" s="164"/>
    </row>
    <row r="405" spans="1:21" s="3" customFormat="1" ht="12.2" customHeight="1" x14ac:dyDescent="0.15">
      <c r="A405" s="82" t="s">
        <v>1843</v>
      </c>
      <c r="B405" s="2" t="s">
        <v>381</v>
      </c>
      <c r="C405" s="6">
        <v>16</v>
      </c>
      <c r="D405" s="2" t="s">
        <v>432</v>
      </c>
      <c r="E405" s="6"/>
      <c r="F405" s="18"/>
      <c r="G405" s="18"/>
      <c r="H405" s="18">
        <v>881.88</v>
      </c>
      <c r="I405" s="18"/>
      <c r="J405" s="23" t="s">
        <v>288</v>
      </c>
      <c r="K405" s="23" t="s">
        <v>288</v>
      </c>
      <c r="L405" s="13">
        <f>SUM(F405:K405)</f>
        <v>881.88</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33246.729999999996</v>
      </c>
      <c r="I408" s="38">
        <f>SUM(I404:I407)</f>
        <v>0</v>
      </c>
      <c r="J408" s="45" t="s">
        <v>288</v>
      </c>
      <c r="K408" s="45" t="s">
        <v>288</v>
      </c>
      <c r="L408" s="38">
        <f>SUM(L404:L407)</f>
        <v>33246.729999999996</v>
      </c>
      <c r="M408" s="8"/>
      <c r="N408" s="164"/>
    </row>
    <row r="409" spans="1:21" s="3" customFormat="1" ht="12.2" customHeight="1" thickTop="1" x14ac:dyDescent="0.15">
      <c r="A409" s="61" t="s">
        <v>421</v>
      </c>
      <c r="B409" s="2" t="s">
        <v>381</v>
      </c>
      <c r="C409" s="6">
        <v>20</v>
      </c>
      <c r="D409" s="6"/>
      <c r="E409" s="37"/>
      <c r="F409" s="38">
        <f>F394+F402+F408</f>
        <v>0</v>
      </c>
      <c r="G409" s="38">
        <f>G394+G402+G408</f>
        <v>550000</v>
      </c>
      <c r="H409" s="38">
        <f>H394+H402+H408</f>
        <v>93038.22</v>
      </c>
      <c r="I409" s="38">
        <f>I394+I402+I408</f>
        <v>0</v>
      </c>
      <c r="J409" s="23" t="s">
        <v>288</v>
      </c>
      <c r="K409" s="23" t="s">
        <v>288</v>
      </c>
      <c r="L409" s="38">
        <f>L394+L402+L408</f>
        <v>643038.22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171856.03</v>
      </c>
      <c r="I416" s="18"/>
      <c r="J416" s="18">
        <v>93785</v>
      </c>
      <c r="K416" s="18"/>
      <c r="L416" s="13">
        <f t="shared" si="27"/>
        <v>265641.03000000003</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171856.03</v>
      </c>
      <c r="I420" s="97">
        <f t="shared" si="28"/>
        <v>0</v>
      </c>
      <c r="J420" s="97">
        <f t="shared" si="28"/>
        <v>93785</v>
      </c>
      <c r="K420" s="97">
        <f t="shared" si="28"/>
        <v>0</v>
      </c>
      <c r="L420" s="38">
        <f t="shared" si="28"/>
        <v>265641.03000000003</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v>2611.37</v>
      </c>
      <c r="I424" s="18"/>
      <c r="J424" s="18"/>
      <c r="K424" s="18"/>
      <c r="L424" s="13">
        <f t="shared" si="29"/>
        <v>2611.37</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41352.44</v>
      </c>
      <c r="I427" s="18">
        <v>14134</v>
      </c>
      <c r="J427" s="18"/>
      <c r="K427" s="18"/>
      <c r="L427" s="13">
        <f t="shared" si="29"/>
        <v>55486.44</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43963.810000000005</v>
      </c>
      <c r="I428" s="38">
        <f t="shared" si="30"/>
        <v>14134</v>
      </c>
      <c r="J428" s="38">
        <f t="shared" si="30"/>
        <v>0</v>
      </c>
      <c r="K428" s="38">
        <f t="shared" si="30"/>
        <v>0</v>
      </c>
      <c r="L428" s="38">
        <f t="shared" si="30"/>
        <v>58097.810000000005</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t="s">
        <v>1842</v>
      </c>
      <c r="B430" s="6">
        <v>17</v>
      </c>
      <c r="C430" s="6">
        <v>15</v>
      </c>
      <c r="D430" s="2" t="s">
        <v>432</v>
      </c>
      <c r="E430" s="6"/>
      <c r="F430" s="18"/>
      <c r="G430" s="18"/>
      <c r="H430" s="18">
        <v>37080.35</v>
      </c>
      <c r="I430" s="18"/>
      <c r="J430" s="18"/>
      <c r="K430" s="18"/>
      <c r="L430" s="13">
        <f>SUM(F430:K430)</f>
        <v>37080.35</v>
      </c>
      <c r="M430" s="8"/>
      <c r="N430" s="164"/>
    </row>
    <row r="431" spans="1:21" ht="12.2" customHeight="1" x14ac:dyDescent="0.2">
      <c r="A431" s="82" t="s">
        <v>1843</v>
      </c>
      <c r="B431" s="6">
        <v>17</v>
      </c>
      <c r="C431" s="6">
        <v>16</v>
      </c>
      <c r="D431" s="2" t="s">
        <v>432</v>
      </c>
      <c r="E431" s="6"/>
      <c r="F431" s="18"/>
      <c r="G431" s="18"/>
      <c r="H431" s="18">
        <v>389.68</v>
      </c>
      <c r="I431" s="18"/>
      <c r="J431" s="18"/>
      <c r="K431" s="18"/>
      <c r="L431" s="13">
        <f>SUM(F431:K431)</f>
        <v>389.68</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37470.03</v>
      </c>
      <c r="I434" s="38">
        <f t="shared" si="31"/>
        <v>0</v>
      </c>
      <c r="J434" s="38">
        <f t="shared" si="31"/>
        <v>0</v>
      </c>
      <c r="K434" s="38">
        <f t="shared" si="31"/>
        <v>0</v>
      </c>
      <c r="L434" s="38">
        <f t="shared" si="31"/>
        <v>37470.03</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253289.87</v>
      </c>
      <c r="I435" s="38">
        <f t="shared" si="32"/>
        <v>14134</v>
      </c>
      <c r="J435" s="38">
        <f t="shared" si="32"/>
        <v>93785</v>
      </c>
      <c r="K435" s="38">
        <f t="shared" si="32"/>
        <v>0</v>
      </c>
      <c r="L435" s="38">
        <f t="shared" si="32"/>
        <v>361208.87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353693.93</v>
      </c>
      <c r="G441" s="18">
        <v>1770723.5200000003</v>
      </c>
      <c r="H441" s="18">
        <v>1332265.3899999999</v>
      </c>
      <c r="I441" s="13">
        <f t="shared" si="33"/>
        <v>3456682.84</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15453</v>
      </c>
      <c r="G442" s="18">
        <v>28265.79</v>
      </c>
      <c r="H442" s="18"/>
      <c r="I442" s="13">
        <f t="shared" si="33"/>
        <v>43718.79</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369146.93</v>
      </c>
      <c r="G447" s="13">
        <f>SUM(G440:G446)</f>
        <v>1798989.3100000003</v>
      </c>
      <c r="H447" s="13">
        <f>SUM(H440:H446)</f>
        <v>1332265.3899999999</v>
      </c>
      <c r="I447" s="13">
        <f>SUM(I440:I446)</f>
        <v>3500401.63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v>27465.25</v>
      </c>
      <c r="G450" s="18">
        <v>28265.79</v>
      </c>
      <c r="H450" s="18"/>
      <c r="I450" s="13">
        <f>SUM(F450:H450)</f>
        <v>55731.040000000001</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15453</v>
      </c>
      <c r="G451" s="18">
        <v>28265.79</v>
      </c>
      <c r="H451" s="18"/>
      <c r="I451" s="13">
        <f>SUM(F451:H451)</f>
        <v>43718.79</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42918.25</v>
      </c>
      <c r="G453" s="57">
        <f>SUM(G449:G452)</f>
        <v>56531.58</v>
      </c>
      <c r="H453" s="57">
        <f>SUM(H449:H452)</f>
        <v>0</v>
      </c>
      <c r="I453" s="57">
        <f>SUM(I449:I452)</f>
        <v>99449.83</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326228.68</v>
      </c>
      <c r="G457" s="18">
        <v>1742457.7300000002</v>
      </c>
      <c r="H457" s="18">
        <v>1332265.3899999999</v>
      </c>
      <c r="I457" s="13">
        <f t="shared" si="34"/>
        <v>3400951.8</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326228.68</v>
      </c>
      <c r="G461" s="65">
        <f>SUM(G455:G460)</f>
        <v>1742457.7300000002</v>
      </c>
      <c r="H461" s="65">
        <f>SUM(H455:H460)</f>
        <v>1332265.3899999999</v>
      </c>
      <c r="I461" s="65">
        <f>SUM(I455:I460)</f>
        <v>3400951.8</v>
      </c>
      <c r="J461" s="23" t="s">
        <v>288</v>
      </c>
      <c r="K461" s="23" t="s">
        <v>288</v>
      </c>
      <c r="L461" s="23" t="s">
        <v>288</v>
      </c>
      <c r="N461" s="130"/>
    </row>
    <row r="462" spans="1:86" ht="12.2" customHeight="1" thickTop="1" x14ac:dyDescent="0.2">
      <c r="A462" s="40" t="s">
        <v>424</v>
      </c>
      <c r="B462" s="41">
        <v>18</v>
      </c>
      <c r="C462" s="64">
        <v>21</v>
      </c>
      <c r="D462" s="114" t="s">
        <v>432</v>
      </c>
      <c r="E462" s="64"/>
      <c r="F462" s="39">
        <f>F453+F461</f>
        <v>369146.93</v>
      </c>
      <c r="G462" s="39">
        <f>G453+G461</f>
        <v>1798989.3100000003</v>
      </c>
      <c r="H462" s="39">
        <f>H453+H461</f>
        <v>1332265.3899999999</v>
      </c>
      <c r="I462" s="39">
        <f>I453+I461</f>
        <v>3500401.63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1821376.69</v>
      </c>
      <c r="G466" s="18">
        <v>106434.75</v>
      </c>
      <c r="H466" s="18">
        <v>0</v>
      </c>
      <c r="I466" s="18">
        <v>0</v>
      </c>
      <c r="J466" s="18">
        <v>3119122.45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29422713.800000001</v>
      </c>
      <c r="G469" s="18">
        <v>656255.05000000005</v>
      </c>
      <c r="H469" s="18">
        <v>1592580.57</v>
      </c>
      <c r="I469" s="18">
        <v>0</v>
      </c>
      <c r="J469" s="18">
        <v>643038.22</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29422713.800000001</v>
      </c>
      <c r="G471" s="19">
        <f>SUM(G469:G470)</f>
        <v>656255.05000000005</v>
      </c>
      <c r="H471" s="19">
        <f>SUM(H469:H470)</f>
        <v>1592580.57</v>
      </c>
      <c r="I471" s="19">
        <f>SUM(I469:I470)</f>
        <v>0</v>
      </c>
      <c r="J471" s="19">
        <f>SUM(J469:J470)</f>
        <v>643038.22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28237487.280000001</v>
      </c>
      <c r="G473" s="18">
        <v>668215.05000000005</v>
      </c>
      <c r="H473" s="18">
        <v>1592580.57</v>
      </c>
      <c r="I473" s="18">
        <v>0</v>
      </c>
      <c r="J473" s="18">
        <v>361208.87</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28237487.280000001</v>
      </c>
      <c r="G475" s="19">
        <f>SUM(G473:G474)</f>
        <v>668215.05000000005</v>
      </c>
      <c r="H475" s="19">
        <f>SUM(H473:H474)</f>
        <v>1592580.57</v>
      </c>
      <c r="I475" s="19">
        <f>SUM(I473:I474)</f>
        <v>0</v>
      </c>
      <c r="J475" s="19">
        <f>SUM(J473:J474)</f>
        <v>361208.87</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3006603.2100000009</v>
      </c>
      <c r="G477" s="19">
        <f>(G466+G471)- G475</f>
        <v>94474.75</v>
      </c>
      <c r="H477" s="19">
        <f>(H466+H471)- H475</f>
        <v>0</v>
      </c>
      <c r="I477" s="19">
        <f>(I466+I471)- I475</f>
        <v>0</v>
      </c>
      <c r="J477" s="19">
        <f>(J466+J471)- J475</f>
        <v>3400951.8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1840</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1841</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1446400</v>
      </c>
      <c r="G494" s="18"/>
      <c r="H494" s="18"/>
      <c r="I494" s="18"/>
      <c r="J494" s="18"/>
      <c r="K494" s="23" t="s">
        <v>288</v>
      </c>
      <c r="L494" s="23" t="s">
        <v>288</v>
      </c>
      <c r="N494" s="130"/>
    </row>
    <row r="495" spans="1:14" ht="12.2" customHeight="1" x14ac:dyDescent="0.2">
      <c r="A495" s="21" t="s">
        <v>618</v>
      </c>
      <c r="B495" s="22">
        <v>20</v>
      </c>
      <c r="C495" s="22">
        <v>5</v>
      </c>
      <c r="D495" s="2" t="s">
        <v>432</v>
      </c>
      <c r="E495" s="22"/>
      <c r="F495" s="18">
        <v>5.0999999999999996</v>
      </c>
      <c r="G495" s="18"/>
      <c r="H495" s="18"/>
      <c r="I495" s="18"/>
      <c r="J495" s="18"/>
      <c r="K495" s="23" t="s">
        <v>288</v>
      </c>
      <c r="L495" s="23" t="s">
        <v>288</v>
      </c>
      <c r="N495" s="130"/>
    </row>
    <row r="496" spans="1:14" ht="12.2" customHeight="1" x14ac:dyDescent="0.2">
      <c r="A496" s="21" t="s">
        <v>619</v>
      </c>
      <c r="B496" s="22">
        <v>20</v>
      </c>
      <c r="C496" s="22">
        <v>6</v>
      </c>
      <c r="D496" s="2" t="s">
        <v>432</v>
      </c>
      <c r="E496" s="22"/>
      <c r="F496" s="18">
        <v>725000</v>
      </c>
      <c r="G496" s="18"/>
      <c r="H496" s="18"/>
      <c r="I496" s="18"/>
      <c r="J496" s="18"/>
      <c r="K496" s="19">
        <f>SUM(F496:J496)</f>
        <v>725000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145000</v>
      </c>
      <c r="G498" s="18"/>
      <c r="H498" s="18"/>
      <c r="I498" s="18"/>
      <c r="J498" s="18"/>
      <c r="K498" s="19">
        <f t="shared" si="35"/>
        <v>145000</v>
      </c>
      <c r="L498" s="23" t="s">
        <v>288</v>
      </c>
      <c r="N498" s="130"/>
    </row>
    <row r="499" spans="1:14" ht="12.2" customHeight="1" x14ac:dyDescent="0.2">
      <c r="A499" s="143" t="s">
        <v>622</v>
      </c>
      <c r="B499" s="144">
        <v>20</v>
      </c>
      <c r="C499" s="144">
        <v>9</v>
      </c>
      <c r="D499" s="145" t="s">
        <v>432</v>
      </c>
      <c r="E499" s="144"/>
      <c r="F499" s="146">
        <v>580000</v>
      </c>
      <c r="G499" s="146"/>
      <c r="H499" s="146"/>
      <c r="I499" s="146"/>
      <c r="J499" s="146"/>
      <c r="K499" s="147">
        <f t="shared" si="35"/>
        <v>580000</v>
      </c>
      <c r="L499" s="148" t="s">
        <v>288</v>
      </c>
      <c r="N499" s="130"/>
    </row>
    <row r="500" spans="1:14" ht="12.2" customHeight="1" thickBot="1" x14ac:dyDescent="0.25">
      <c r="A500" s="21" t="s">
        <v>623</v>
      </c>
      <c r="B500" s="22">
        <v>20</v>
      </c>
      <c r="C500" s="22">
        <v>10</v>
      </c>
      <c r="D500" s="2" t="s">
        <v>432</v>
      </c>
      <c r="E500" s="22"/>
      <c r="F500" s="18">
        <v>59160</v>
      </c>
      <c r="G500" s="18"/>
      <c r="H500" s="18"/>
      <c r="I500" s="18"/>
      <c r="J500" s="18"/>
      <c r="K500" s="19">
        <f t="shared" si="35"/>
        <v>59160</v>
      </c>
      <c r="L500" s="23" t="s">
        <v>288</v>
      </c>
      <c r="N500" s="130"/>
    </row>
    <row r="501" spans="1:14" ht="12.2" customHeight="1" thickTop="1" x14ac:dyDescent="0.2">
      <c r="A501" s="97" t="s">
        <v>624</v>
      </c>
      <c r="B501" s="41">
        <v>20</v>
      </c>
      <c r="C501" s="41">
        <v>11</v>
      </c>
      <c r="D501" s="36" t="s">
        <v>432</v>
      </c>
      <c r="E501" s="41"/>
      <c r="F501" s="39">
        <f>SUM(F499:F500)</f>
        <v>639160</v>
      </c>
      <c r="G501" s="39">
        <f>SUM(G499:G500)</f>
        <v>0</v>
      </c>
      <c r="H501" s="39">
        <f>SUM(H499:H500)</f>
        <v>0</v>
      </c>
      <c r="I501" s="39">
        <f>SUM(I499:I500)</f>
        <v>0</v>
      </c>
      <c r="J501" s="39">
        <f>SUM(J499:J500)</f>
        <v>0</v>
      </c>
      <c r="K501" s="39">
        <f t="shared" si="35"/>
        <v>639160</v>
      </c>
      <c r="L501" s="42" t="s">
        <v>288</v>
      </c>
      <c r="N501" s="130"/>
    </row>
    <row r="502" spans="1:14" ht="12.2" customHeight="1" x14ac:dyDescent="0.2">
      <c r="A502" s="143" t="s">
        <v>651</v>
      </c>
      <c r="B502" s="144">
        <v>20</v>
      </c>
      <c r="C502" s="144">
        <v>12</v>
      </c>
      <c r="D502" s="145" t="s">
        <v>432</v>
      </c>
      <c r="E502" s="144"/>
      <c r="F502" s="146">
        <v>145000</v>
      </c>
      <c r="G502" s="146"/>
      <c r="H502" s="146"/>
      <c r="I502" s="146"/>
      <c r="J502" s="146"/>
      <c r="K502" s="147">
        <f t="shared" si="35"/>
        <v>145000</v>
      </c>
      <c r="L502" s="148" t="s">
        <v>288</v>
      </c>
      <c r="N502" s="130"/>
    </row>
    <row r="503" spans="1:14" ht="12.2" customHeight="1" thickBot="1" x14ac:dyDescent="0.25">
      <c r="A503" s="21" t="s">
        <v>625</v>
      </c>
      <c r="B503" s="22">
        <v>20</v>
      </c>
      <c r="C503" s="22">
        <v>13</v>
      </c>
      <c r="D503" s="2" t="s">
        <v>432</v>
      </c>
      <c r="E503" s="22"/>
      <c r="F503" s="18">
        <v>25882.5</v>
      </c>
      <c r="G503" s="18"/>
      <c r="H503" s="18"/>
      <c r="I503" s="18"/>
      <c r="J503" s="18"/>
      <c r="K503" s="19">
        <f t="shared" si="35"/>
        <v>25882.5</v>
      </c>
      <c r="L503" s="23" t="s">
        <v>288</v>
      </c>
      <c r="N503" s="130"/>
    </row>
    <row r="504" spans="1:14" ht="12.2" customHeight="1" thickTop="1" x14ac:dyDescent="0.2">
      <c r="A504" s="97" t="s">
        <v>626</v>
      </c>
      <c r="B504" s="41">
        <v>20</v>
      </c>
      <c r="C504" s="41">
        <v>14</v>
      </c>
      <c r="D504" s="36" t="s">
        <v>432</v>
      </c>
      <c r="E504" s="41"/>
      <c r="F504" s="39">
        <f>SUM(F502:F503)</f>
        <v>170882.5</v>
      </c>
      <c r="G504" s="39">
        <f>SUM(G502:G503)</f>
        <v>0</v>
      </c>
      <c r="H504" s="39">
        <f>SUM(H502:H503)</f>
        <v>0</v>
      </c>
      <c r="I504" s="39">
        <f>SUM(I502:I503)</f>
        <v>0</v>
      </c>
      <c r="J504" s="39">
        <f>SUM(J502:J503)</f>
        <v>0</v>
      </c>
      <c r="K504" s="39">
        <f t="shared" si="35"/>
        <v>170882.5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v>1031226.11</v>
      </c>
      <c r="G508" s="101"/>
      <c r="H508" s="101">
        <v>187912.67</v>
      </c>
      <c r="I508" s="101">
        <v>843313.44</v>
      </c>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v>750120.15</v>
      </c>
      <c r="G512" s="23" t="s">
        <v>288</v>
      </c>
      <c r="H512" s="18">
        <v>750120.15</v>
      </c>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v>1544082.35</v>
      </c>
      <c r="G513" s="23" t="s">
        <v>288</v>
      </c>
      <c r="H513" s="18">
        <v>1549718.35</v>
      </c>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v>32200143.93</v>
      </c>
      <c r="G514" s="23" t="s">
        <v>288</v>
      </c>
      <c r="H514" s="18">
        <v>36692418.93</v>
      </c>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v>1467647.58</v>
      </c>
      <c r="G515" s="23" t="s">
        <v>288</v>
      </c>
      <c r="H515" s="18">
        <v>1753190.27</v>
      </c>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v>3461786.25</v>
      </c>
      <c r="G516" s="23" t="s">
        <v>288</v>
      </c>
      <c r="H516" s="18">
        <v>230850</v>
      </c>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v>39423780.259999998</v>
      </c>
      <c r="H517" s="23" t="s">
        <v>288</v>
      </c>
      <c r="I517" s="18">
        <v>40976297.700000003</v>
      </c>
      <c r="J517" s="23" t="s">
        <v>288</v>
      </c>
      <c r="K517" s="23" t="s">
        <v>288</v>
      </c>
      <c r="L517" s="23" t="s">
        <v>288</v>
      </c>
      <c r="N517" s="130"/>
    </row>
    <row r="518" spans="1:14" ht="12.2" customHeight="1" thickTop="1" x14ac:dyDescent="0.2">
      <c r="A518" s="74" t="s">
        <v>427</v>
      </c>
      <c r="B518" s="22">
        <v>20</v>
      </c>
      <c r="C518" s="22">
        <v>22</v>
      </c>
      <c r="D518" s="2" t="s">
        <v>432</v>
      </c>
      <c r="E518" s="22"/>
      <c r="F518" s="39">
        <f>SUM(F512:F517)</f>
        <v>39423780.259999998</v>
      </c>
      <c r="G518" s="39">
        <f>SUM(G512:G517)</f>
        <v>39423780.259999998</v>
      </c>
      <c r="H518" s="39">
        <f>SUM(H512:H517)</f>
        <v>40976297.700000003</v>
      </c>
      <c r="I518" s="39">
        <f>SUM(I512:I517)</f>
        <v>40976297.700000003</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1704538.38</v>
      </c>
      <c r="G522" s="18">
        <v>751908.0900000002</v>
      </c>
      <c r="H522" s="18">
        <v>531834.82000000007</v>
      </c>
      <c r="I522" s="18">
        <v>13681.01</v>
      </c>
      <c r="J522" s="18">
        <v>0</v>
      </c>
      <c r="K522" s="18">
        <v>0</v>
      </c>
      <c r="L522" s="69">
        <f>SUM(F522:K522)</f>
        <v>3001962.3</v>
      </c>
      <c r="N522" s="130"/>
    </row>
    <row r="523" spans="1:14" ht="12.2" customHeight="1" x14ac:dyDescent="0.2">
      <c r="A523" s="21" t="s">
        <v>634</v>
      </c>
      <c r="B523" s="22">
        <v>21</v>
      </c>
      <c r="C523" s="22">
        <v>2</v>
      </c>
      <c r="D523" s="2" t="s">
        <v>432</v>
      </c>
      <c r="E523" s="22"/>
      <c r="F523" s="18">
        <v>450198.75000000006</v>
      </c>
      <c r="G523" s="18">
        <v>247100.94</v>
      </c>
      <c r="H523" s="18">
        <v>373123.4</v>
      </c>
      <c r="I523" s="18">
        <v>5586.0899999999992</v>
      </c>
      <c r="J523" s="18">
        <v>0</v>
      </c>
      <c r="K523" s="18">
        <v>0</v>
      </c>
      <c r="L523" s="69">
        <f>SUM(F523:K523)</f>
        <v>1076009.1800000002</v>
      </c>
      <c r="N523" s="130"/>
    </row>
    <row r="524" spans="1:14" ht="12.2" customHeight="1" thickBot="1" x14ac:dyDescent="0.25">
      <c r="A524" s="21" t="s">
        <v>635</v>
      </c>
      <c r="B524" s="22">
        <v>21</v>
      </c>
      <c r="C524" s="22">
        <v>3</v>
      </c>
      <c r="D524" s="2" t="s">
        <v>432</v>
      </c>
      <c r="E524" s="22"/>
      <c r="F524" s="18">
        <v>483309.74999999994</v>
      </c>
      <c r="G524" s="18">
        <v>221045.52000000002</v>
      </c>
      <c r="H524" s="18">
        <v>1191811.9500000002</v>
      </c>
      <c r="I524" s="18">
        <v>5299.99</v>
      </c>
      <c r="J524" s="18">
        <v>0</v>
      </c>
      <c r="K524" s="18">
        <v>0</v>
      </c>
      <c r="L524" s="69">
        <f>SUM(F524:K524)</f>
        <v>1901467.2100000002</v>
      </c>
      <c r="N524" s="130"/>
    </row>
    <row r="525" spans="1:14" ht="12.2" customHeight="1" thickTop="1" x14ac:dyDescent="0.2">
      <c r="A525" s="97" t="s">
        <v>63</v>
      </c>
      <c r="B525" s="41">
        <v>21</v>
      </c>
      <c r="C525" s="41">
        <v>4</v>
      </c>
      <c r="D525" s="115" t="s">
        <v>432</v>
      </c>
      <c r="E525" s="41"/>
      <c r="F525" s="81">
        <f>SUM(F522:F524)</f>
        <v>2638046.88</v>
      </c>
      <c r="G525" s="81">
        <f t="shared" ref="G525:L525" si="36">SUM(G522:G524)</f>
        <v>1220054.5500000003</v>
      </c>
      <c r="H525" s="81">
        <f t="shared" si="36"/>
        <v>2096770.1700000004</v>
      </c>
      <c r="I525" s="81">
        <f t="shared" si="36"/>
        <v>24567.089999999997</v>
      </c>
      <c r="J525" s="81">
        <f t="shared" si="36"/>
        <v>0</v>
      </c>
      <c r="K525" s="81">
        <f t="shared" si="36"/>
        <v>0</v>
      </c>
      <c r="L525" s="70">
        <f t="shared" si="36"/>
        <v>5979438.6900000004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162301.76000000001</v>
      </c>
      <c r="G527" s="18">
        <v>91668.739999999991</v>
      </c>
      <c r="H527" s="18">
        <v>260170.99000000005</v>
      </c>
      <c r="I527" s="18">
        <v>10903.26</v>
      </c>
      <c r="J527" s="18">
        <v>0</v>
      </c>
      <c r="K527" s="18">
        <v>0</v>
      </c>
      <c r="L527" s="69">
        <f>SUM(F527:K527)</f>
        <v>525044.75</v>
      </c>
      <c r="M527" s="8"/>
      <c r="N527" s="164"/>
    </row>
    <row r="528" spans="1:14" s="3" customFormat="1" ht="12.2" customHeight="1" x14ac:dyDescent="0.15">
      <c r="A528" s="21" t="s">
        <v>634</v>
      </c>
      <c r="B528" s="22">
        <v>21</v>
      </c>
      <c r="C528" s="22">
        <v>6</v>
      </c>
      <c r="D528" s="2" t="s">
        <v>432</v>
      </c>
      <c r="E528" s="22"/>
      <c r="F528" s="18">
        <v>80802.239999999991</v>
      </c>
      <c r="G528" s="18">
        <v>45739.26</v>
      </c>
      <c r="H528" s="18">
        <v>70372.44</v>
      </c>
      <c r="I528" s="18">
        <v>6684.5</v>
      </c>
      <c r="J528" s="18">
        <v>0</v>
      </c>
      <c r="K528" s="18">
        <v>0</v>
      </c>
      <c r="L528" s="69">
        <f>SUM(F528:K528)</f>
        <v>203598.44</v>
      </c>
      <c r="M528" s="8"/>
      <c r="N528" s="164"/>
    </row>
    <row r="529" spans="1:14" s="3" customFormat="1" ht="12.2" customHeight="1" thickBot="1" x14ac:dyDescent="0.2">
      <c r="A529" s="21" t="s">
        <v>635</v>
      </c>
      <c r="B529" s="22">
        <v>21</v>
      </c>
      <c r="C529" s="22">
        <v>7</v>
      </c>
      <c r="D529" s="2" t="s">
        <v>432</v>
      </c>
      <c r="E529" s="22"/>
      <c r="F529" s="18">
        <v>85501</v>
      </c>
      <c r="G529" s="18">
        <v>46979.18</v>
      </c>
      <c r="H529" s="18">
        <v>78325.579999999958</v>
      </c>
      <c r="I529" s="18">
        <v>6036.4800000000005</v>
      </c>
      <c r="J529" s="18">
        <v>0</v>
      </c>
      <c r="K529" s="18">
        <v>0</v>
      </c>
      <c r="L529" s="69">
        <f>SUM(F529:K529)</f>
        <v>216842.23999999996</v>
      </c>
      <c r="M529" s="8"/>
      <c r="N529" s="164"/>
    </row>
    <row r="530" spans="1:14" s="3" customFormat="1" ht="12.2" customHeight="1" thickTop="1" x14ac:dyDescent="0.15">
      <c r="A530" s="97" t="s">
        <v>65</v>
      </c>
      <c r="B530" s="41">
        <v>21</v>
      </c>
      <c r="C530" s="41">
        <v>8</v>
      </c>
      <c r="D530" s="115" t="s">
        <v>432</v>
      </c>
      <c r="E530" s="41"/>
      <c r="F530" s="70">
        <f>SUM(F527:F529)</f>
        <v>328605</v>
      </c>
      <c r="G530" s="70">
        <f t="shared" ref="G530:L530" si="37">SUM(G527:G529)</f>
        <v>184387.18</v>
      </c>
      <c r="H530" s="70">
        <f t="shared" si="37"/>
        <v>408869.01</v>
      </c>
      <c r="I530" s="70">
        <f t="shared" si="37"/>
        <v>23624.240000000002</v>
      </c>
      <c r="J530" s="70">
        <f t="shared" si="37"/>
        <v>0</v>
      </c>
      <c r="K530" s="70">
        <f t="shared" si="37"/>
        <v>0</v>
      </c>
      <c r="L530" s="70">
        <f t="shared" si="37"/>
        <v>945485.42999999993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159756.37</v>
      </c>
      <c r="G532" s="18">
        <v>89507.200000000026</v>
      </c>
      <c r="H532" s="18">
        <v>2492.5300000000002</v>
      </c>
      <c r="I532" s="18">
        <v>3667.84</v>
      </c>
      <c r="J532" s="18">
        <v>0</v>
      </c>
      <c r="K532" s="18">
        <v>5591.2000000000007</v>
      </c>
      <c r="L532" s="69">
        <f>SUM(F532:K532)</f>
        <v>261015.14</v>
      </c>
      <c r="M532" s="8"/>
      <c r="N532" s="164"/>
    </row>
    <row r="533" spans="1:14" s="3" customFormat="1" ht="12.2" customHeight="1" x14ac:dyDescent="0.15">
      <c r="A533" s="21" t="s">
        <v>634</v>
      </c>
      <c r="B533" s="22">
        <v>21</v>
      </c>
      <c r="C533" s="22">
        <v>10</v>
      </c>
      <c r="D533" s="2" t="s">
        <v>432</v>
      </c>
      <c r="E533" s="22"/>
      <c r="F533" s="18">
        <v>69078.27</v>
      </c>
      <c r="G533" s="18">
        <v>38702.689999999995</v>
      </c>
      <c r="H533" s="18">
        <v>1077.76</v>
      </c>
      <c r="I533" s="18">
        <v>1585.97</v>
      </c>
      <c r="J533" s="18">
        <v>0</v>
      </c>
      <c r="K533" s="18">
        <v>2417.62</v>
      </c>
      <c r="L533" s="69">
        <f>SUM(F533:K533)</f>
        <v>112862.30999999998</v>
      </c>
      <c r="M533" s="8"/>
      <c r="N533" s="164"/>
    </row>
    <row r="534" spans="1:14" s="3" customFormat="1" ht="12.2" customHeight="1" thickBot="1" x14ac:dyDescent="0.2">
      <c r="A534" s="21" t="s">
        <v>635</v>
      </c>
      <c r="B534" s="22">
        <v>21</v>
      </c>
      <c r="C534" s="22">
        <v>11</v>
      </c>
      <c r="D534" s="2" t="s">
        <v>432</v>
      </c>
      <c r="E534" s="22"/>
      <c r="F534" s="18">
        <v>98875.58</v>
      </c>
      <c r="G534" s="18">
        <v>55397.32</v>
      </c>
      <c r="H534" s="18">
        <v>1542.68</v>
      </c>
      <c r="I534" s="18">
        <v>2270.09</v>
      </c>
      <c r="J534" s="18">
        <v>0</v>
      </c>
      <c r="K534" s="18">
        <v>3460.48</v>
      </c>
      <c r="L534" s="69">
        <f>SUM(F534:K534)</f>
        <v>161546.15</v>
      </c>
      <c r="M534" s="8"/>
      <c r="N534" s="164"/>
    </row>
    <row r="535" spans="1:14" s="3" customFormat="1" ht="12.2" customHeight="1" thickTop="1" x14ac:dyDescent="0.15">
      <c r="A535" s="97" t="s">
        <v>67</v>
      </c>
      <c r="B535" s="41">
        <v>21</v>
      </c>
      <c r="C535" s="41">
        <v>12</v>
      </c>
      <c r="D535" s="115" t="s">
        <v>432</v>
      </c>
      <c r="E535" s="41"/>
      <c r="F535" s="70">
        <f>SUM(F532:F534)</f>
        <v>327710.22000000003</v>
      </c>
      <c r="G535" s="70">
        <f t="shared" ref="G535:L535" si="38">SUM(G532:G534)</f>
        <v>183607.21000000002</v>
      </c>
      <c r="H535" s="70">
        <f t="shared" si="38"/>
        <v>5112.97</v>
      </c>
      <c r="I535" s="70">
        <f t="shared" si="38"/>
        <v>7523.9000000000005</v>
      </c>
      <c r="J535" s="70">
        <f t="shared" si="38"/>
        <v>0</v>
      </c>
      <c r="K535" s="70">
        <f t="shared" si="38"/>
        <v>11469.300000000001</v>
      </c>
      <c r="L535" s="70">
        <f t="shared" si="38"/>
        <v>535423.6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1764.84</v>
      </c>
      <c r="I537" s="18">
        <v>0</v>
      </c>
      <c r="J537" s="18">
        <v>0</v>
      </c>
      <c r="K537" s="18">
        <v>0</v>
      </c>
      <c r="L537" s="69">
        <f>SUM(F537:K537)</f>
        <v>1764.84</v>
      </c>
      <c r="M537" s="8"/>
      <c r="N537" s="164"/>
    </row>
    <row r="538" spans="1:14" s="3" customFormat="1" ht="12.2" customHeight="1" x14ac:dyDescent="0.15">
      <c r="A538" s="21" t="s">
        <v>634</v>
      </c>
      <c r="B538" s="22">
        <v>21</v>
      </c>
      <c r="C538" s="22">
        <v>14</v>
      </c>
      <c r="D538" s="2" t="s">
        <v>432</v>
      </c>
      <c r="E538" s="22"/>
      <c r="F538" s="18">
        <v>0</v>
      </c>
      <c r="G538" s="18">
        <v>0</v>
      </c>
      <c r="H538" s="18">
        <v>763.11</v>
      </c>
      <c r="I538" s="18">
        <v>0</v>
      </c>
      <c r="J538" s="18">
        <v>0</v>
      </c>
      <c r="K538" s="18">
        <v>0</v>
      </c>
      <c r="L538" s="69">
        <f>SUM(F538:K538)</f>
        <v>763.11</v>
      </c>
      <c r="M538" s="8"/>
      <c r="N538" s="164"/>
    </row>
    <row r="539" spans="1:14" s="3" customFormat="1" ht="12.2" customHeight="1" thickBot="1" x14ac:dyDescent="0.2">
      <c r="A539" s="21" t="s">
        <v>635</v>
      </c>
      <c r="B539" s="22">
        <v>21</v>
      </c>
      <c r="C539" s="22">
        <v>15</v>
      </c>
      <c r="D539" s="2" t="s">
        <v>432</v>
      </c>
      <c r="E539" s="22"/>
      <c r="F539" s="18">
        <v>0</v>
      </c>
      <c r="G539" s="18">
        <v>0</v>
      </c>
      <c r="H539" s="18">
        <v>1092.29</v>
      </c>
      <c r="I539" s="18">
        <v>0</v>
      </c>
      <c r="J539" s="18">
        <v>0</v>
      </c>
      <c r="K539" s="18">
        <v>0</v>
      </c>
      <c r="L539" s="69">
        <f>SUM(F539:K539)</f>
        <v>1092.29</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3620.24</v>
      </c>
      <c r="I540" s="70">
        <f t="shared" si="39"/>
        <v>0</v>
      </c>
      <c r="J540" s="70">
        <f t="shared" si="39"/>
        <v>0</v>
      </c>
      <c r="K540" s="70">
        <f t="shared" si="39"/>
        <v>0</v>
      </c>
      <c r="L540" s="70">
        <f t="shared" si="39"/>
        <v>3620.24</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261949.07</v>
      </c>
      <c r="I542" s="18">
        <v>0</v>
      </c>
      <c r="J542" s="18">
        <v>0</v>
      </c>
      <c r="K542" s="18">
        <v>0</v>
      </c>
      <c r="L542" s="69">
        <f>SUM(F542:K542)</f>
        <v>261949.07</v>
      </c>
      <c r="M542" s="8"/>
      <c r="N542" s="164"/>
    </row>
    <row r="543" spans="1:14" s="3" customFormat="1" ht="12.2" customHeight="1" x14ac:dyDescent="0.15">
      <c r="A543" s="21" t="s">
        <v>634</v>
      </c>
      <c r="B543" s="22">
        <v>21</v>
      </c>
      <c r="C543" s="22">
        <v>18</v>
      </c>
      <c r="D543" s="2" t="s">
        <v>432</v>
      </c>
      <c r="E543" s="22"/>
      <c r="F543" s="18">
        <v>0</v>
      </c>
      <c r="G543" s="18">
        <v>0</v>
      </c>
      <c r="H543" s="18">
        <v>133163.91</v>
      </c>
      <c r="I543" s="18">
        <v>0</v>
      </c>
      <c r="J543" s="18">
        <v>0</v>
      </c>
      <c r="K543" s="18">
        <v>0</v>
      </c>
      <c r="L543" s="69">
        <f>SUM(F543:K543)</f>
        <v>133163.91</v>
      </c>
      <c r="M543" s="8"/>
      <c r="N543" s="164"/>
    </row>
    <row r="544" spans="1:14" s="3" customFormat="1" ht="12.2" customHeight="1" thickBot="1" x14ac:dyDescent="0.2">
      <c r="A544" s="21" t="s">
        <v>635</v>
      </c>
      <c r="B544" s="22">
        <v>21</v>
      </c>
      <c r="C544" s="22">
        <v>19</v>
      </c>
      <c r="D544" s="2" t="s">
        <v>432</v>
      </c>
      <c r="E544" s="22"/>
      <c r="F544" s="18">
        <v>0</v>
      </c>
      <c r="G544" s="18">
        <v>0</v>
      </c>
      <c r="H544" s="18">
        <v>262446.92000000004</v>
      </c>
      <c r="I544" s="18">
        <v>0</v>
      </c>
      <c r="J544" s="18">
        <v>0</v>
      </c>
      <c r="K544" s="18">
        <v>0</v>
      </c>
      <c r="L544" s="69">
        <f>SUM(F544:K544)</f>
        <v>262446.92000000004</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657559.9</v>
      </c>
      <c r="I545" s="140">
        <f t="shared" si="40"/>
        <v>0</v>
      </c>
      <c r="J545" s="140">
        <f t="shared" si="40"/>
        <v>0</v>
      </c>
      <c r="K545" s="140">
        <f t="shared" si="40"/>
        <v>0</v>
      </c>
      <c r="L545" s="140">
        <f t="shared" si="40"/>
        <v>657559.9</v>
      </c>
      <c r="M545" s="8"/>
      <c r="N545" s="164"/>
    </row>
    <row r="546" spans="1:14" s="3" customFormat="1" ht="12.2" customHeight="1" thickTop="1" x14ac:dyDescent="0.15">
      <c r="A546" s="75" t="s">
        <v>72</v>
      </c>
      <c r="B546" s="41">
        <v>21</v>
      </c>
      <c r="C546" s="41">
        <v>21</v>
      </c>
      <c r="D546" s="115" t="s">
        <v>432</v>
      </c>
      <c r="E546" s="41"/>
      <c r="F546" s="70">
        <f>F525+F530+F535+F540+F545</f>
        <v>3294362.1</v>
      </c>
      <c r="G546" s="70">
        <f t="shared" ref="G546:L546" si="41">G525+G530+G535+G540+G545</f>
        <v>1588048.9400000002</v>
      </c>
      <c r="H546" s="70">
        <f t="shared" si="41"/>
        <v>3171932.290000001</v>
      </c>
      <c r="I546" s="70">
        <f t="shared" si="41"/>
        <v>55715.23</v>
      </c>
      <c r="J546" s="70">
        <f t="shared" si="41"/>
        <v>0</v>
      </c>
      <c r="K546" s="70">
        <f t="shared" si="41"/>
        <v>11469.300000000001</v>
      </c>
      <c r="L546" s="70">
        <f t="shared" si="41"/>
        <v>8121527.8600000003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3001962.3</v>
      </c>
      <c r="G550" s="69">
        <f>L527</f>
        <v>525044.75</v>
      </c>
      <c r="H550" s="69">
        <f>L532</f>
        <v>261015.14</v>
      </c>
      <c r="I550" s="69">
        <f>L537</f>
        <v>1764.84</v>
      </c>
      <c r="J550" s="69">
        <f>L542</f>
        <v>261949.07</v>
      </c>
      <c r="K550" s="69">
        <f>SUM(F550:J550)</f>
        <v>4051736.0999999996</v>
      </c>
      <c r="L550" s="23" t="s">
        <v>288</v>
      </c>
      <c r="M550" s="8"/>
      <c r="N550" s="164"/>
    </row>
    <row r="551" spans="1:14" s="3" customFormat="1" ht="12.2" customHeight="1" x14ac:dyDescent="0.15">
      <c r="A551" s="21" t="s">
        <v>634</v>
      </c>
      <c r="B551" s="22">
        <v>21</v>
      </c>
      <c r="C551" s="22">
        <v>23</v>
      </c>
      <c r="D551" s="2" t="s">
        <v>432</v>
      </c>
      <c r="E551" s="22"/>
      <c r="F551" s="69">
        <f>L523</f>
        <v>1076009.1800000002</v>
      </c>
      <c r="G551" s="69">
        <f>L528</f>
        <v>203598.44</v>
      </c>
      <c r="H551" s="69">
        <f>L533</f>
        <v>112862.30999999998</v>
      </c>
      <c r="I551" s="69">
        <f>L538</f>
        <v>763.11</v>
      </c>
      <c r="J551" s="69">
        <f>L543</f>
        <v>133163.91</v>
      </c>
      <c r="K551" s="69">
        <f>SUM(F551:J551)</f>
        <v>1526396.9500000002</v>
      </c>
      <c r="L551" s="23" t="s">
        <v>288</v>
      </c>
      <c r="M551" s="8"/>
      <c r="N551" s="164"/>
    </row>
    <row r="552" spans="1:14" s="3" customFormat="1" ht="12.2" customHeight="1" thickBot="1" x14ac:dyDescent="0.2">
      <c r="A552" s="21" t="s">
        <v>635</v>
      </c>
      <c r="B552" s="22">
        <v>21</v>
      </c>
      <c r="C552" s="22">
        <v>24</v>
      </c>
      <c r="D552" s="2" t="s">
        <v>432</v>
      </c>
      <c r="E552" s="22"/>
      <c r="F552" s="69">
        <f>L524</f>
        <v>1901467.2100000002</v>
      </c>
      <c r="G552" s="69">
        <f>L529</f>
        <v>216842.23999999996</v>
      </c>
      <c r="H552" s="69">
        <f>L534</f>
        <v>161546.15</v>
      </c>
      <c r="I552" s="69">
        <f>L539</f>
        <v>1092.29</v>
      </c>
      <c r="J552" s="69">
        <f>L544</f>
        <v>262446.92000000004</v>
      </c>
      <c r="K552" s="69">
        <f>SUM(F552:J552)</f>
        <v>2543394.81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5979438.6900000004</v>
      </c>
      <c r="G553" s="70">
        <f t="shared" si="42"/>
        <v>945485.42999999993</v>
      </c>
      <c r="H553" s="70">
        <f t="shared" si="42"/>
        <v>535423.6</v>
      </c>
      <c r="I553" s="70">
        <f t="shared" si="42"/>
        <v>3620.24</v>
      </c>
      <c r="J553" s="70">
        <f t="shared" si="42"/>
        <v>657559.9</v>
      </c>
      <c r="K553" s="70">
        <f t="shared" si="42"/>
        <v>8121527.8599999994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1330</v>
      </c>
      <c r="G563" s="18">
        <v>355.81</v>
      </c>
      <c r="H563" s="18">
        <v>0</v>
      </c>
      <c r="I563" s="18">
        <v>0</v>
      </c>
      <c r="J563" s="18">
        <v>0</v>
      </c>
      <c r="K563" s="18">
        <v>0</v>
      </c>
      <c r="L563" s="69">
        <f>SUM(F563:K563)</f>
        <v>1685.81</v>
      </c>
      <c r="M563" s="8"/>
      <c r="N563" s="164"/>
    </row>
    <row r="564" spans="1:14" s="3" customFormat="1" ht="12.2" customHeight="1" x14ac:dyDescent="0.15">
      <c r="A564" s="21" t="s">
        <v>634</v>
      </c>
      <c r="B564" s="22">
        <v>22</v>
      </c>
      <c r="C564" s="22">
        <v>6</v>
      </c>
      <c r="D564" s="2" t="s">
        <v>432</v>
      </c>
      <c r="E564" s="22"/>
      <c r="F564" s="18">
        <v>36900</v>
      </c>
      <c r="G564" s="18">
        <v>22950.97</v>
      </c>
      <c r="H564" s="18">
        <v>0</v>
      </c>
      <c r="I564" s="18">
        <v>0</v>
      </c>
      <c r="J564" s="18">
        <v>0</v>
      </c>
      <c r="K564" s="18">
        <v>0</v>
      </c>
      <c r="L564" s="69">
        <f>SUM(F564:K564)</f>
        <v>59850.97</v>
      </c>
      <c r="M564" s="8"/>
      <c r="N564" s="164"/>
    </row>
    <row r="565" spans="1:14" s="3" customFormat="1" ht="12.2" customHeight="1" thickBot="1" x14ac:dyDescent="0.2">
      <c r="A565" s="21" t="s">
        <v>635</v>
      </c>
      <c r="B565" s="22">
        <v>22</v>
      </c>
      <c r="C565" s="22">
        <v>7</v>
      </c>
      <c r="D565" s="2" t="s">
        <v>432</v>
      </c>
      <c r="E565" s="22"/>
      <c r="F565" s="18">
        <v>36900</v>
      </c>
      <c r="G565" s="18">
        <v>22951.46</v>
      </c>
      <c r="H565" s="18">
        <v>0</v>
      </c>
      <c r="I565" s="18">
        <v>0</v>
      </c>
      <c r="J565" s="18">
        <v>0</v>
      </c>
      <c r="K565" s="18">
        <v>0</v>
      </c>
      <c r="L565" s="69">
        <f>SUM(F565:K565)</f>
        <v>59851.46</v>
      </c>
      <c r="M565" s="8"/>
      <c r="N565" s="164"/>
    </row>
    <row r="566" spans="1:14" s="3" customFormat="1" ht="12.2" customHeight="1" thickTop="1" x14ac:dyDescent="0.15">
      <c r="A566" s="97" t="s">
        <v>65</v>
      </c>
      <c r="B566" s="41">
        <v>22</v>
      </c>
      <c r="C566" s="41">
        <v>8</v>
      </c>
      <c r="D566" s="115" t="s">
        <v>432</v>
      </c>
      <c r="E566" s="41"/>
      <c r="F566" s="70">
        <f t="shared" ref="F566:L566" si="44">SUM(F563:F565)</f>
        <v>75130</v>
      </c>
      <c r="G566" s="70">
        <f t="shared" si="44"/>
        <v>46258.240000000005</v>
      </c>
      <c r="H566" s="70">
        <f t="shared" si="44"/>
        <v>0</v>
      </c>
      <c r="I566" s="70">
        <f t="shared" si="44"/>
        <v>0</v>
      </c>
      <c r="J566" s="70">
        <f t="shared" si="44"/>
        <v>0</v>
      </c>
      <c r="K566" s="70">
        <f t="shared" si="44"/>
        <v>0</v>
      </c>
      <c r="L566" s="70">
        <f t="shared" si="44"/>
        <v>121388.23999999999</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75130</v>
      </c>
      <c r="G572" s="70">
        <f t="shared" ref="G572:L572" si="46">G561+G566+G571</f>
        <v>46258.240000000005</v>
      </c>
      <c r="H572" s="70">
        <f t="shared" si="46"/>
        <v>0</v>
      </c>
      <c r="I572" s="70">
        <f t="shared" si="46"/>
        <v>0</v>
      </c>
      <c r="J572" s="70">
        <f t="shared" si="46"/>
        <v>0</v>
      </c>
      <c r="K572" s="70">
        <f t="shared" si="46"/>
        <v>0</v>
      </c>
      <c r="L572" s="70">
        <f t="shared" si="46"/>
        <v>121388.23999999999</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2575</v>
      </c>
      <c r="I579" s="69">
        <f t="shared" si="47"/>
        <v>2575</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0</v>
      </c>
      <c r="H580" s="18">
        <v>12605.28</v>
      </c>
      <c r="I580" s="69">
        <f t="shared" si="47"/>
        <v>12605.28</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79041.509999999995</v>
      </c>
      <c r="G581" s="18">
        <v>156892.20000000001</v>
      </c>
      <c r="H581" s="18">
        <v>0</v>
      </c>
      <c r="I581" s="69">
        <f t="shared" si="47"/>
        <v>235933.71000000002</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364546.7</v>
      </c>
      <c r="G583" s="18">
        <v>204512.14</v>
      </c>
      <c r="H583" s="18">
        <v>781943.13</v>
      </c>
      <c r="I583" s="69">
        <f t="shared" si="47"/>
        <v>1351001.9700000002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378649.3</v>
      </c>
      <c r="I584" s="69">
        <f t="shared" si="47"/>
        <v>378649.3</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55312.63</v>
      </c>
      <c r="I585" s="69">
        <f t="shared" si="47"/>
        <v>55312.63</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443588.21</v>
      </c>
      <c r="G589" s="79">
        <f t="shared" ref="G589:I589" si="48">SUM(G576:G588)</f>
        <v>361404.34</v>
      </c>
      <c r="H589" s="79">
        <f t="shared" si="48"/>
        <v>1231085.3399999999</v>
      </c>
      <c r="I589" s="79">
        <f t="shared" si="48"/>
        <v>2036077.8900000001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357737.30999999994</v>
      </c>
      <c r="I592" s="18">
        <v>154684.75</v>
      </c>
      <c r="J592" s="18">
        <v>221408.9</v>
      </c>
      <c r="K592" s="80">
        <f t="shared" ref="K592:K598" si="49">SUM(H592:J592)</f>
        <v>733830.96</v>
      </c>
      <c r="L592" s="23" t="s">
        <v>288</v>
      </c>
      <c r="M592" s="8"/>
      <c r="N592" s="164"/>
    </row>
    <row r="593" spans="1:14" s="3" customFormat="1" ht="12.2" customHeight="1" x14ac:dyDescent="0.15">
      <c r="A593" s="3" t="s">
        <v>638</v>
      </c>
      <c r="B593" s="22">
        <v>23</v>
      </c>
      <c r="C593" s="22">
        <v>2</v>
      </c>
      <c r="D593" s="2" t="s">
        <v>432</v>
      </c>
      <c r="E593" s="22"/>
      <c r="F593" s="78">
        <v>2722</v>
      </c>
      <c r="G593" s="79" t="s">
        <v>97</v>
      </c>
      <c r="H593" s="18">
        <v>261116.88</v>
      </c>
      <c r="I593" s="18">
        <v>133163.91</v>
      </c>
      <c r="J593" s="18">
        <v>261762.92</v>
      </c>
      <c r="K593" s="80">
        <f t="shared" si="49"/>
        <v>656043.71000000008</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152991</v>
      </c>
      <c r="K594" s="80">
        <f t="shared" si="49"/>
        <v>152991</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16182.96</v>
      </c>
      <c r="J595" s="18">
        <v>64708.87</v>
      </c>
      <c r="K595" s="80">
        <f t="shared" si="49"/>
        <v>80891.83</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14210.66</v>
      </c>
      <c r="I596" s="18">
        <v>5114.63</v>
      </c>
      <c r="J596" s="18">
        <v>14195.99</v>
      </c>
      <c r="K596" s="80">
        <f t="shared" si="49"/>
        <v>33521.279999999999</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633064.85</v>
      </c>
      <c r="I599" s="81">
        <f>SUM(I592:I598)</f>
        <v>309146.25000000006</v>
      </c>
      <c r="J599" s="81">
        <f>SUM(J592:J598)</f>
        <v>715067.68</v>
      </c>
      <c r="K599" s="81">
        <f>SUM(K592:K598)</f>
        <v>1657278.78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86580.479999999996</v>
      </c>
      <c r="I605" s="18">
        <v>38377.279999999999</v>
      </c>
      <c r="J605" s="18">
        <v>42880.9</v>
      </c>
      <c r="K605" s="80">
        <f>SUM(H605:J605)</f>
        <v>167838.66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86580.479999999996</v>
      </c>
      <c r="I606" s="81">
        <f>SUM(I603:I605)</f>
        <v>38377.279999999999</v>
      </c>
      <c r="J606" s="81">
        <f>SUM(J603:J605)</f>
        <v>42880.9</v>
      </c>
      <c r="K606" s="81">
        <f>SUM(K603:K605)</f>
        <v>167838.66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74904.709999999992</v>
      </c>
      <c r="G612" s="18">
        <v>17141.670000000006</v>
      </c>
      <c r="H612" s="18">
        <v>1293.56</v>
      </c>
      <c r="I612" s="18">
        <v>286.29000000000002</v>
      </c>
      <c r="J612" s="18">
        <v>0</v>
      </c>
      <c r="K612" s="18">
        <v>0</v>
      </c>
      <c r="L612" s="69">
        <f>SUM(F612:K612)</f>
        <v>93626.23</v>
      </c>
      <c r="M612" s="8"/>
      <c r="N612" s="164"/>
    </row>
    <row r="613" spans="1:14" s="3" customFormat="1" ht="12.2" customHeight="1" x14ac:dyDescent="0.15">
      <c r="A613" s="21" t="s">
        <v>634</v>
      </c>
      <c r="B613" s="22">
        <v>23</v>
      </c>
      <c r="C613" s="22">
        <v>14</v>
      </c>
      <c r="D613" s="2" t="s">
        <v>432</v>
      </c>
      <c r="E613" s="22"/>
      <c r="F613" s="18">
        <v>23585.25</v>
      </c>
      <c r="G613" s="18">
        <v>5651.3700000000008</v>
      </c>
      <c r="H613" s="18">
        <v>0</v>
      </c>
      <c r="I613" s="18">
        <v>10.28</v>
      </c>
      <c r="J613" s="18">
        <v>0</v>
      </c>
      <c r="K613" s="18">
        <v>0</v>
      </c>
      <c r="L613" s="69">
        <f>SUM(F613:K613)</f>
        <v>29246.9</v>
      </c>
      <c r="M613" s="8"/>
      <c r="N613" s="164"/>
    </row>
    <row r="614" spans="1:14" s="3" customFormat="1" ht="12.2" customHeight="1" thickBot="1" x14ac:dyDescent="0.2">
      <c r="A614" s="21" t="s">
        <v>645</v>
      </c>
      <c r="B614" s="22">
        <v>23</v>
      </c>
      <c r="C614" s="22">
        <v>15</v>
      </c>
      <c r="D614" s="2" t="s">
        <v>432</v>
      </c>
      <c r="E614" s="22"/>
      <c r="F614" s="18">
        <v>15202.25</v>
      </c>
      <c r="G614" s="18">
        <v>3344.63</v>
      </c>
      <c r="H614" s="18">
        <v>0</v>
      </c>
      <c r="I614" s="18">
        <v>10.28</v>
      </c>
      <c r="J614" s="18">
        <v>0</v>
      </c>
      <c r="K614" s="18">
        <v>0</v>
      </c>
      <c r="L614" s="69">
        <f>SUM(F614:K614)</f>
        <v>18557.16</v>
      </c>
      <c r="M614" s="8"/>
      <c r="N614" s="164"/>
    </row>
    <row r="615" spans="1:14" s="3" customFormat="1" ht="12.2" customHeight="1" thickTop="1" x14ac:dyDescent="0.15">
      <c r="A615" s="75" t="s">
        <v>340</v>
      </c>
      <c r="B615" s="41">
        <v>23</v>
      </c>
      <c r="C615" s="41">
        <v>16</v>
      </c>
      <c r="D615" s="36" t="s">
        <v>432</v>
      </c>
      <c r="E615" s="41"/>
      <c r="F615" s="81">
        <f t="shared" ref="F615:L615" si="50">SUM(F612:F614)</f>
        <v>113692.20999999999</v>
      </c>
      <c r="G615" s="81">
        <f t="shared" si="50"/>
        <v>26137.670000000009</v>
      </c>
      <c r="H615" s="81">
        <f t="shared" si="50"/>
        <v>1293.56</v>
      </c>
      <c r="I615" s="81">
        <f t="shared" si="50"/>
        <v>306.84999999999997</v>
      </c>
      <c r="J615" s="81">
        <f t="shared" si="50"/>
        <v>0</v>
      </c>
      <c r="K615" s="81">
        <f t="shared" si="50"/>
        <v>0</v>
      </c>
      <c r="L615" s="70">
        <f t="shared" si="50"/>
        <v>141430.29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3741737.4800000004</v>
      </c>
      <c r="H618" s="80">
        <f>SUM(F52)</f>
        <v>3741737.48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138866.96</v>
      </c>
      <c r="H619" s="80">
        <f>SUM(G52)</f>
        <v>138866.96</v>
      </c>
      <c r="I619" s="87" t="s">
        <v>872</v>
      </c>
      <c r="J619" s="80">
        <f>G619-H619</f>
        <v>0</v>
      </c>
      <c r="K619" s="80"/>
      <c r="L619" s="80"/>
      <c r="M619" s="8"/>
    </row>
    <row r="620" spans="1:14" s="3" customFormat="1" ht="12.2" customHeight="1" x14ac:dyDescent="0.15">
      <c r="A620" s="74"/>
      <c r="B620" s="22"/>
      <c r="C620" s="22"/>
      <c r="D620" s="22"/>
      <c r="E620" s="22"/>
      <c r="F620" s="87" t="s">
        <v>685</v>
      </c>
      <c r="G620" s="80">
        <f>SUM(H19)</f>
        <v>245904.95</v>
      </c>
      <c r="H620" s="80">
        <f>SUM(H52)</f>
        <v>245904.94999999998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3500401.63</v>
      </c>
      <c r="H622" s="80">
        <f>SUM(J52)</f>
        <v>3500401.63</v>
      </c>
      <c r="I622" s="87" t="s">
        <v>875</v>
      </c>
      <c r="J622" s="80">
        <f>G622-H622</f>
        <v>0</v>
      </c>
      <c r="K622" s="80"/>
      <c r="L622" s="80"/>
      <c r="M622" s="8"/>
    </row>
    <row r="623" spans="1:14" s="3" customFormat="1" ht="12.2" customHeight="1" x14ac:dyDescent="0.15">
      <c r="A623" s="74"/>
      <c r="B623" s="22"/>
      <c r="C623" s="22"/>
      <c r="D623" s="22"/>
      <c r="E623" s="22"/>
      <c r="F623" s="87" t="s">
        <v>861</v>
      </c>
      <c r="G623" s="80">
        <f>F51</f>
        <v>3006603.21</v>
      </c>
      <c r="H623" s="80">
        <f>F477</f>
        <v>3006603.2100000009</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94474.75</v>
      </c>
      <c r="H624" s="80">
        <f>G477</f>
        <v>94474.75</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3400951.8</v>
      </c>
      <c r="H627" s="80">
        <f>J477</f>
        <v>3400951.8</v>
      </c>
      <c r="I627" s="87" t="s">
        <v>105</v>
      </c>
      <c r="J627" s="80">
        <f t="shared" si="51"/>
        <v>0</v>
      </c>
      <c r="K627" s="67"/>
      <c r="L627" s="69"/>
      <c r="M627" s="8"/>
    </row>
    <row r="628" spans="1:13" s="3" customFormat="1" ht="12.2" customHeight="1" x14ac:dyDescent="0.15">
      <c r="A628" s="21"/>
      <c r="B628" s="22"/>
      <c r="C628" s="22"/>
      <c r="D628" s="22"/>
      <c r="E628" s="22"/>
      <c r="F628" s="86" t="s">
        <v>658</v>
      </c>
      <c r="G628" s="80">
        <f>F194</f>
        <v>29422713.799999997</v>
      </c>
      <c r="H628" s="80">
        <f>SUM(F469)</f>
        <v>29422713.800000001</v>
      </c>
      <c r="I628" s="87" t="s">
        <v>106</v>
      </c>
      <c r="J628" s="80">
        <f>G628-H628</f>
        <v>0</v>
      </c>
      <c r="K628" s="67"/>
      <c r="L628" s="69"/>
      <c r="M628" s="8"/>
    </row>
    <row r="629" spans="1:13" s="3" customFormat="1" ht="12.2" customHeight="1" x14ac:dyDescent="0.15">
      <c r="A629" s="21"/>
      <c r="B629" s="22"/>
      <c r="C629" s="22"/>
      <c r="D629" s="22"/>
      <c r="E629" s="22"/>
      <c r="F629" s="86" t="s">
        <v>659</v>
      </c>
      <c r="G629" s="80">
        <f>G194</f>
        <v>656255.05000000005</v>
      </c>
      <c r="H629" s="80">
        <f>SUM(G469)</f>
        <v>656255.05000000005</v>
      </c>
      <c r="I629" s="87" t="s">
        <v>107</v>
      </c>
      <c r="J629" s="80">
        <f>G629-H629</f>
        <v>0</v>
      </c>
      <c r="K629" s="67"/>
      <c r="L629" s="69"/>
      <c r="M629" s="8"/>
    </row>
    <row r="630" spans="1:13" s="3" customFormat="1" ht="12.2" customHeight="1" x14ac:dyDescent="0.15">
      <c r="A630" s="21"/>
      <c r="B630" s="22"/>
      <c r="C630" s="22"/>
      <c r="D630" s="22"/>
      <c r="E630" s="22"/>
      <c r="F630" s="86" t="s">
        <v>660</v>
      </c>
      <c r="G630" s="80">
        <f>H194</f>
        <v>1592580.57</v>
      </c>
      <c r="H630" s="80">
        <f>SUM(H469)</f>
        <v>1592580.57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643038.22</v>
      </c>
      <c r="H632" s="80">
        <f>SUM(J469)</f>
        <v>643038.22</v>
      </c>
      <c r="I632" s="87" t="s">
        <v>110</v>
      </c>
      <c r="J632" s="80">
        <f>G632-H632</f>
        <v>0</v>
      </c>
      <c r="K632" s="67"/>
      <c r="L632" s="69"/>
      <c r="M632" s="8"/>
    </row>
    <row r="633" spans="1:13" s="3" customFormat="1" ht="12.2" customHeight="1" x14ac:dyDescent="0.15">
      <c r="A633" s="21"/>
      <c r="B633" s="22"/>
      <c r="C633" s="22"/>
      <c r="D633" s="22"/>
      <c r="E633" s="22"/>
      <c r="F633" s="86" t="s">
        <v>394</v>
      </c>
      <c r="G633" s="80">
        <f>SUM(L272)</f>
        <v>28237487.280000001</v>
      </c>
      <c r="H633" s="80">
        <f>SUM(F473)</f>
        <v>28237487.280000001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1592580.5699999994</v>
      </c>
      <c r="H634" s="80">
        <f>SUM(H473)</f>
        <v>1592580.57</v>
      </c>
      <c r="I634" s="87" t="s">
        <v>112</v>
      </c>
      <c r="J634" s="80">
        <f>G634-H634</f>
        <v>0</v>
      </c>
      <c r="K634" s="67"/>
      <c r="L634" s="69"/>
      <c r="M634" s="8"/>
    </row>
    <row r="635" spans="1:13" s="124" customFormat="1" ht="12.2" customHeight="1" x14ac:dyDescent="0.15">
      <c r="A635" s="21"/>
      <c r="B635" s="22"/>
      <c r="C635" s="22"/>
      <c r="D635" s="22"/>
      <c r="E635" s="22"/>
      <c r="F635" s="99" t="s">
        <v>247</v>
      </c>
      <c r="G635" s="80">
        <f>I363</f>
        <v>25904.920000000002</v>
      </c>
      <c r="H635" s="80">
        <f>I370</f>
        <v>25904.920000000002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668215.05000000005</v>
      </c>
      <c r="H636" s="80">
        <f>SUM(G473)</f>
        <v>668215.05000000005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643038.22</v>
      </c>
      <c r="H638" s="108">
        <f>SUM(J469)</f>
        <v>643038.22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361208.87</v>
      </c>
      <c r="H639" s="108">
        <f>SUM(J473)</f>
        <v>361208.87</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369146.93</v>
      </c>
      <c r="H640" s="80">
        <f>SUM(F462)</f>
        <v>369146.93</v>
      </c>
      <c r="I640" s="87" t="s">
        <v>837</v>
      </c>
      <c r="J640" s="80">
        <f t="shared" si="51"/>
        <v>0</v>
      </c>
      <c r="K640" s="67"/>
      <c r="L640" s="69"/>
      <c r="M640" s="8"/>
    </row>
    <row r="641" spans="1:13" s="3" customFormat="1" ht="12.2" customHeight="1" x14ac:dyDescent="0.15">
      <c r="A641" s="21"/>
      <c r="B641" s="22"/>
      <c r="C641" s="22"/>
      <c r="D641" s="22"/>
      <c r="E641" s="22"/>
      <c r="F641" s="86" t="s">
        <v>119</v>
      </c>
      <c r="G641" s="80">
        <f>SUM(G447)</f>
        <v>1798989.3100000003</v>
      </c>
      <c r="H641" s="80">
        <f>SUM(G462)</f>
        <v>1798989.3100000003</v>
      </c>
      <c r="I641" s="87" t="s">
        <v>838</v>
      </c>
      <c r="J641" s="80">
        <f t="shared" si="51"/>
        <v>0</v>
      </c>
      <c r="K641" s="67"/>
      <c r="L641" s="69"/>
      <c r="M641" s="8"/>
    </row>
    <row r="642" spans="1:13" s="3" customFormat="1" ht="12.2" customHeight="1" x14ac:dyDescent="0.15">
      <c r="A642" s="21"/>
      <c r="B642" s="22"/>
      <c r="C642" s="22"/>
      <c r="D642" s="22"/>
      <c r="E642" s="22"/>
      <c r="F642" s="86" t="s">
        <v>120</v>
      </c>
      <c r="G642" s="80">
        <f>SUM(H447)</f>
        <v>1332265.3899999999</v>
      </c>
      <c r="H642" s="80">
        <f>SUM(H462)</f>
        <v>1332265.3899999999</v>
      </c>
      <c r="I642" s="87" t="s">
        <v>839</v>
      </c>
      <c r="J642" s="80">
        <f t="shared" si="51"/>
        <v>0</v>
      </c>
      <c r="K642" s="67"/>
      <c r="L642" s="69"/>
      <c r="M642" s="8"/>
    </row>
    <row r="643" spans="1:13" s="3" customFormat="1" ht="12.2" customHeight="1" x14ac:dyDescent="0.15">
      <c r="A643" s="21"/>
      <c r="B643" s="22"/>
      <c r="C643" s="22"/>
      <c r="D643" s="22"/>
      <c r="E643" s="22"/>
      <c r="F643" s="86" t="s">
        <v>121</v>
      </c>
      <c r="G643" s="80">
        <f>SUM(I447)</f>
        <v>3500401.63</v>
      </c>
      <c r="H643" s="80">
        <f>SUM(I462)</f>
        <v>3500401.63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93038.22</v>
      </c>
      <c r="H645" s="80">
        <f>H409</f>
        <v>93038.22</v>
      </c>
      <c r="I645" s="87" t="s">
        <v>480</v>
      </c>
      <c r="J645" s="80">
        <f t="shared" si="51"/>
        <v>0</v>
      </c>
      <c r="K645" s="67"/>
      <c r="L645" s="69"/>
      <c r="M645" s="8"/>
    </row>
    <row r="646" spans="1:13" s="3" customFormat="1" ht="12.2" customHeight="1" x14ac:dyDescent="0.15">
      <c r="A646" s="21"/>
      <c r="B646" s="22"/>
      <c r="C646" s="22"/>
      <c r="D646" s="22"/>
      <c r="E646" s="22"/>
      <c r="F646" s="86" t="s">
        <v>664</v>
      </c>
      <c r="G646" s="80">
        <f>J184</f>
        <v>550000</v>
      </c>
      <c r="H646" s="80">
        <f>G409</f>
        <v>550000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643038.22</v>
      </c>
      <c r="H647" s="80">
        <f>L409</f>
        <v>643038.22</v>
      </c>
      <c r="I647" s="87" t="s">
        <v>477</v>
      </c>
      <c r="J647" s="80">
        <f t="shared" si="51"/>
        <v>0</v>
      </c>
      <c r="K647" s="67"/>
      <c r="L647" s="69"/>
      <c r="M647" s="8"/>
    </row>
    <row r="648" spans="1:13" s="3" customFormat="1" ht="12.2" customHeight="1" x14ac:dyDescent="0.15">
      <c r="A648" s="21"/>
      <c r="B648" s="22"/>
      <c r="C648" s="22"/>
      <c r="D648" s="22"/>
      <c r="E648" s="22"/>
      <c r="F648" s="86" t="s">
        <v>51</v>
      </c>
      <c r="G648" s="80">
        <f>K599</f>
        <v>1657278.78</v>
      </c>
      <c r="H648" s="80">
        <f>L209+L227+L245</f>
        <v>1657278.7799999998</v>
      </c>
      <c r="I648" s="87" t="s">
        <v>396</v>
      </c>
      <c r="J648" s="80">
        <f t="shared" si="51"/>
        <v>0</v>
      </c>
      <c r="K648" s="67"/>
      <c r="L648" s="69"/>
      <c r="M648" s="8"/>
    </row>
    <row r="649" spans="1:13" s="3" customFormat="1" ht="12.2" customHeight="1" x14ac:dyDescent="0.15">
      <c r="A649" s="21"/>
      <c r="B649" s="22"/>
      <c r="C649" s="22"/>
      <c r="D649" s="22"/>
      <c r="E649" s="22"/>
      <c r="F649" s="86" t="s">
        <v>52</v>
      </c>
      <c r="G649" s="80">
        <f>K606</f>
        <v>167838.66</v>
      </c>
      <c r="H649" s="80">
        <f>(J258+J339)-(J256+J337)</f>
        <v>167838.65999999997</v>
      </c>
      <c r="I649" s="87" t="s">
        <v>699</v>
      </c>
      <c r="J649" s="80">
        <f t="shared" si="51"/>
        <v>0</v>
      </c>
      <c r="K649" s="67"/>
      <c r="L649" s="69"/>
      <c r="M649" s="8"/>
    </row>
    <row r="650" spans="1:13" s="3" customFormat="1" ht="12.2" customHeight="1" x14ac:dyDescent="0.15">
      <c r="A650" s="21"/>
      <c r="B650" s="22"/>
      <c r="C650" s="22"/>
      <c r="D650" s="22"/>
      <c r="E650" s="22"/>
      <c r="F650" s="86" t="s">
        <v>387</v>
      </c>
      <c r="G650" s="80">
        <f>L209</f>
        <v>633064.85</v>
      </c>
      <c r="H650" s="80">
        <f>H599</f>
        <v>633064.85</v>
      </c>
      <c r="I650" s="87" t="s">
        <v>388</v>
      </c>
      <c r="J650" s="80">
        <f t="shared" si="51"/>
        <v>0</v>
      </c>
      <c r="K650" s="67"/>
      <c r="L650" s="69"/>
      <c r="M650" s="8"/>
    </row>
    <row r="651" spans="1:13" s="3" customFormat="1" ht="12.2" customHeight="1" x14ac:dyDescent="0.15">
      <c r="A651" s="21"/>
      <c r="B651" s="22"/>
      <c r="C651" s="22"/>
      <c r="D651" s="22"/>
      <c r="E651" s="22"/>
      <c r="F651" s="86" t="s">
        <v>392</v>
      </c>
      <c r="G651" s="80">
        <f>L227</f>
        <v>309146.25</v>
      </c>
      <c r="H651" s="80">
        <f>I599</f>
        <v>309146.25000000006</v>
      </c>
      <c r="I651" s="87" t="s">
        <v>389</v>
      </c>
      <c r="J651" s="80">
        <f t="shared" si="51"/>
        <v>0</v>
      </c>
      <c r="K651" s="67"/>
      <c r="L651" s="69"/>
      <c r="M651" s="8"/>
    </row>
    <row r="652" spans="1:13" s="3" customFormat="1" ht="12.2" customHeight="1" x14ac:dyDescent="0.15">
      <c r="A652" s="21"/>
      <c r="B652" s="22"/>
      <c r="C652" s="22"/>
      <c r="D652" s="22"/>
      <c r="E652" s="22"/>
      <c r="F652" s="86" t="s">
        <v>393</v>
      </c>
      <c r="G652" s="80">
        <f>L245</f>
        <v>715067.67999999993</v>
      </c>
      <c r="H652" s="80">
        <f>J599</f>
        <v>715067.68</v>
      </c>
      <c r="I652" s="87" t="s">
        <v>390</v>
      </c>
      <c r="J652" s="80">
        <f t="shared" si="51"/>
        <v>0</v>
      </c>
      <c r="K652" s="67"/>
      <c r="L652" s="69"/>
      <c r="M652" s="8"/>
    </row>
    <row r="653" spans="1:13" s="3" customFormat="1" ht="12.2" customHeight="1" x14ac:dyDescent="0.15">
      <c r="A653" s="21"/>
      <c r="B653" s="22"/>
      <c r="C653" s="22"/>
      <c r="D653" s="22"/>
      <c r="E653" s="22"/>
      <c r="F653" s="86" t="s">
        <v>665</v>
      </c>
      <c r="G653" s="80">
        <f>G180+G182</f>
        <v>40151.1</v>
      </c>
      <c r="H653" s="80">
        <f>K264+K346</f>
        <v>40151.1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550000</v>
      </c>
      <c r="H656" s="80">
        <f>K267+K348</f>
        <v>550000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14826247.9</v>
      </c>
      <c r="G661" s="13">
        <f>(L230+L310+L360)</f>
        <v>5734384.8499999987</v>
      </c>
      <c r="H661" s="13">
        <f>(L248+L329+L361)</f>
        <v>8282175.7699999986</v>
      </c>
      <c r="I661" s="13">
        <f>SUM(F661:H661)</f>
        <v>28842808.52</v>
      </c>
      <c r="J661" s="13"/>
      <c r="K661" s="13"/>
      <c r="L661" s="13"/>
      <c r="M661" s="9"/>
    </row>
    <row r="662" spans="1:13" s="3" customFormat="1" ht="12.2" customHeight="1" x14ac:dyDescent="0.2">
      <c r="A662" s="1" t="s">
        <v>127</v>
      </c>
      <c r="F662" s="13">
        <f>(L359/IF(SUM(L359:L361)=0,1,SUM(L359:L361))*(SUM(G97:G110)))</f>
        <v>143210.50739955468</v>
      </c>
      <c r="G662" s="13">
        <f>(L360/IF(SUM(L359:L361)=0,1,SUM(L359:L361))*(SUM(G97:G110)))</f>
        <v>57602.961219331126</v>
      </c>
      <c r="H662" s="13">
        <f>(L361/IF(SUM(L359:L361)=0,1,SUM(L359:L361))*(SUM(G97:G110)))</f>
        <v>82450.31138111421</v>
      </c>
      <c r="I662" s="13">
        <f>SUM(F662:H662)</f>
        <v>283263.78000000003</v>
      </c>
      <c r="J662"/>
      <c r="K662" s="13"/>
      <c r="L662" s="13"/>
      <c r="M662" s="8"/>
    </row>
    <row r="663" spans="1:13" s="3" customFormat="1" ht="12.2" customHeight="1" x14ac:dyDescent="0.2">
      <c r="A663" s="1" t="s">
        <v>128</v>
      </c>
      <c r="F663" s="13">
        <f>(L209+L288)-(J209+J288)</f>
        <v>635302.14</v>
      </c>
      <c r="G663" s="13">
        <f>(L227+L307)-(J227+J307)</f>
        <v>309146.25</v>
      </c>
      <c r="H663" s="13">
        <f>(L245+L326)-(J245+J326)</f>
        <v>715067.67999999993</v>
      </c>
      <c r="I663" s="13">
        <f>SUM(F663:H663)</f>
        <v>1659516.0699999998</v>
      </c>
      <c r="J663"/>
      <c r="K663" s="13"/>
      <c r="L663" s="13"/>
      <c r="M663" s="9"/>
    </row>
    <row r="664" spans="1:13" s="3" customFormat="1" ht="12.2" customHeight="1" x14ac:dyDescent="0.15">
      <c r="A664" s="141" t="s">
        <v>129</v>
      </c>
      <c r="B664" s="124"/>
      <c r="C664" s="124"/>
      <c r="D664" s="124"/>
      <c r="E664" s="124"/>
      <c r="F664" s="142">
        <f>SUM(F576:F588)+SUM(H603:H605)+SUM(L612)</f>
        <v>623794.92000000004</v>
      </c>
      <c r="G664" s="142">
        <f>SUM(G576:G588)+SUM(I603:I605)+L613</f>
        <v>429028.52</v>
      </c>
      <c r="H664" s="142">
        <f>SUM(H576:H588)+SUM(J603:J605)+L614</f>
        <v>1292523.3999999997</v>
      </c>
      <c r="I664" s="13">
        <f>SUM(F664:H664)</f>
        <v>2345346.84</v>
      </c>
      <c r="J664" s="13"/>
      <c r="K664" s="13"/>
      <c r="L664" s="13"/>
      <c r="M664" s="9"/>
    </row>
    <row r="665" spans="1:13" s="3" customFormat="1" ht="12.2" customHeight="1" x14ac:dyDescent="0.15">
      <c r="A665" s="1" t="s">
        <v>130</v>
      </c>
      <c r="F665" s="13">
        <f>F661-SUM(F662:F664)</f>
        <v>13423940.332600445</v>
      </c>
      <c r="G665" s="13">
        <f>G661-SUM(G662:G664)</f>
        <v>4938607.1187806679</v>
      </c>
      <c r="H665" s="13">
        <f>H661-SUM(H662:H664)</f>
        <v>6192134.3786188848</v>
      </c>
      <c r="I665" s="13">
        <f>I661-SUM(I662:I664)</f>
        <v>24554681.829999998</v>
      </c>
      <c r="J665" s="13"/>
      <c r="K665" s="13"/>
      <c r="L665" s="13"/>
      <c r="M665" s="8"/>
    </row>
    <row r="666" spans="1:13" s="3" customFormat="1" ht="12.2" customHeight="1" x14ac:dyDescent="0.2">
      <c r="A666" s="1" t="s">
        <v>131</v>
      </c>
      <c r="F666" s="182">
        <v>581.33999999999992</v>
      </c>
      <c r="G666" s="183">
        <v>251.36</v>
      </c>
      <c r="H666" s="183">
        <v>359.67</v>
      </c>
      <c r="I666" s="13">
        <f>SUM(F666:H666)</f>
        <v>1192.3699999999999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23091.38</v>
      </c>
      <c r="G668" s="13">
        <f>ROUND(G665/G666,2)</f>
        <v>19647.55</v>
      </c>
      <c r="H668" s="13">
        <f>ROUND(H665/H666,2)</f>
        <v>17216.150000000001</v>
      </c>
      <c r="I668" s="13">
        <f>ROUND(I665/I666,2)</f>
        <v>20593.169999999998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-3.61</v>
      </c>
      <c r="I671" s="13">
        <f>SUM(F671:H671)</f>
        <v>-3.61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23091.38</v>
      </c>
      <c r="G673" s="13">
        <f>ROUND((G665+G670)/(G666+G671),2)</f>
        <v>19647.55</v>
      </c>
      <c r="H673" s="13">
        <f>ROUND((H665+H670)/(H666+H671),2)</f>
        <v>17390.7</v>
      </c>
      <c r="I673" s="13">
        <f>ROUND((I665+I670)/(I666+I671),2)</f>
        <v>20655.71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A49" sqref="A49"/>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95520.66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66988.759999999995</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28531.9</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3"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Jaffrey-Rindge Cooperative</v>
      </c>
      <c r="C5" s="321"/>
      <c r="D5" s="321"/>
      <c r="E5" s="321"/>
      <c r="F5" s="321"/>
    </row>
    <row r="8" spans="1:9" ht="18" x14ac:dyDescent="0.25">
      <c r="A8" s="239" t="s">
        <v>1548</v>
      </c>
      <c r="F8" s="246" t="s">
        <v>1566</v>
      </c>
    </row>
    <row r="9" spans="1:9" ht="15" x14ac:dyDescent="0.2">
      <c r="A9" s="237" t="s">
        <v>1549</v>
      </c>
      <c r="B9" s="240">
        <f>'DOE25'!G97</f>
        <v>283263.78000000003</v>
      </c>
      <c r="F9" s="237" t="s">
        <v>1562</v>
      </c>
    </row>
    <row r="10" spans="1:9" ht="15" x14ac:dyDescent="0.2">
      <c r="A10" s="237" t="s">
        <v>1550</v>
      </c>
      <c r="B10" s="240">
        <f>'DOE25'!G112-'DOE25'!G97</f>
        <v>0</v>
      </c>
      <c r="F10" s="237" t="s">
        <v>1563</v>
      </c>
    </row>
    <row r="11" spans="1:9" ht="15" x14ac:dyDescent="0.2">
      <c r="A11" s="237" t="s">
        <v>1551</v>
      </c>
      <c r="B11" s="240">
        <f>'DOE25'!G140</f>
        <v>8524.2000000000007</v>
      </c>
      <c r="F11" s="237" t="s">
        <v>1564</v>
      </c>
    </row>
    <row r="12" spans="1:9" ht="15" x14ac:dyDescent="0.2">
      <c r="A12" s="237" t="s">
        <v>1552</v>
      </c>
      <c r="B12" s="240">
        <f>'DOE25'!G170</f>
        <v>324315.97000000003</v>
      </c>
      <c r="F12" s="237" t="s">
        <v>1565</v>
      </c>
    </row>
    <row r="13" spans="1:9" ht="15" x14ac:dyDescent="0.2">
      <c r="A13" s="237" t="s">
        <v>1553</v>
      </c>
      <c r="B13" s="240">
        <f>'DOE25'!G193-'DOE25'!G180</f>
        <v>0</v>
      </c>
      <c r="F13" s="237" t="s">
        <v>1575</v>
      </c>
    </row>
    <row r="14" spans="1:9" ht="18" x14ac:dyDescent="0.25">
      <c r="A14" s="239" t="s">
        <v>732</v>
      </c>
      <c r="B14" s="241">
        <f>SUM(B9:B13)</f>
        <v>616103.95000000007</v>
      </c>
    </row>
    <row r="16" spans="1:9" ht="18" x14ac:dyDescent="0.25">
      <c r="A16" s="239" t="s">
        <v>783</v>
      </c>
      <c r="F16" s="246" t="s">
        <v>1567</v>
      </c>
    </row>
    <row r="17" spans="1:6" ht="15" x14ac:dyDescent="0.2">
      <c r="A17" s="237" t="s">
        <v>1554</v>
      </c>
      <c r="B17" s="240">
        <f>'DOE25'!L363-'DOE25'!L362</f>
        <v>668215.05000000005</v>
      </c>
      <c r="F17" s="237" t="s">
        <v>1568</v>
      </c>
    </row>
    <row r="18" spans="1:6" ht="15" x14ac:dyDescent="0.2">
      <c r="A18" s="237" t="s">
        <v>1555</v>
      </c>
      <c r="B18" s="250"/>
      <c r="F18" s="246" t="s">
        <v>1592</v>
      </c>
    </row>
    <row r="19" spans="1:6" ht="18" x14ac:dyDescent="0.25">
      <c r="A19" s="239" t="s">
        <v>725</v>
      </c>
      <c r="B19" s="241">
        <f>SUM(B17:B18)</f>
        <v>668215.05000000005</v>
      </c>
    </row>
    <row r="21" spans="1:6" ht="18.75" thickBot="1" x14ac:dyDescent="0.3">
      <c r="A21" s="239" t="s">
        <v>1556</v>
      </c>
    </row>
    <row r="22" spans="1:6" ht="18.75" thickTop="1" x14ac:dyDescent="0.25">
      <c r="A22" s="239" t="s">
        <v>1557</v>
      </c>
      <c r="B22" s="245">
        <f>B14-B19</f>
        <v>-52111.099999999977</v>
      </c>
      <c r="F22" s="237" t="s">
        <v>1569</v>
      </c>
    </row>
    <row r="26" spans="1:6" ht="18" x14ac:dyDescent="0.25">
      <c r="A26" s="239" t="s">
        <v>186</v>
      </c>
    </row>
    <row r="27" spans="1:6" ht="15" x14ac:dyDescent="0.2">
      <c r="A27" s="237" t="s">
        <v>1558</v>
      </c>
      <c r="B27" s="240">
        <f>'DOE25'!G180</f>
        <v>40151.1</v>
      </c>
      <c r="F27" s="237" t="s">
        <v>1570</v>
      </c>
    </row>
    <row r="28" spans="1:6" ht="15" x14ac:dyDescent="0.2">
      <c r="A28" s="237" t="s">
        <v>1560</v>
      </c>
      <c r="B28" s="240">
        <f>'DOE25'!L362</f>
        <v>0</v>
      </c>
      <c r="F28" s="237" t="s">
        <v>1571</v>
      </c>
    </row>
    <row r="31" spans="1:6" ht="15" x14ac:dyDescent="0.2">
      <c r="A31" s="237" t="s">
        <v>1789</v>
      </c>
      <c r="B31" s="240">
        <f>'DOE25'!G466</f>
        <v>106434.75</v>
      </c>
      <c r="F31" s="237" t="s">
        <v>1572</v>
      </c>
    </row>
    <row r="33" spans="1:6" ht="15" x14ac:dyDescent="0.2">
      <c r="A33" s="237" t="s">
        <v>1790</v>
      </c>
      <c r="B33" s="240">
        <f>'DOE25'!G477</f>
        <v>94474.75</v>
      </c>
      <c r="F33" s="237" t="s">
        <v>1573</v>
      </c>
    </row>
    <row r="36" spans="1:6" ht="15" x14ac:dyDescent="0.2">
      <c r="A36" s="237" t="s">
        <v>1559</v>
      </c>
      <c r="B36" s="251">
        <v>55848.18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Jaffrey-Rindge Cooperative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5597356.1100000003</v>
      </c>
      <c r="C9" s="166">
        <f>'DOE25'!G198+'DOE25'!G216+'DOE25'!G234+'DOE25'!G277+'DOE25'!G296+'DOE25'!G315</f>
        <v>2893078.94</v>
      </c>
    </row>
    <row r="10" spans="1:3" x14ac:dyDescent="0.2">
      <c r="A10" t="s">
        <v>772</v>
      </c>
      <c r="B10" s="176">
        <v>5259237.6399999997</v>
      </c>
      <c r="C10" s="176">
        <v>2851420.81</v>
      </c>
    </row>
    <row r="11" spans="1:3" x14ac:dyDescent="0.2">
      <c r="A11" t="s">
        <v>773</v>
      </c>
      <c r="B11" s="176">
        <v>92659.01</v>
      </c>
      <c r="C11" s="176">
        <v>8103.45</v>
      </c>
    </row>
    <row r="12" spans="1:3" x14ac:dyDescent="0.2">
      <c r="A12" t="s">
        <v>774</v>
      </c>
      <c r="B12" s="176">
        <v>245459.46</v>
      </c>
      <c r="C12" s="176">
        <f>33554.68</f>
        <v>33554.68</v>
      </c>
    </row>
    <row r="13" spans="1:3" x14ac:dyDescent="0.2">
      <c r="A13" t="str">
        <f>IF(B9=B13,IF(C9=C13,"Check Total OK","Check Total Error"),"Check Total Error")</f>
        <v>Check Total OK</v>
      </c>
      <c r="B13" s="168">
        <f>SUM(B10:B12)</f>
        <v>5597356.1099999994</v>
      </c>
      <c r="C13" s="168">
        <f>SUM(C10:C12)</f>
        <v>2893078.9400000004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2918021.1399999997</v>
      </c>
      <c r="C18" s="166">
        <f>'DOE25'!G199+'DOE25'!G217+'DOE25'!G235+'DOE25'!G278+'DOE25'!G297+'DOE25'!G316</f>
        <v>1393773.2</v>
      </c>
    </row>
    <row r="19" spans="1:3" x14ac:dyDescent="0.2">
      <c r="A19" t="s">
        <v>772</v>
      </c>
      <c r="B19" s="176">
        <v>1225681.3500000001</v>
      </c>
      <c r="C19" s="176">
        <v>609082.48</v>
      </c>
    </row>
    <row r="20" spans="1:3" x14ac:dyDescent="0.2">
      <c r="A20" t="s">
        <v>773</v>
      </c>
      <c r="B20" s="176">
        <v>1231543.1199999999</v>
      </c>
      <c r="C20" s="176">
        <v>597014.03</v>
      </c>
    </row>
    <row r="21" spans="1:3" x14ac:dyDescent="0.2">
      <c r="A21" t="s">
        <v>774</v>
      </c>
      <c r="B21" s="176">
        <v>460796.67</v>
      </c>
      <c r="C21" s="176">
        <v>187676.69</v>
      </c>
    </row>
    <row r="22" spans="1:3" x14ac:dyDescent="0.2">
      <c r="A22" t="str">
        <f>IF(B18=B22,IF(C18=C22,"Check Total OK","Check Total Error"),"Check Total Error")</f>
        <v>Check Total OK</v>
      </c>
      <c r="B22" s="168">
        <f>SUM(B19:B21)</f>
        <v>2918021.1399999997</v>
      </c>
      <c r="C22" s="168">
        <f>SUM(C19:C21)</f>
        <v>1393773.2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294998.81</v>
      </c>
      <c r="C27" s="171">
        <f>'DOE25'!G200+'DOE25'!G218+'DOE25'!G236+'DOE25'!G279+'DOE25'!G298+'DOE25'!G317</f>
        <v>153171.69</v>
      </c>
    </row>
    <row r="28" spans="1:3" x14ac:dyDescent="0.2">
      <c r="A28" t="s">
        <v>772</v>
      </c>
      <c r="B28" s="176">
        <v>294998.81</v>
      </c>
      <c r="C28" s="176">
        <v>153171.69</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294998.81</v>
      </c>
      <c r="C31" s="168">
        <f>SUM(C28:C30)</f>
        <v>153171.69</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399382.43000000005</v>
      </c>
      <c r="C36" s="172">
        <f>'DOE25'!G201+'DOE25'!G219+'DOE25'!G237+'DOE25'!G280+'DOE25'!G299+'DOE25'!G318</f>
        <v>97242.930000000008</v>
      </c>
    </row>
    <row r="37" spans="1:3" x14ac:dyDescent="0.2">
      <c r="A37" t="s">
        <v>772</v>
      </c>
      <c r="B37" s="176">
        <v>160680.5</v>
      </c>
      <c r="C37" s="176">
        <v>38191.380000000005</v>
      </c>
    </row>
    <row r="38" spans="1:3" x14ac:dyDescent="0.2">
      <c r="A38" t="s">
        <v>773</v>
      </c>
      <c r="B38" s="176">
        <v>31954.959999999999</v>
      </c>
      <c r="C38" s="176">
        <v>5737.79</v>
      </c>
    </row>
    <row r="39" spans="1:3" x14ac:dyDescent="0.2">
      <c r="A39" t="s">
        <v>774</v>
      </c>
      <c r="B39" s="176">
        <v>206746.97</v>
      </c>
      <c r="C39" s="176">
        <v>53313.759999999995</v>
      </c>
    </row>
    <row r="40" spans="1:3" x14ac:dyDescent="0.2">
      <c r="A40" t="str">
        <f>IF(B36=B40,IF(C36=C40,"Check Total OK","Check Total Error"),"Check Total Error")</f>
        <v>Check Total OK</v>
      </c>
      <c r="B40" s="168">
        <f>SUM(B37:B39)</f>
        <v>399382.43</v>
      </c>
      <c r="C40" s="168">
        <f>SUM(C37:C39)</f>
        <v>97242.93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A49" sqref="A49"/>
      <selection pane="bottomLeft" activeCell="F17" sqref="F1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Jaffrey-Rindge Cooperative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15791885.189999999</v>
      </c>
      <c r="D5" s="19">
        <f>SUM('DOE25'!L198:L201)+SUM('DOE25'!L216:L219)+SUM('DOE25'!L234:L237)-F5-G5-H5</f>
        <v>15744834.889999999</v>
      </c>
      <c r="E5" s="179"/>
      <c r="F5" s="180"/>
      <c r="G5" s="19">
        <f>SUM('DOE25'!J198:J201)+SUM('DOE25'!J216:J219)+SUM('DOE25'!J234:J237)</f>
        <v>0</v>
      </c>
      <c r="H5" s="19">
        <f>SUM('DOE25'!K198:K201)+SUM('DOE25'!K216:K219)+SUM('DOE25'!K234:K237)</f>
        <v>47050.3</v>
      </c>
      <c r="I5" s="191"/>
    </row>
    <row r="6" spans="1:9" x14ac:dyDescent="0.2">
      <c r="A6" s="31">
        <v>2100</v>
      </c>
      <c r="B6" t="s">
        <v>793</v>
      </c>
      <c r="C6" s="205">
        <f t="shared" si="0"/>
        <v>2287416.8099999996</v>
      </c>
      <c r="D6" s="19">
        <f>'DOE25'!L203+'DOE25'!L221+'DOE25'!L239-F6-G6-H6</f>
        <v>2286675.3399999994</v>
      </c>
      <c r="E6" s="179"/>
      <c r="F6" s="180"/>
      <c r="G6" s="19">
        <f>'DOE25'!J203+'DOE25'!J221+'DOE25'!J239</f>
        <v>691.47</v>
      </c>
      <c r="H6" s="19">
        <f>'DOE25'!K203+'DOE25'!K221+'DOE25'!K239</f>
        <v>50</v>
      </c>
      <c r="I6" s="191"/>
    </row>
    <row r="7" spans="1:9" x14ac:dyDescent="0.2">
      <c r="A7" s="31">
        <v>2200</v>
      </c>
      <c r="B7" t="s">
        <v>817</v>
      </c>
      <c r="C7" s="205">
        <f t="shared" si="0"/>
        <v>580123.76</v>
      </c>
      <c r="D7" s="19">
        <f>'DOE25'!L204+'DOE25'!L222+'DOE25'!L240-F7-G7-H7</f>
        <v>579058.76</v>
      </c>
      <c r="E7" s="179"/>
      <c r="F7" s="180"/>
      <c r="G7" s="19">
        <f>'DOE25'!J204+'DOE25'!J222+'DOE25'!J240</f>
        <v>0</v>
      </c>
      <c r="H7" s="19">
        <f>'DOE25'!K204+'DOE25'!K222+'DOE25'!K240</f>
        <v>1065</v>
      </c>
      <c r="I7" s="191"/>
    </row>
    <row r="8" spans="1:9" x14ac:dyDescent="0.2">
      <c r="A8" s="31">
        <v>2300</v>
      </c>
      <c r="B8" t="s">
        <v>794</v>
      </c>
      <c r="C8" s="205">
        <f t="shared" si="0"/>
        <v>587922.71</v>
      </c>
      <c r="D8" s="179"/>
      <c r="E8" s="19">
        <f>'DOE25'!L205+'DOE25'!L223+'DOE25'!L241-F8-G8-H8-D9-D11</f>
        <v>575863.80999999994</v>
      </c>
      <c r="F8" s="180"/>
      <c r="G8" s="19">
        <f>'DOE25'!J205+'DOE25'!J223+'DOE25'!J241</f>
        <v>0</v>
      </c>
      <c r="H8" s="19">
        <f>'DOE25'!K205+'DOE25'!K223+'DOE25'!K241</f>
        <v>12058.900000000001</v>
      </c>
      <c r="I8" s="191"/>
    </row>
    <row r="9" spans="1:9" ht="14.25" x14ac:dyDescent="0.2">
      <c r="A9" s="31">
        <v>2310</v>
      </c>
      <c r="B9" s="71" t="s">
        <v>884</v>
      </c>
      <c r="C9" s="205">
        <f t="shared" si="0"/>
        <v>64734.26</v>
      </c>
      <c r="D9" s="180">
        <v>64734.26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1660784.9800000002</v>
      </c>
      <c r="D12" s="19">
        <f>'DOE25'!L206+'DOE25'!L224+'DOE25'!L242-F12-G12-H12</f>
        <v>1656681.4800000002</v>
      </c>
      <c r="E12" s="179"/>
      <c r="F12" s="180"/>
      <c r="G12" s="19">
        <f>'DOE25'!J206+'DOE25'!J224+'DOE25'!J242</f>
        <v>0</v>
      </c>
      <c r="H12" s="19">
        <f>'DOE25'!K206+'DOE25'!K224+'DOE25'!K242</f>
        <v>4103.5</v>
      </c>
      <c r="I12" s="191"/>
    </row>
    <row r="13" spans="1:9" x14ac:dyDescent="0.2">
      <c r="A13" s="31">
        <v>2500</v>
      </c>
      <c r="B13" t="s">
        <v>795</v>
      </c>
      <c r="C13" s="205">
        <f t="shared" si="0"/>
        <v>791759.79</v>
      </c>
      <c r="D13" s="179"/>
      <c r="E13" s="19">
        <f>'DOE25'!L207+'DOE25'!L225+'DOE25'!L243-F13-G13-H13</f>
        <v>714467.72000000009</v>
      </c>
      <c r="F13" s="180"/>
      <c r="G13" s="19">
        <f>'DOE25'!J207+'DOE25'!J225+'DOE25'!J243</f>
        <v>2509.3200000000002</v>
      </c>
      <c r="H13" s="19">
        <f>'DOE25'!K207+'DOE25'!K225+'DOE25'!K243</f>
        <v>74782.75</v>
      </c>
      <c r="I13" s="191"/>
    </row>
    <row r="14" spans="1:9" x14ac:dyDescent="0.2">
      <c r="A14" s="31">
        <v>2600</v>
      </c>
      <c r="B14" t="s">
        <v>815</v>
      </c>
      <c r="C14" s="205">
        <f t="shared" si="0"/>
        <v>2707928.8</v>
      </c>
      <c r="D14" s="19">
        <f>'DOE25'!L208+'DOE25'!L226+'DOE25'!L244-F14-G14-H14</f>
        <v>2414867.04</v>
      </c>
      <c r="E14" s="179"/>
      <c r="F14" s="180">
        <f>101500+70575</f>
        <v>172075</v>
      </c>
      <c r="G14" s="19">
        <f>'DOE25'!J208+'DOE25'!J226+'DOE25'!J244</f>
        <v>120986.76000000001</v>
      </c>
      <c r="H14" s="19">
        <f>'DOE25'!K208+'DOE25'!K226+'DOE25'!K244</f>
        <v>0</v>
      </c>
      <c r="I14" s="191"/>
    </row>
    <row r="15" spans="1:9" x14ac:dyDescent="0.2">
      <c r="A15" s="31">
        <v>2700</v>
      </c>
      <c r="B15" t="s">
        <v>796</v>
      </c>
      <c r="C15" s="205">
        <f t="shared" si="0"/>
        <v>1657278.7799999998</v>
      </c>
      <c r="D15" s="19">
        <f>'DOE25'!L209+'DOE25'!L227+'DOE25'!L245-F15-G15-H15</f>
        <v>189679.84000000008</v>
      </c>
      <c r="E15" s="179"/>
      <c r="F15" s="180">
        <f>594736.7+152991+261762.92+145137.51+133163.91+115979.37-50000-585.58+16182.96+64708.87+33521.28</f>
        <v>1467598.9399999997</v>
      </c>
      <c r="G15" s="19">
        <f>'DOE25'!J209+'DOE25'!J227+'DOE25'!J245</f>
        <v>0</v>
      </c>
      <c r="H15" s="19">
        <f>'DOE25'!K209+'DOE25'!K227+'DOE25'!K245</f>
        <v>0</v>
      </c>
      <c r="I15" s="191"/>
    </row>
    <row r="16" spans="1:9" x14ac:dyDescent="0.2">
      <c r="A16" s="31">
        <v>2800</v>
      </c>
      <c r="B16" t="s">
        <v>797</v>
      </c>
      <c r="C16" s="205">
        <f t="shared" si="0"/>
        <v>771342.57000000007</v>
      </c>
      <c r="D16" s="179"/>
      <c r="E16" s="19">
        <f>'DOE25'!L210+'DOE25'!L228+'DOE25'!L246-F16-G16-H16</f>
        <v>737102.29</v>
      </c>
      <c r="F16" s="180"/>
      <c r="G16" s="19">
        <f>'DOE25'!J210+'DOE25'!J228+'DOE25'!J246</f>
        <v>34240.28</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128401.93</v>
      </c>
      <c r="D19" s="19">
        <f>'DOE25'!L254-F19-G19-H19</f>
        <v>128401.93</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723430.1</v>
      </c>
      <c r="D22" s="179"/>
      <c r="E22" s="179"/>
      <c r="F22" s="179"/>
      <c r="G22" s="19">
        <f>'DOE25'!L256+'DOE25'!L337</f>
        <v>723430.1</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178277.5</v>
      </c>
      <c r="D25" s="179"/>
      <c r="E25" s="179"/>
      <c r="F25" s="190"/>
      <c r="G25" s="179"/>
      <c r="H25" s="179"/>
      <c r="I25" s="189">
        <f>'DOE25'!L261+'DOE25'!L262+'DOE25'!L342+'DOE25'!L343</f>
        <v>178277.5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435395.27</v>
      </c>
      <c r="D29" s="211">
        <f>'DOE25'!L359+'DOE25'!L360+'DOE25'!L361-'DOE25'!I368-F29-G29-H29-F39</f>
        <v>423435.27</v>
      </c>
      <c r="E29" s="179"/>
      <c r="F29" s="179"/>
      <c r="G29" s="19">
        <f>'DOE25'!J359+'DOE25'!J360+'DOE25'!J361</f>
        <v>11960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1287803.9199999997</v>
      </c>
      <c r="D31" s="19">
        <f>'DOE25'!L291+'DOE25'!L310+'DOE25'!L329+'DOE25'!L334+'DOE25'!L335+'DOE25'!L336-F31-G31-H31</f>
        <v>1278098.0899999996</v>
      </c>
      <c r="E31" s="179"/>
      <c r="F31" s="180"/>
      <c r="G31" s="19">
        <f>'DOE25'!J291+'DOE25'!J310+'DOE25'!J329+'DOE25'!J334+'DOE25'!J335+'DOE25'!J336</f>
        <v>9410.83</v>
      </c>
      <c r="H31" s="19">
        <f>'DOE25'!K291+'DOE25'!K310+'DOE25'!K329+'DOE25'!K334+'DOE25'!K335+'DOE25'!K336</f>
        <v>295</v>
      </c>
      <c r="I31" s="191"/>
    </row>
    <row r="32" spans="1:9" ht="12" thickBot="1" x14ac:dyDescent="0.25">
      <c r="C32" s="206"/>
      <c r="G32" s="187"/>
      <c r="H32" s="187"/>
      <c r="I32" s="193"/>
    </row>
    <row r="33" spans="1:9" ht="12" thickTop="1" x14ac:dyDescent="0.2">
      <c r="B33" t="s">
        <v>806</v>
      </c>
      <c r="D33" s="181">
        <f t="shared" ref="D33:I33" si="1">SUM(D5:D31)</f>
        <v>24766466.899999999</v>
      </c>
      <c r="E33" s="181">
        <f t="shared" si="1"/>
        <v>2027433.82</v>
      </c>
      <c r="F33" s="181">
        <f t="shared" si="1"/>
        <v>1639673.9399999997</v>
      </c>
      <c r="G33" s="181">
        <f t="shared" si="1"/>
        <v>903228.75999999989</v>
      </c>
      <c r="H33" s="181">
        <f t="shared" si="1"/>
        <v>139405.45000000001</v>
      </c>
      <c r="I33" s="181">
        <f t="shared" si="1"/>
        <v>178277.5</v>
      </c>
    </row>
    <row r="34" spans="1:9" ht="12" thickBot="1" x14ac:dyDescent="0.25"/>
    <row r="35" spans="1:9" ht="12" thickBot="1" x14ac:dyDescent="0.25">
      <c r="B35" s="187" t="s">
        <v>827</v>
      </c>
      <c r="D35" s="188">
        <f>E33</f>
        <v>2027433.82</v>
      </c>
      <c r="E35" s="184"/>
      <c r="F35" s="294" t="s">
        <v>1596</v>
      </c>
      <c r="G35" s="295"/>
      <c r="H35" s="295"/>
      <c r="I35" s="296"/>
    </row>
    <row r="36" spans="1:9" ht="12" thickTop="1" x14ac:dyDescent="0.2">
      <c r="B36" t="s">
        <v>807</v>
      </c>
      <c r="D36" s="19">
        <f>D33</f>
        <v>24766466.899999999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212554.88</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23" sqref="A2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Jaffrey-Rindge Cooperative</v>
      </c>
      <c r="B2">
        <f>'DOE25'!B2</f>
        <v>274</v>
      </c>
      <c r="J2" s="223" t="s">
        <v>1799</v>
      </c>
      <c r="K2" s="308">
        <f>SUM('DOE25'!L198:L201)+SUM('DOE25'!L277:L280)</f>
        <v>9036976.0300000012</v>
      </c>
      <c r="L2" s="308">
        <f>'DOE25'!L203+'DOE25'!L282</f>
        <v>1028947.0399999999</v>
      </c>
      <c r="M2" s="308">
        <f>'DOE25'!L204+'DOE25'!L283</f>
        <v>394249.85</v>
      </c>
      <c r="N2" s="308">
        <f>'DOE25'!L206+'DOE25'!L285</f>
        <v>907654.72000000009</v>
      </c>
      <c r="O2" s="316">
        <f>'Salaries-Benefits'!B10+'Salaries-Benefits'!B12+'Salaries-Benefits'!B19+'Salaries-Benefits'!B21+'Salaries-Benefits'!B28+'Salaries-Benefits'!B30+'Salaries-Benefits'!B37+'Salaries-Benefits'!B39</f>
        <v>7853601.3999999985</v>
      </c>
      <c r="P2" s="316">
        <f>'Salaries-Benefits'!B11+'Salaries-Benefits'!B20+'Salaries-Benefits'!B29+'Salaries-Benefits'!B38</f>
        <v>1356157.0899999999</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14488416.439999999</v>
      </c>
      <c r="G4" s="228">
        <f>'DOE25'!L212+'DOE25'!L291</f>
        <v>14488416.439999999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545462.03+178238.9</f>
        <v>723700.93</v>
      </c>
      <c r="E5" s="219"/>
      <c r="F5" s="231">
        <f>D5+E5</f>
        <v>723700.93</v>
      </c>
      <c r="G5" s="222"/>
      <c r="H5" s="222"/>
      <c r="J5" s="71" t="s">
        <v>1798</v>
      </c>
      <c r="K5" s="20">
        <v>462584.05</v>
      </c>
      <c r="L5" s="20"/>
      <c r="M5" s="20"/>
      <c r="N5" s="20"/>
      <c r="O5" s="20"/>
      <c r="P5" s="20"/>
      <c r="Q5" s="20"/>
    </row>
    <row r="6" spans="1:22" x14ac:dyDescent="0.2">
      <c r="A6" t="str" cm="1">
        <f t="array" ref="A6">IFERROR(INDEX('School Tables'!$A$4:$G$365,'School Tables'!$J4,3),"")</f>
        <v>Jaffrey Grade School</v>
      </c>
      <c r="B6" s="229">
        <f>IFERROR(VLOOKUP(A6,'School Tables'!$C$3:$D$365,2,FALSE),"")</f>
        <v>22275</v>
      </c>
      <c r="C6" s="222" t="str">
        <f>IFERROR(INDEX('School Tables'!$B$3:$B$365,MATCH('School Level Expenditures'!B6,'School Tables'!$D$3:$D$365,0)),"")</f>
        <v>Jaffrey-Rindge Cooperative</v>
      </c>
      <c r="D6" s="219">
        <f>4462310.04+1052997.06+500-0.01</f>
        <v>5515807.0899999999</v>
      </c>
      <c r="E6" s="219">
        <v>603954.68999999994</v>
      </c>
      <c r="F6" s="231">
        <f t="shared" ref="F6:F20" si="2">D6+E6</f>
        <v>6119761.7799999993</v>
      </c>
      <c r="G6" s="222"/>
      <c r="H6" s="222"/>
      <c r="J6" t="str">
        <f t="shared" ref="J6:J20" si="3">A6</f>
        <v>Jaffrey Grade School</v>
      </c>
      <c r="K6" s="20">
        <f>3096205.44+185597.21+512296.27+500-0.01</f>
        <v>3794598.91</v>
      </c>
      <c r="L6" s="20">
        <f>336357.81+37722.84</f>
        <v>374080.65</v>
      </c>
      <c r="M6" s="307">
        <f>104682.45+28377.13+44425.77</f>
        <v>177485.34999999998</v>
      </c>
      <c r="N6" s="20">
        <f>457199.44+3185.37</f>
        <v>460384.81</v>
      </c>
      <c r="O6" s="20">
        <f>1739842.85+290742.25+102571.71+2000+18071.41+5570.65-250-298.08</f>
        <v>2158250.79</v>
      </c>
      <c r="P6" s="20">
        <v>242551.83</v>
      </c>
      <c r="Q6" s="20">
        <f>122140.79+373.91+950.95</f>
        <v>123465.65</v>
      </c>
    </row>
    <row r="7" spans="1:22" x14ac:dyDescent="0.2">
      <c r="A7" t="str" cm="1">
        <f t="array" ref="A7">IFERROR(INDEX('School Tables'!$A$4:$G$365,'School Tables'!$J5,3),"")</f>
        <v>Rindge Memorial School</v>
      </c>
      <c r="B7" s="229">
        <f>IFERROR(VLOOKUP(A7,'School Tables'!$C$3:$D$365,2,FALSE),"")</f>
        <v>22320</v>
      </c>
      <c r="C7" s="222" t="str">
        <f>IFERROR(INDEX('School Tables'!$B$3:$B$365,MATCH('School Level Expenditures'!B7,'School Tables'!$D$3:$D$365,0)),"")</f>
        <v>Jaffrey-Rindge Cooperative</v>
      </c>
      <c r="D7" s="219">
        <f>6040100.84+1216323.56</f>
        <v>7256424.4000000004</v>
      </c>
      <c r="E7" s="219">
        <v>388529.33</v>
      </c>
      <c r="F7" s="231">
        <f t="shared" si="2"/>
        <v>7644953.7300000004</v>
      </c>
      <c r="G7" s="222"/>
      <c r="H7" s="222"/>
      <c r="J7" t="str">
        <f t="shared" si="3"/>
        <v>Rindge Memorial School</v>
      </c>
      <c r="K7" s="20">
        <f>4236596.26+214384.5+328812.33-0.02</f>
        <v>4779793.07</v>
      </c>
      <c r="L7" s="20">
        <f>654866.39</f>
        <v>654866.39</v>
      </c>
      <c r="M7" s="307">
        <f>132669.4+32778.6+51316.5</f>
        <v>216764.5</v>
      </c>
      <c r="N7" s="20">
        <f>443590.47+3679.44</f>
        <v>447269.91</v>
      </c>
      <c r="O7" s="20">
        <f>1982327.22+48750+118481.24+54300+1000+69600+2000+20874.39+6434.69-139.38-1074.75</f>
        <v>2302553.41</v>
      </c>
      <c r="P7" s="20">
        <f>667304.01+3940.73</f>
        <v>671244.74</v>
      </c>
      <c r="Q7" s="20">
        <f>15557.92+431.91+1098.44</f>
        <v>17088.27</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13495932.42</v>
      </c>
      <c r="E21" s="261">
        <f>SUM(E5:E20)</f>
        <v>992484.02</v>
      </c>
      <c r="F21" s="216"/>
      <c r="G21" s="216"/>
      <c r="H21" s="216"/>
      <c r="K21" s="262">
        <f t="shared" ref="K21:Q21" si="4">SUM(K5:K20)</f>
        <v>9036976.0300000012</v>
      </c>
      <c r="L21" s="262">
        <f t="shared" si="4"/>
        <v>1028947.04</v>
      </c>
      <c r="M21" s="262">
        <f t="shared" si="4"/>
        <v>394249.85</v>
      </c>
      <c r="N21" s="262">
        <f t="shared" si="4"/>
        <v>907654.72</v>
      </c>
      <c r="O21" s="262">
        <f t="shared" si="4"/>
        <v>4460804.2</v>
      </c>
      <c r="P21" s="262">
        <f t="shared" si="4"/>
        <v>913796.57</v>
      </c>
      <c r="Q21" s="262">
        <f t="shared" si="4"/>
        <v>140553.91999999998</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3110174.9999999995</v>
      </c>
      <c r="L23" s="19">
        <f>'DOE25'!L221+'DOE25'!L301</f>
        <v>577211.3899999999</v>
      </c>
      <c r="M23" s="19">
        <f>'DOE25'!L222+'DOE25'!L302</f>
        <v>136902.54</v>
      </c>
      <c r="N23" s="19">
        <f>'DOE25'!L224+'DOE25'!L304</f>
        <v>365660.70999999996</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5598500.3200000003</v>
      </c>
      <c r="G25" s="228">
        <f>'DOE25'!L230+'DOE25'!L310</f>
        <v>5598500.3199999984</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494568.25</v>
      </c>
      <c r="E26" s="219"/>
      <c r="F26" s="231">
        <f>D26+E26</f>
        <v>494568.25</v>
      </c>
      <c r="G26" s="222"/>
      <c r="H26" s="222"/>
      <c r="J26" s="71" t="s">
        <v>1798</v>
      </c>
      <c r="K26" s="315">
        <v>361404.34</v>
      </c>
      <c r="L26" s="315"/>
      <c r="M26" s="315"/>
      <c r="N26" s="315"/>
      <c r="O26" s="315"/>
      <c r="P26" s="315"/>
      <c r="Q26" s="315"/>
    </row>
    <row r="27" spans="1:17" x14ac:dyDescent="0.2">
      <c r="A27" t="str" cm="1">
        <f t="array" ref="A27">IFERROR(INDEX('School Tables'!$L$4:$R$100,'School Tables'!$U4,3),"")</f>
        <v>Conant Middle High School (M)</v>
      </c>
      <c r="B27" s="229">
        <f>IFERROR(VLOOKUP(A27,'School Tables'!$N$4:$O$100,2,FALSE),"")</f>
        <v>22280</v>
      </c>
      <c r="C27" s="222" t="str">
        <f>IFERROR(INDEX('School Tables'!$M$4:$M$100,MATCH('School Level Expenditures'!A27,'School Tables'!$N$4:$N$100,0)),"")</f>
        <v>Jaffrey-Rindge Cooperative</v>
      </c>
      <c r="D27" s="219">
        <f>3948343.21+981248.7</f>
        <v>4929591.91</v>
      </c>
      <c r="E27" s="219">
        <v>174340.16</v>
      </c>
      <c r="F27" s="231">
        <f t="shared" ref="F27:F33" si="6">D27+E27</f>
        <v>5103932.07</v>
      </c>
      <c r="G27" s="222"/>
      <c r="H27" s="222"/>
      <c r="J27" t="str">
        <f t="shared" ref="J27:J33" si="7">A27</f>
        <v>Conant Middle High School (M)</v>
      </c>
      <c r="K27" s="20">
        <f>2447077.98+172951.12+128741.56</f>
        <v>2748770.66</v>
      </c>
      <c r="L27" s="20">
        <v>577211.39</v>
      </c>
      <c r="M27" s="307">
        <f>71637.33+23866.49+41398.72</f>
        <v>136902.54</v>
      </c>
      <c r="N27" s="20">
        <f>362692.38+2968.33</f>
        <v>365660.71</v>
      </c>
      <c r="O27" s="20">
        <f>1348500.92+95582.76+51050+1000+16840.07+5191.08</f>
        <v>1518164.83</v>
      </c>
      <c r="P27" s="20">
        <v>208121.34</v>
      </c>
      <c r="Q27" s="20">
        <f>43452.05+348.44+886.15</f>
        <v>44686.640000000007</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5424160.1600000001</v>
      </c>
      <c r="E34" s="261">
        <f>SUM(E26:E33)</f>
        <v>174340.16</v>
      </c>
      <c r="F34" s="216"/>
      <c r="G34" s="216"/>
      <c r="H34" s="216"/>
      <c r="K34" s="262">
        <f t="shared" ref="K34:Q34" si="8">SUM(K26:K33)</f>
        <v>3110175</v>
      </c>
      <c r="L34" s="262">
        <f t="shared" si="8"/>
        <v>577211.39</v>
      </c>
      <c r="M34" s="262">
        <f t="shared" si="8"/>
        <v>136902.54</v>
      </c>
      <c r="N34" s="262">
        <f t="shared" si="8"/>
        <v>365660.71</v>
      </c>
      <c r="O34" s="262">
        <f t="shared" si="8"/>
        <v>1518164.83</v>
      </c>
      <c r="P34" s="262">
        <f t="shared" si="8"/>
        <v>208121.34</v>
      </c>
      <c r="Q34" s="262">
        <f t="shared" si="8"/>
        <v>44686.640000000007</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4655908.13</v>
      </c>
      <c r="L36" s="19">
        <f>'DOE25'!L239+'DOE25'!L320</f>
        <v>718981.22</v>
      </c>
      <c r="M36" s="19">
        <f>'DOE25'!L240+'DOE25'!L321</f>
        <v>168155.01999999996</v>
      </c>
      <c r="N36" s="19">
        <f>'DOE25'!L242+'DOE25'!L323</f>
        <v>387469.55</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8087676.71</v>
      </c>
      <c r="G38" s="228">
        <f>'DOE25'!L248+'DOE25'!L329</f>
        <v>8087676.709999999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1492848.26</v>
      </c>
      <c r="E39" s="219"/>
      <c r="F39" s="231">
        <f t="shared" ref="F39:F44" si="10">D39+E39</f>
        <v>1492848.26</v>
      </c>
      <c r="G39" s="222"/>
      <c r="H39" s="222"/>
      <c r="J39" s="71" t="s">
        <v>1798</v>
      </c>
      <c r="K39" s="315">
        <v>1231085.3400000001</v>
      </c>
      <c r="L39" s="315"/>
      <c r="M39" s="315"/>
      <c r="N39" s="315"/>
      <c r="O39" s="315"/>
      <c r="P39" s="315"/>
      <c r="Q39" s="315"/>
    </row>
    <row r="40" spans="1:17" x14ac:dyDescent="0.2">
      <c r="A40" t="str" cm="1">
        <f t="array" ref="A40">IFERROR(INDEX('School Tables'!$W$4:$AC$120,'School Tables'!$AF4,3),"")</f>
        <v>Conant Middle High School (H)</v>
      </c>
      <c r="B40" s="229">
        <f>IFERROR(VLOOKUP(A40,'School Tables'!$Y$4:$Z$120,2,FALSE),"")</f>
        <v>22265</v>
      </c>
      <c r="C40" s="222" t="str">
        <f>IFERROR(INDEX('School Tables'!$X$4:$X$120,MATCH('School Level Expenditures'!A40,'School Tables'!$Y$4:$Y$120,0)),"")</f>
        <v>Jaffrey-Rindge Cooperative</v>
      </c>
      <c r="D40" s="219">
        <f>4930729.7+1557507.1+0.01</f>
        <v>6488236.8100000005</v>
      </c>
      <c r="E40" s="219">
        <v>106591.64</v>
      </c>
      <c r="F40" s="231">
        <f t="shared" si="10"/>
        <v>6594828.4500000002</v>
      </c>
      <c r="G40" s="222"/>
      <c r="H40" s="222"/>
      <c r="J40" t="str">
        <f>A40</f>
        <v>Conant Middle High School (H)</v>
      </c>
      <c r="K40" s="20">
        <f>3135944.34+247554.65+41323.8</f>
        <v>3424822.7899999996</v>
      </c>
      <c r="L40" s="20">
        <v>718981.22</v>
      </c>
      <c r="M40" s="307">
        <f>74737.32+59256.27+34161.43</f>
        <v>168155.02</v>
      </c>
      <c r="N40" s="20">
        <f>383220.82+4248.73</f>
        <v>387469.55</v>
      </c>
      <c r="O40" s="20">
        <f>1704485.01+1800+136812.95+24104.13+7430.28</f>
        <v>1874632.3699999999</v>
      </c>
      <c r="P40" s="20">
        <v>234239.18</v>
      </c>
      <c r="Q40" s="20">
        <f>38843.07+498.74+1268.39</f>
        <v>40610.199999999997</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7981085.0700000003</v>
      </c>
      <c r="E45" s="262">
        <f>SUM(E39:E44)</f>
        <v>106591.64</v>
      </c>
      <c r="K45" s="262">
        <f t="shared" ref="K45:Q45" si="11">SUM(K39:K44)</f>
        <v>4655908.13</v>
      </c>
      <c r="L45" s="262">
        <f t="shared" si="11"/>
        <v>718981.22</v>
      </c>
      <c r="M45" s="262">
        <f t="shared" si="11"/>
        <v>168155.02</v>
      </c>
      <c r="N45" s="262">
        <f t="shared" si="11"/>
        <v>387469.55</v>
      </c>
      <c r="O45" s="262">
        <f t="shared" si="11"/>
        <v>1874632.3699999999</v>
      </c>
      <c r="P45" s="262">
        <f t="shared" si="11"/>
        <v>234239.18</v>
      </c>
      <c r="Q45" s="262">
        <f t="shared" si="11"/>
        <v>40610.199999999997</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Jaffrey-Rindge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3494746.89</v>
      </c>
      <c r="D8" s="73">
        <f>'DOE25'!G9</f>
        <v>18.88</v>
      </c>
      <c r="E8" s="73">
        <f>'DOE25'!H9</f>
        <v>0</v>
      </c>
      <c r="F8" s="73">
        <f>'DOE25'!I9</f>
        <v>0</v>
      </c>
      <c r="G8" s="73">
        <f>'DOE25'!J9</f>
        <v>0</v>
      </c>
      <c r="H8" s="13">
        <f>SUM(C8:G8)</f>
        <v>3494765.77</v>
      </c>
      <c r="I8" s="90"/>
    </row>
    <row r="9" spans="1:9" x14ac:dyDescent="0.2">
      <c r="A9" s="1" t="s">
        <v>140</v>
      </c>
      <c r="B9" s="6">
        <v>110</v>
      </c>
      <c r="C9" s="73">
        <f>'DOE25'!F10</f>
        <v>0</v>
      </c>
      <c r="D9" s="73">
        <f>'DOE25'!G10</f>
        <v>0</v>
      </c>
      <c r="E9" s="73">
        <f>'DOE25'!H10</f>
        <v>0</v>
      </c>
      <c r="F9" s="73">
        <f>'DOE25'!I10</f>
        <v>0</v>
      </c>
      <c r="G9" s="73">
        <f>'DOE25'!J10</f>
        <v>3456682.84</v>
      </c>
      <c r="H9" s="13">
        <f t="shared" ref="H9:H18" si="0">SUM(C9:G9)</f>
        <v>3456682.84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162994.62</v>
      </c>
      <c r="D11" s="73">
        <f>'DOE25'!G12</f>
        <v>84952.06</v>
      </c>
      <c r="E11" s="73">
        <f>'DOE25'!H12</f>
        <v>0</v>
      </c>
      <c r="F11" s="73">
        <f>'DOE25'!I12</f>
        <v>0</v>
      </c>
      <c r="G11" s="73">
        <f>'DOE25'!J12</f>
        <v>43718.79</v>
      </c>
      <c r="H11" s="13">
        <f t="shared" si="0"/>
        <v>291665.46999999997</v>
      </c>
      <c r="I11" s="90"/>
    </row>
    <row r="12" spans="1:9" x14ac:dyDescent="0.2">
      <c r="A12" s="1" t="s">
        <v>143</v>
      </c>
      <c r="B12" s="6">
        <v>140</v>
      </c>
      <c r="C12" s="73">
        <f>'DOE25'!F13</f>
        <v>63570.25</v>
      </c>
      <c r="D12" s="73">
        <f>'DOE25'!G13</f>
        <v>41450.699999999997</v>
      </c>
      <c r="E12" s="73">
        <f>'DOE25'!H13</f>
        <v>245904.95</v>
      </c>
      <c r="F12" s="73">
        <f>'DOE25'!I13</f>
        <v>0</v>
      </c>
      <c r="G12" s="73">
        <f>'DOE25'!J13</f>
        <v>0</v>
      </c>
      <c r="H12" s="13">
        <f t="shared" si="0"/>
        <v>350925.9</v>
      </c>
      <c r="I12" s="90"/>
    </row>
    <row r="13" spans="1:9" x14ac:dyDescent="0.2">
      <c r="A13" s="1" t="s">
        <v>144</v>
      </c>
      <c r="B13" s="6">
        <v>150</v>
      </c>
      <c r="C13" s="73">
        <f>'DOE25'!F14</f>
        <v>5406.22</v>
      </c>
      <c r="D13" s="73">
        <f>'DOE25'!G14</f>
        <v>0</v>
      </c>
      <c r="E13" s="73">
        <f>'DOE25'!H14</f>
        <v>0</v>
      </c>
      <c r="F13" s="73">
        <f>'DOE25'!I14</f>
        <v>0</v>
      </c>
      <c r="G13" s="73">
        <f>'DOE25'!J14</f>
        <v>0</v>
      </c>
      <c r="H13" s="13">
        <f t="shared" si="0"/>
        <v>5406.22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12445.32</v>
      </c>
      <c r="E15" s="73">
        <f>'DOE25'!H16</f>
        <v>0</v>
      </c>
      <c r="F15" s="73">
        <f>'DOE25'!I16</f>
        <v>0</v>
      </c>
      <c r="G15" s="23" t="s">
        <v>288</v>
      </c>
      <c r="H15" s="13">
        <f t="shared" si="0"/>
        <v>12445.32</v>
      </c>
      <c r="I15" s="90"/>
    </row>
    <row r="16" spans="1:9" x14ac:dyDescent="0.2">
      <c r="A16" s="1" t="s">
        <v>147</v>
      </c>
      <c r="B16" s="6">
        <v>180</v>
      </c>
      <c r="C16" s="73">
        <f>'DOE25'!F17</f>
        <v>15019.5</v>
      </c>
      <c r="D16" s="73">
        <f>'DOE25'!G17</f>
        <v>0</v>
      </c>
      <c r="E16" s="73">
        <f>'DOE25'!H17</f>
        <v>0</v>
      </c>
      <c r="F16" s="73">
        <f>'DOE25'!I17</f>
        <v>0</v>
      </c>
      <c r="G16" s="73">
        <f>'DOE25'!J17</f>
        <v>0</v>
      </c>
      <c r="H16" s="13">
        <f t="shared" si="0"/>
        <v>15019.5</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3741737.4800000004</v>
      </c>
      <c r="D18" s="38">
        <f>SUM(D8:D17)</f>
        <v>138866.96</v>
      </c>
      <c r="E18" s="38">
        <f>SUM(E8:E17)</f>
        <v>245904.95</v>
      </c>
      <c r="F18" s="38">
        <f>SUM(F8:F17)</f>
        <v>0</v>
      </c>
      <c r="G18" s="38">
        <f>SUM(G8:G17)</f>
        <v>3500401.63</v>
      </c>
      <c r="H18" s="38">
        <f t="shared" si="0"/>
        <v>7626911.0200000005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235934.43</v>
      </c>
      <c r="F21" s="73">
        <f>'DOE25'!I22</f>
        <v>0</v>
      </c>
      <c r="G21" s="73">
        <f>'DOE25'!J22</f>
        <v>0</v>
      </c>
      <c r="H21" s="13">
        <f t="shared" ref="H21:H31" si="1">SUM(C21:G21)</f>
        <v>235934.43</v>
      </c>
      <c r="I21" s="90"/>
    </row>
    <row r="22" spans="1:9" x14ac:dyDescent="0.2">
      <c r="A22" s="1" t="s">
        <v>151</v>
      </c>
      <c r="B22" s="6">
        <v>410</v>
      </c>
      <c r="C22" s="73">
        <f>'DOE25'!F23</f>
        <v>22600.68</v>
      </c>
      <c r="D22" s="73">
        <f>'DOE25'!G23</f>
        <v>0</v>
      </c>
      <c r="E22" s="73">
        <f>'DOE25'!H23</f>
        <v>0</v>
      </c>
      <c r="F22" s="73">
        <f>'DOE25'!I23</f>
        <v>0</v>
      </c>
      <c r="G22" s="73">
        <f>'DOE25'!J23</f>
        <v>55731.040000000001</v>
      </c>
      <c r="H22" s="13">
        <f t="shared" si="1"/>
        <v>78331.72</v>
      </c>
      <c r="I22" s="90"/>
    </row>
    <row r="23" spans="1:9" x14ac:dyDescent="0.2">
      <c r="A23" s="1" t="s">
        <v>152</v>
      </c>
      <c r="B23" s="6">
        <v>420</v>
      </c>
      <c r="C23" s="73">
        <f>'DOE25'!F24</f>
        <v>665066.80000000005</v>
      </c>
      <c r="D23" s="73">
        <f>'DOE25'!G24</f>
        <v>192</v>
      </c>
      <c r="E23" s="73">
        <f>'DOE25'!H24</f>
        <v>7369.46</v>
      </c>
      <c r="F23" s="73">
        <f>'DOE25'!I24</f>
        <v>0</v>
      </c>
      <c r="G23" s="73">
        <f>'DOE25'!J24</f>
        <v>43718.79</v>
      </c>
      <c r="H23" s="13">
        <f t="shared" si="1"/>
        <v>716347.05</v>
      </c>
      <c r="I23" s="90"/>
    </row>
    <row r="24" spans="1:9" x14ac:dyDescent="0.2">
      <c r="A24" s="1" t="s">
        <v>153</v>
      </c>
      <c r="B24" s="6">
        <v>430</v>
      </c>
      <c r="C24" s="73">
        <f>'DOE25'!F25</f>
        <v>0</v>
      </c>
      <c r="D24" s="73">
        <f>'DOE25'!G25</f>
        <v>23628.6</v>
      </c>
      <c r="E24" s="73">
        <f>'DOE25'!H25</f>
        <v>0</v>
      </c>
      <c r="F24" s="73">
        <f>'DOE25'!I25</f>
        <v>0</v>
      </c>
      <c r="G24" s="23" t="s">
        <v>288</v>
      </c>
      <c r="H24" s="13">
        <f t="shared" si="1"/>
        <v>23628.6</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27621.55</v>
      </c>
      <c r="D27" s="73">
        <f>'DOE25'!G28</f>
        <v>0</v>
      </c>
      <c r="E27" s="73">
        <f>'DOE25'!H28</f>
        <v>2358.75</v>
      </c>
      <c r="F27" s="73">
        <f>'DOE25'!I28</f>
        <v>0</v>
      </c>
      <c r="G27" s="23" t="s">
        <v>288</v>
      </c>
      <c r="H27" s="13">
        <f t="shared" si="1"/>
        <v>29980.3</v>
      </c>
      <c r="I27" s="90"/>
    </row>
    <row r="28" spans="1:9" x14ac:dyDescent="0.2">
      <c r="A28" s="1" t="s">
        <v>157</v>
      </c>
      <c r="B28" s="6">
        <v>470</v>
      </c>
      <c r="C28" s="73">
        <f>'DOE25'!F29</f>
        <v>19845.240000000002</v>
      </c>
      <c r="D28" s="73">
        <f>'DOE25'!G29</f>
        <v>0</v>
      </c>
      <c r="E28" s="73">
        <f>'DOE25'!H29</f>
        <v>242.31</v>
      </c>
      <c r="F28" s="73">
        <f>'DOE25'!I29</f>
        <v>0</v>
      </c>
      <c r="G28" s="23" t="s">
        <v>288</v>
      </c>
      <c r="H28" s="13">
        <f t="shared" si="1"/>
        <v>20087.550000000003</v>
      </c>
      <c r="I28" s="90"/>
    </row>
    <row r="29" spans="1:9" x14ac:dyDescent="0.2">
      <c r="A29" s="1" t="s">
        <v>158</v>
      </c>
      <c r="B29" s="6">
        <v>480</v>
      </c>
      <c r="C29" s="73">
        <f>'DOE25'!F30</f>
        <v>0</v>
      </c>
      <c r="D29" s="73">
        <f>'DOE25'!G30</f>
        <v>20571.61</v>
      </c>
      <c r="E29" s="73">
        <f>'DOE25'!H30</f>
        <v>0</v>
      </c>
      <c r="F29" s="73">
        <f>'DOE25'!I30</f>
        <v>0</v>
      </c>
      <c r="G29" s="23" t="s">
        <v>288</v>
      </c>
      <c r="H29" s="13">
        <f t="shared" si="1"/>
        <v>20571.61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735134.27000000014</v>
      </c>
      <c r="D31" s="38">
        <f>SUM(D21:D30)</f>
        <v>44392.21</v>
      </c>
      <c r="E31" s="38">
        <f>SUM(E21:E30)</f>
        <v>245904.94999999998</v>
      </c>
      <c r="F31" s="38">
        <f>SUM(F21:F30)</f>
        <v>0</v>
      </c>
      <c r="G31" s="38">
        <f>SUM(G21:G30)</f>
        <v>99449.83</v>
      </c>
      <c r="H31" s="38">
        <f t="shared" si="1"/>
        <v>1124881.26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12445.32</v>
      </c>
      <c r="E34" s="73">
        <f>'DOE25'!H35</f>
        <v>0</v>
      </c>
      <c r="F34" s="73">
        <f>'DOE25'!I35</f>
        <v>0</v>
      </c>
      <c r="G34" s="23" t="s">
        <v>288</v>
      </c>
      <c r="H34" s="13">
        <f t="shared" ref="H34:H51" si="2">SUM(C34:G34)</f>
        <v>12445.32</v>
      </c>
      <c r="I34" s="90"/>
    </row>
    <row r="35" spans="1:9" x14ac:dyDescent="0.2">
      <c r="A35" s="1" t="s">
        <v>846</v>
      </c>
      <c r="B35" s="6">
        <v>752</v>
      </c>
      <c r="C35" s="73">
        <f>'DOE25'!F36</f>
        <v>15019.5</v>
      </c>
      <c r="D35" s="73">
        <f>'DOE25'!G36</f>
        <v>0</v>
      </c>
      <c r="E35" s="73">
        <f>'DOE25'!H36</f>
        <v>0</v>
      </c>
      <c r="F35" s="73">
        <f>'DOE25'!I36</f>
        <v>0</v>
      </c>
      <c r="G35" s="23" t="s">
        <v>288</v>
      </c>
      <c r="H35" s="13">
        <f t="shared" si="2"/>
        <v>15019.5</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82029.429999999993</v>
      </c>
      <c r="E39" s="23" t="s">
        <v>288</v>
      </c>
      <c r="F39" s="23" t="s">
        <v>288</v>
      </c>
      <c r="G39" s="23" t="s">
        <v>288</v>
      </c>
      <c r="H39" s="13">
        <f t="shared" si="2"/>
        <v>82029.429999999993</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3400951.8</v>
      </c>
      <c r="H42" s="13">
        <f t="shared" si="2"/>
        <v>3400951.8</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1157757</v>
      </c>
      <c r="D45" s="23" t="s">
        <v>288</v>
      </c>
      <c r="E45" s="23" t="s">
        <v>288</v>
      </c>
      <c r="F45" s="23" t="s">
        <v>288</v>
      </c>
      <c r="G45" s="23" t="s">
        <v>288</v>
      </c>
      <c r="H45" s="13">
        <f t="shared" si="2"/>
        <v>1157757</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94373.91</v>
      </c>
      <c r="D48" s="73">
        <f>'DOE25'!G49</f>
        <v>0</v>
      </c>
      <c r="E48" s="73">
        <f>'DOE25'!H49</f>
        <v>0</v>
      </c>
      <c r="F48" s="73">
        <f>'DOE25'!I49</f>
        <v>0</v>
      </c>
      <c r="G48" s="73">
        <f>'DOE25'!J49</f>
        <v>0</v>
      </c>
      <c r="H48" s="13">
        <f t="shared" si="2"/>
        <v>94373.91</v>
      </c>
      <c r="I48" s="90"/>
    </row>
    <row r="49" spans="1:9" ht="12" thickBot="1" x14ac:dyDescent="0.25">
      <c r="A49" s="28" t="s">
        <v>879</v>
      </c>
      <c r="B49" s="56">
        <v>770</v>
      </c>
      <c r="C49" s="73">
        <f>'DOE25'!F50</f>
        <v>1739452.7999999998</v>
      </c>
      <c r="D49" s="23" t="s">
        <v>288</v>
      </c>
      <c r="E49" s="23" t="s">
        <v>288</v>
      </c>
      <c r="F49" s="23" t="s">
        <v>288</v>
      </c>
      <c r="G49" s="23" t="s">
        <v>288</v>
      </c>
      <c r="H49" s="13">
        <f t="shared" si="2"/>
        <v>1739452.7999999998</v>
      </c>
      <c r="I49" s="90"/>
    </row>
    <row r="50" spans="1:9" ht="12.75" thickTop="1" thickBot="1" x14ac:dyDescent="0.25">
      <c r="A50" s="35" t="s">
        <v>880</v>
      </c>
      <c r="B50" s="44"/>
      <c r="C50" s="38">
        <f>SUM(C34:C49)</f>
        <v>3006603.21</v>
      </c>
      <c r="D50" s="38">
        <f>SUM(D34:D49)</f>
        <v>94474.75</v>
      </c>
      <c r="E50" s="38">
        <f>SUM(E34:E49)</f>
        <v>0</v>
      </c>
      <c r="F50" s="38">
        <f>SUM(F34:F49)</f>
        <v>0</v>
      </c>
      <c r="G50" s="38">
        <f>SUM(G34:G49)</f>
        <v>3400951.8</v>
      </c>
      <c r="H50" s="38">
        <f t="shared" si="2"/>
        <v>6502029.7599999998</v>
      </c>
      <c r="I50" s="90"/>
    </row>
    <row r="51" spans="1:9" ht="12" thickTop="1" x14ac:dyDescent="0.2">
      <c r="A51" s="35" t="s">
        <v>881</v>
      </c>
      <c r="B51" s="2"/>
      <c r="C51" s="38">
        <f>C50+C31</f>
        <v>3741737.48</v>
      </c>
      <c r="D51" s="38">
        <f>D50+D31</f>
        <v>138866.96</v>
      </c>
      <c r="E51" s="38">
        <f>E50+E31</f>
        <v>245904.94999999998</v>
      </c>
      <c r="F51" s="38">
        <f>F50+F31</f>
        <v>0</v>
      </c>
      <c r="G51" s="38">
        <f>G50+G31</f>
        <v>3500401.63</v>
      </c>
      <c r="H51" s="38">
        <f t="shared" si="2"/>
        <v>7626911.0199999996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20793615</v>
      </c>
      <c r="D56" s="73">
        <f>'DOE25'!G60</f>
        <v>0</v>
      </c>
      <c r="E56" s="73">
        <f>'DOE25'!H60</f>
        <v>0</v>
      </c>
      <c r="F56" s="73">
        <f>'DOE25'!I60</f>
        <v>0</v>
      </c>
      <c r="G56" s="73">
        <f>'DOE25'!J60</f>
        <v>0</v>
      </c>
      <c r="H56" s="13">
        <f t="shared" ref="H56:H63" si="3">SUM(C56:G56)</f>
        <v>20793615</v>
      </c>
      <c r="I56"/>
    </row>
    <row r="57" spans="1:9" x14ac:dyDescent="0.2">
      <c r="A57" s="1" t="s">
        <v>164</v>
      </c>
      <c r="B57" s="6" t="s">
        <v>165</v>
      </c>
      <c r="C57" s="73">
        <f>'DOE25'!F79</f>
        <v>17961.34</v>
      </c>
      <c r="D57" s="23" t="s">
        <v>288</v>
      </c>
      <c r="E57" s="73">
        <f>'DOE25'!H79</f>
        <v>0</v>
      </c>
      <c r="F57" s="23" t="s">
        <v>288</v>
      </c>
      <c r="G57" s="23" t="s">
        <v>288</v>
      </c>
      <c r="H57" s="13">
        <f t="shared" si="3"/>
        <v>17961.34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144964.56</v>
      </c>
      <c r="D59" s="73">
        <f>'DOE25'!G96</f>
        <v>0</v>
      </c>
      <c r="E59" s="73">
        <f>'DOE25'!H96</f>
        <v>0</v>
      </c>
      <c r="F59" s="73">
        <f>'DOE25'!I96</f>
        <v>0</v>
      </c>
      <c r="G59" s="73">
        <f>'DOE25'!J96</f>
        <v>93038.22</v>
      </c>
      <c r="H59" s="13">
        <f t="shared" si="3"/>
        <v>238002.78</v>
      </c>
      <c r="I59"/>
    </row>
    <row r="60" spans="1:9" x14ac:dyDescent="0.2">
      <c r="A60" s="1" t="s">
        <v>170</v>
      </c>
      <c r="B60" s="22" t="s">
        <v>171</v>
      </c>
      <c r="C60" s="23" t="s">
        <v>288</v>
      </c>
      <c r="D60" s="73">
        <f>'DOE25'!G97</f>
        <v>283263.78000000003</v>
      </c>
      <c r="E60" s="23" t="s">
        <v>288</v>
      </c>
      <c r="F60" s="23" t="s">
        <v>288</v>
      </c>
      <c r="G60" s="23" t="s">
        <v>288</v>
      </c>
      <c r="H60" s="13">
        <f t="shared" si="3"/>
        <v>283263.78000000003</v>
      </c>
      <c r="I60"/>
    </row>
    <row r="61" spans="1:9" ht="12" thickBot="1" x14ac:dyDescent="0.25">
      <c r="A61" s="1" t="s">
        <v>172</v>
      </c>
      <c r="B61" s="22" t="s">
        <v>173</v>
      </c>
      <c r="C61" s="73">
        <f>SUM('DOE25'!F98:F110)</f>
        <v>176215.24</v>
      </c>
      <c r="D61" s="73">
        <f>SUM('DOE25'!G98:G110)</f>
        <v>0</v>
      </c>
      <c r="E61" s="73">
        <f>SUM('DOE25'!H98:H110)</f>
        <v>172055.47</v>
      </c>
      <c r="F61" s="73">
        <f>SUM('DOE25'!I98:I110)</f>
        <v>0</v>
      </c>
      <c r="G61" s="73">
        <f>SUM('DOE25'!J98:J110)</f>
        <v>0</v>
      </c>
      <c r="H61" s="13">
        <f t="shared" si="3"/>
        <v>348270.70999999996</v>
      </c>
      <c r="I61"/>
    </row>
    <row r="62" spans="1:9" ht="12.75" thickTop="1" thickBot="1" x14ac:dyDescent="0.25">
      <c r="A62" s="28" t="s">
        <v>174</v>
      </c>
      <c r="B62" s="6"/>
      <c r="C62" s="93">
        <f>SUM(C57:C61)</f>
        <v>339141.14</v>
      </c>
      <c r="D62" s="93">
        <f>SUM(D57:D61)</f>
        <v>283263.78000000003</v>
      </c>
      <c r="E62" s="93">
        <f>SUM(E57:E61)</f>
        <v>172055.47</v>
      </c>
      <c r="F62" s="93">
        <f>SUM(F57:F61)</f>
        <v>0</v>
      </c>
      <c r="G62" s="93">
        <f>SUM(G57:G61)</f>
        <v>93038.22</v>
      </c>
      <c r="H62" s="13">
        <f t="shared" si="3"/>
        <v>887498.61</v>
      </c>
      <c r="I62"/>
    </row>
    <row r="63" spans="1:9" ht="12" thickTop="1" x14ac:dyDescent="0.2">
      <c r="A63" s="28" t="s">
        <v>175</v>
      </c>
      <c r="B63" s="6"/>
      <c r="C63" s="21">
        <f>C56+C62</f>
        <v>21132756.140000001</v>
      </c>
      <c r="D63" s="21">
        <f>D56+D62</f>
        <v>283263.78000000003</v>
      </c>
      <c r="E63" s="21">
        <f>E56+E62</f>
        <v>172055.47</v>
      </c>
      <c r="F63" s="21">
        <f>F56+F62</f>
        <v>0</v>
      </c>
      <c r="G63" s="21">
        <f>G56+G62</f>
        <v>93038.22</v>
      </c>
      <c r="H63" s="13">
        <f t="shared" si="3"/>
        <v>21681113.609999999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4933228.05</v>
      </c>
      <c r="D66" s="23" t="s">
        <v>288</v>
      </c>
      <c r="E66" s="23" t="s">
        <v>288</v>
      </c>
      <c r="F66" s="23" t="s">
        <v>288</v>
      </c>
      <c r="G66" s="23" t="s">
        <v>288</v>
      </c>
      <c r="H66" s="13">
        <f t="shared" ref="H66:H81" si="4">SUM(C66:G66)</f>
        <v>4933228.05</v>
      </c>
      <c r="I66"/>
    </row>
    <row r="67" spans="1:9" x14ac:dyDescent="0.2">
      <c r="A67" s="1" t="s">
        <v>767</v>
      </c>
      <c r="B67" s="6">
        <v>3112</v>
      </c>
      <c r="C67" s="73">
        <f>'DOE25'!F118</f>
        <v>2361538</v>
      </c>
      <c r="D67" s="23"/>
      <c r="E67" s="23"/>
      <c r="F67" s="23"/>
      <c r="G67" s="23"/>
      <c r="H67" s="13">
        <f t="shared" si="4"/>
        <v>2361538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31326.84</v>
      </c>
      <c r="D69" s="73">
        <f>'DOE25'!G120</f>
        <v>0</v>
      </c>
      <c r="E69" s="73">
        <f>'DOE25'!H120</f>
        <v>0</v>
      </c>
      <c r="F69" s="73">
        <f>'DOE25'!I120</f>
        <v>0</v>
      </c>
      <c r="G69" s="73">
        <f>'DOE25'!J120</f>
        <v>0</v>
      </c>
      <c r="H69" s="13">
        <f t="shared" si="4"/>
        <v>31326.84</v>
      </c>
      <c r="I69"/>
    </row>
    <row r="70" spans="1:9" ht="12" thickTop="1" x14ac:dyDescent="0.2">
      <c r="A70" s="28" t="s">
        <v>252</v>
      </c>
      <c r="B70" s="2"/>
      <c r="C70" s="97">
        <f>SUM(C66:C69)</f>
        <v>7326092.8899999997</v>
      </c>
      <c r="D70" s="97">
        <f>D69</f>
        <v>0</v>
      </c>
      <c r="E70" s="97">
        <f>E69</f>
        <v>0</v>
      </c>
      <c r="F70" s="97">
        <f>F69</f>
        <v>0</v>
      </c>
      <c r="G70" s="97">
        <f>G69</f>
        <v>0</v>
      </c>
      <c r="H70" s="13">
        <f t="shared" si="4"/>
        <v>7326092.8899999997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744055.42</v>
      </c>
      <c r="D75" s="23" t="s">
        <v>288</v>
      </c>
      <c r="E75" s="23" t="s">
        <v>288</v>
      </c>
      <c r="F75" s="23" t="s">
        <v>288</v>
      </c>
      <c r="G75" s="23" t="s">
        <v>288</v>
      </c>
      <c r="H75" s="13">
        <f t="shared" si="4"/>
        <v>744055.42</v>
      </c>
      <c r="I75"/>
    </row>
    <row r="76" spans="1:9" x14ac:dyDescent="0.2">
      <c r="A76" s="1" t="s">
        <v>257</v>
      </c>
      <c r="B76" s="6" t="s">
        <v>179</v>
      </c>
      <c r="C76" s="73">
        <f>SUM('DOE25'!F127:F130)</f>
        <v>42991.64</v>
      </c>
      <c r="D76" s="23" t="s">
        <v>288</v>
      </c>
      <c r="E76" s="73">
        <f>SUM('DOE25'!H127:H130)</f>
        <v>6108.6</v>
      </c>
      <c r="F76" s="73">
        <f>SUM('DOE25'!I127:I130)</f>
        <v>0</v>
      </c>
      <c r="G76" s="23" t="s">
        <v>288</v>
      </c>
      <c r="H76" s="13">
        <f t="shared" si="4"/>
        <v>49100.24</v>
      </c>
      <c r="I76"/>
    </row>
    <row r="77" spans="1:9" ht="12" thickBot="1" x14ac:dyDescent="0.25">
      <c r="A77" s="1" t="s">
        <v>258</v>
      </c>
      <c r="B77" s="6" t="s">
        <v>180</v>
      </c>
      <c r="C77" s="73">
        <f>SUM('DOE25'!F131:F135)</f>
        <v>0</v>
      </c>
      <c r="D77" s="73">
        <f>SUM('DOE25'!G131:G135)</f>
        <v>8524.2000000000007</v>
      </c>
      <c r="E77" s="73">
        <f>SUM('DOE25'!H131:H135)</f>
        <v>0</v>
      </c>
      <c r="F77" s="73">
        <f>SUM('DOE25'!I131:I135)</f>
        <v>0</v>
      </c>
      <c r="G77" s="73">
        <f>SUM('DOE25'!J131:J135)</f>
        <v>0</v>
      </c>
      <c r="H77" s="13">
        <f t="shared" si="4"/>
        <v>8524.2000000000007</v>
      </c>
      <c r="I77"/>
    </row>
    <row r="78" spans="1:9" ht="12.75" thickTop="1" thickBot="1" x14ac:dyDescent="0.25">
      <c r="A78" s="28" t="s">
        <v>259</v>
      </c>
      <c r="B78" s="6"/>
      <c r="C78" s="93">
        <f>SUM(C72:C77)</f>
        <v>787047.06</v>
      </c>
      <c r="D78" s="93">
        <f>SUM(D72:D77)</f>
        <v>8524.2000000000007</v>
      </c>
      <c r="E78" s="93">
        <f>SUM(E72:E77)</f>
        <v>6108.6</v>
      </c>
      <c r="F78" s="93">
        <f>SUM(F72:F77)</f>
        <v>0</v>
      </c>
      <c r="G78" s="93">
        <f>SUM(G72:G77)</f>
        <v>0</v>
      </c>
      <c r="H78" s="13">
        <f t="shared" si="4"/>
        <v>801679.86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8113139.9499999993</v>
      </c>
      <c r="D81" s="93">
        <f>SUM(D79:D80)+D78+D70</f>
        <v>8524.2000000000007</v>
      </c>
      <c r="E81" s="93">
        <f>SUM(E79:E80)+E78+E70</f>
        <v>6108.6</v>
      </c>
      <c r="F81" s="93">
        <f>SUM(F79:F80)+F78+F70</f>
        <v>0</v>
      </c>
      <c r="G81" s="93">
        <f>SUM(G79:G80)+G78+G70</f>
        <v>0</v>
      </c>
      <c r="H81" s="93">
        <f t="shared" si="4"/>
        <v>8127772.7499999991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155992.06</v>
      </c>
      <c r="D88" s="252">
        <f>SUM('DOE25'!G153:G162)</f>
        <v>324315.97000000003</v>
      </c>
      <c r="E88" s="252">
        <f>SUM('DOE25'!H153:H162)</f>
        <v>1414416.5</v>
      </c>
      <c r="F88" s="252">
        <f>SUM('DOE25'!I153:I162)</f>
        <v>0</v>
      </c>
      <c r="G88" s="23" t="s">
        <v>288</v>
      </c>
      <c r="H88" s="13">
        <f t="shared" si="5"/>
        <v>1894724.53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155992.06</v>
      </c>
      <c r="D91" s="94">
        <f>SUM(D85:D90)</f>
        <v>324315.97000000003</v>
      </c>
      <c r="E91" s="94">
        <f>SUM(E85:E90)</f>
        <v>1414416.5</v>
      </c>
      <c r="F91" s="94">
        <f>SUM(F85:F90)</f>
        <v>0</v>
      </c>
      <c r="G91" s="23" t="s">
        <v>288</v>
      </c>
      <c r="H91" s="13">
        <f t="shared" si="5"/>
        <v>1894724.53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40151.1</v>
      </c>
      <c r="E96" s="73">
        <f>'DOE25'!H180</f>
        <v>0</v>
      </c>
      <c r="F96" s="73">
        <f>'DOE25'!I180</f>
        <v>0</v>
      </c>
      <c r="G96" s="73">
        <f>'DOE25'!J180</f>
        <v>550000</v>
      </c>
      <c r="H96" s="13">
        <f t="shared" si="5"/>
        <v>590151.1</v>
      </c>
    </row>
    <row r="97" spans="1:8" x14ac:dyDescent="0.2">
      <c r="A97" t="s">
        <v>751</v>
      </c>
      <c r="B97" s="31" t="s">
        <v>188</v>
      </c>
      <c r="C97" s="73">
        <f>SUM('DOE25'!F181:F182)</f>
        <v>20825.650000000001</v>
      </c>
      <c r="D97" s="73">
        <f>SUM('DOE25'!G181:G182)</f>
        <v>0</v>
      </c>
      <c r="E97" s="73">
        <f>SUM('DOE25'!H181:H182)</f>
        <v>0</v>
      </c>
      <c r="F97" s="73">
        <f>SUM('DOE25'!I181:I182)</f>
        <v>0</v>
      </c>
      <c r="G97" s="73">
        <f>SUM('DOE25'!J181:J182)</f>
        <v>0</v>
      </c>
      <c r="H97" s="13">
        <f t="shared" si="5"/>
        <v>20825.650000000001</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20825.650000000001</v>
      </c>
      <c r="D103" s="68">
        <f>SUM(D93:D102)</f>
        <v>40151.1</v>
      </c>
      <c r="E103" s="68">
        <f>SUM(E93:E102)</f>
        <v>0</v>
      </c>
      <c r="F103" s="68">
        <f>SUM(F93:F102)</f>
        <v>0</v>
      </c>
      <c r="G103" s="68">
        <f>SUM(G93:G102)</f>
        <v>550000</v>
      </c>
      <c r="H103" s="68">
        <f t="shared" si="5"/>
        <v>610976.75</v>
      </c>
    </row>
    <row r="104" spans="1:8" ht="12.75" thickTop="1" thickBot="1" x14ac:dyDescent="0.25">
      <c r="A104" s="32" t="s">
        <v>758</v>
      </c>
      <c r="C104" s="68">
        <f>C63+C81+C91+C103</f>
        <v>29422713.799999997</v>
      </c>
      <c r="D104" s="68">
        <f>D63+D81+D91+D103</f>
        <v>656255.05000000005</v>
      </c>
      <c r="E104" s="68">
        <f>E63+E81+E91+E103</f>
        <v>1592580.57</v>
      </c>
      <c r="F104" s="68">
        <f>F63+F81+F91+F103</f>
        <v>0</v>
      </c>
      <c r="G104" s="68">
        <f>G63+G81+G103</f>
        <v>643038.22</v>
      </c>
      <c r="H104" s="68">
        <f t="shared" si="5"/>
        <v>32314587.639999997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8556896.8100000005</v>
      </c>
      <c r="D109" s="23" t="s">
        <v>288</v>
      </c>
      <c r="E109" s="73">
        <f>('DOE25'!L277)+('DOE25'!L296)+('DOE25'!L315)</f>
        <v>549551.54999999993</v>
      </c>
      <c r="F109" s="23" t="s">
        <v>288</v>
      </c>
      <c r="G109" s="23" t="s">
        <v>288</v>
      </c>
      <c r="H109" s="13">
        <f t="shared" ref="H109:H115" si="6">SUM(C109:G109)</f>
        <v>9106448.3600000013</v>
      </c>
    </row>
    <row r="110" spans="1:8" x14ac:dyDescent="0.2">
      <c r="A110" t="s">
        <v>198</v>
      </c>
      <c r="B110" s="31" t="s">
        <v>199</v>
      </c>
      <c r="C110" s="73">
        <f>('DOE25'!L199)+('DOE25'!L217)+('DOE25'!L235)</f>
        <v>6081430.2100000009</v>
      </c>
      <c r="D110" s="23" t="s">
        <v>288</v>
      </c>
      <c r="E110" s="73">
        <f>('DOE25'!L278)+('DOE25'!L297)+('DOE25'!L316)</f>
        <v>411995.07</v>
      </c>
      <c r="F110" s="23" t="s">
        <v>288</v>
      </c>
      <c r="G110" s="23" t="s">
        <v>288</v>
      </c>
      <c r="H110" s="13">
        <f t="shared" si="6"/>
        <v>6493425.2800000012</v>
      </c>
    </row>
    <row r="111" spans="1:8" x14ac:dyDescent="0.2">
      <c r="A111" t="s">
        <v>200</v>
      </c>
      <c r="B111" s="31" t="s">
        <v>165</v>
      </c>
      <c r="C111" s="73">
        <f>('DOE25'!L200)+('DOE25'!L218)+('DOE25'!L236)</f>
        <v>547972.54</v>
      </c>
      <c r="D111" s="23" t="s">
        <v>288</v>
      </c>
      <c r="E111" s="73">
        <f>('DOE25'!L279)+('DOE25'!L298)+('DOE25'!L317)</f>
        <v>0</v>
      </c>
      <c r="F111" s="23" t="s">
        <v>288</v>
      </c>
      <c r="G111" s="23" t="s">
        <v>288</v>
      </c>
      <c r="H111" s="13">
        <f t="shared" si="6"/>
        <v>547972.54</v>
      </c>
    </row>
    <row r="112" spans="1:8" x14ac:dyDescent="0.2">
      <c r="A112" t="s">
        <v>201</v>
      </c>
      <c r="B112" s="31" t="s">
        <v>167</v>
      </c>
      <c r="C112" s="73">
        <f>('DOE25'!L201)+('DOE25'!L219)+('DOE25'!L237)</f>
        <v>605585.63</v>
      </c>
      <c r="D112" s="23" t="s">
        <v>288</v>
      </c>
      <c r="E112" s="73">
        <f>+('DOE25'!L280)+('DOE25'!L299)+('DOE25'!L318)</f>
        <v>49627.35</v>
      </c>
      <c r="F112" s="23" t="s">
        <v>288</v>
      </c>
      <c r="G112" s="23" t="s">
        <v>288</v>
      </c>
      <c r="H112" s="13">
        <f t="shared" si="6"/>
        <v>655212.98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128401.93</v>
      </c>
      <c r="D114" s="23" t="s">
        <v>288</v>
      </c>
      <c r="E114" s="73">
        <f>+ SUM('DOE25'!L334:L336)</f>
        <v>14388.099999999999</v>
      </c>
      <c r="F114" s="23" t="s">
        <v>288</v>
      </c>
      <c r="G114" s="23" t="s">
        <v>288</v>
      </c>
      <c r="H114" s="13">
        <f t="shared" si="6"/>
        <v>142790.03</v>
      </c>
    </row>
    <row r="115" spans="1:8" ht="12.75" thickTop="1" thickBot="1" x14ac:dyDescent="0.25">
      <c r="A115" s="32" t="s">
        <v>205</v>
      </c>
      <c r="C115" s="68">
        <f>SUM(C109:C114)</f>
        <v>15920287.120000003</v>
      </c>
      <c r="D115" s="68">
        <f>SUM(D109:D114)</f>
        <v>0</v>
      </c>
      <c r="E115" s="68">
        <f>SUM(E109:E114)</f>
        <v>1025562.0699999998</v>
      </c>
      <c r="F115" s="68">
        <f>SUM(F109:F114)</f>
        <v>0</v>
      </c>
      <c r="G115" s="68">
        <f>SUM(G109:G114)</f>
        <v>0</v>
      </c>
      <c r="H115" s="68">
        <f t="shared" si="6"/>
        <v>16945849.190000001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2287416.8099999996</v>
      </c>
      <c r="D118" s="23" t="s">
        <v>288</v>
      </c>
      <c r="E118" s="73">
        <f>+('DOE25'!L282)+('DOE25'!L301)+('DOE25'!L320)</f>
        <v>37722.839999999997</v>
      </c>
      <c r="F118" s="23" t="s">
        <v>288</v>
      </c>
      <c r="G118" s="23" t="s">
        <v>288</v>
      </c>
      <c r="H118" s="13">
        <f t="shared" ref="H118:H145" si="7">SUM(C118:G118)</f>
        <v>2325139.6499999994</v>
      </c>
    </row>
    <row r="119" spans="1:8" x14ac:dyDescent="0.2">
      <c r="A119" t="s">
        <v>208</v>
      </c>
      <c r="B119" s="31" t="s">
        <v>209</v>
      </c>
      <c r="C119" s="73">
        <f>('DOE25'!L204)+('DOE25'!L222)+('DOE25'!L240)</f>
        <v>580123.76</v>
      </c>
      <c r="D119" s="23" t="s">
        <v>288</v>
      </c>
      <c r="E119" s="73">
        <f>+('DOE25'!L283)+('DOE25'!L302)+('DOE25'!L321)</f>
        <v>119183.65</v>
      </c>
      <c r="F119" s="23" t="s">
        <v>288</v>
      </c>
      <c r="G119" s="23" t="s">
        <v>288</v>
      </c>
      <c r="H119" s="13">
        <f t="shared" si="7"/>
        <v>699307.41</v>
      </c>
    </row>
    <row r="120" spans="1:8" x14ac:dyDescent="0.2">
      <c r="A120" t="s">
        <v>210</v>
      </c>
      <c r="B120" s="31" t="s">
        <v>211</v>
      </c>
      <c r="C120" s="73">
        <f>('DOE25'!L205)+('DOE25'!L223)+('DOE25'!L241)</f>
        <v>652656.97</v>
      </c>
      <c r="D120" s="23" t="s">
        <v>288</v>
      </c>
      <c r="E120" s="73">
        <f>+('DOE25'!L284)+('DOE25'!L303)+('DOE25'!L322)</f>
        <v>93687.24</v>
      </c>
      <c r="F120" s="23" t="s">
        <v>288</v>
      </c>
      <c r="G120" s="23" t="s">
        <v>288</v>
      </c>
      <c r="H120" s="13">
        <f t="shared" si="7"/>
        <v>746344.21</v>
      </c>
    </row>
    <row r="121" spans="1:8" x14ac:dyDescent="0.2">
      <c r="A121" t="s">
        <v>212</v>
      </c>
      <c r="B121" s="31" t="s">
        <v>213</v>
      </c>
      <c r="C121" s="73">
        <f>('DOE25'!L206)+('DOE25'!L224)+('DOE25'!L242)</f>
        <v>1660784.9800000002</v>
      </c>
      <c r="D121" s="23" t="s">
        <v>288</v>
      </c>
      <c r="E121" s="73">
        <f>+('DOE25'!L285)+('DOE25'!L304)+('DOE25'!L323)</f>
        <v>0</v>
      </c>
      <c r="F121" s="23" t="s">
        <v>288</v>
      </c>
      <c r="G121" s="23" t="s">
        <v>288</v>
      </c>
      <c r="H121" s="13">
        <f t="shared" si="7"/>
        <v>1660784.9800000002</v>
      </c>
    </row>
    <row r="122" spans="1:8" x14ac:dyDescent="0.2">
      <c r="A122" t="s">
        <v>214</v>
      </c>
      <c r="B122" s="31" t="s">
        <v>215</v>
      </c>
      <c r="C122" s="73">
        <f>('DOE25'!L207)+('DOE25'!L225)+('DOE25'!L243)</f>
        <v>791759.79</v>
      </c>
      <c r="D122" s="23" t="s">
        <v>288</v>
      </c>
      <c r="E122" s="73">
        <f>+('DOE25'!L286)+('DOE25'!L305)+('DOE25'!L324)</f>
        <v>0</v>
      </c>
      <c r="F122" s="23" t="s">
        <v>288</v>
      </c>
      <c r="G122" s="23" t="s">
        <v>288</v>
      </c>
      <c r="H122" s="13">
        <f t="shared" si="7"/>
        <v>791759.79</v>
      </c>
    </row>
    <row r="123" spans="1:8" x14ac:dyDescent="0.2">
      <c r="A123" t="s">
        <v>216</v>
      </c>
      <c r="B123" s="31" t="s">
        <v>217</v>
      </c>
      <c r="C123" s="73">
        <f>('DOE25'!L208)+('DOE25'!L226)+('DOE25'!L244)</f>
        <v>2707928.8</v>
      </c>
      <c r="D123" s="23" t="s">
        <v>288</v>
      </c>
      <c r="E123" s="73">
        <f>+('DOE25'!L287)+('DOE25'!L306)+('DOE25'!L325)</f>
        <v>9410.83</v>
      </c>
      <c r="F123" s="23" t="s">
        <v>288</v>
      </c>
      <c r="G123" s="23" t="s">
        <v>288</v>
      </c>
      <c r="H123" s="13">
        <f t="shared" si="7"/>
        <v>2717339.63</v>
      </c>
    </row>
    <row r="124" spans="1:8" x14ac:dyDescent="0.2">
      <c r="A124" t="s">
        <v>218</v>
      </c>
      <c r="B124" s="31" t="s">
        <v>219</v>
      </c>
      <c r="C124" s="73">
        <f>('DOE25'!L209)+('DOE25'!L227)+('DOE25'!L245+'DOE25'!L255)</f>
        <v>1657278.7799999998</v>
      </c>
      <c r="D124" s="23" t="s">
        <v>288</v>
      </c>
      <c r="E124" s="73">
        <f>+('DOE25'!L288)+('DOE25'!L307)+('DOE25'!L326)</f>
        <v>2237.29</v>
      </c>
      <c r="F124" s="23" t="s">
        <v>288</v>
      </c>
      <c r="G124" s="23" t="s">
        <v>288</v>
      </c>
      <c r="H124" s="13">
        <f t="shared" si="7"/>
        <v>1659516.0699999998</v>
      </c>
    </row>
    <row r="125" spans="1:8" x14ac:dyDescent="0.2">
      <c r="A125" t="s">
        <v>220</v>
      </c>
      <c r="B125" s="31" t="s">
        <v>221</v>
      </c>
      <c r="C125" s="73">
        <f>('DOE25'!L210)+('DOE25'!L228)+('DOE25'!L246)</f>
        <v>771342.57000000007</v>
      </c>
      <c r="D125" s="23" t="s">
        <v>288</v>
      </c>
      <c r="E125" s="73">
        <f>+('DOE25'!L289)+('DOE25'!L308)+('DOE25'!L327)</f>
        <v>0</v>
      </c>
      <c r="F125" s="23" t="s">
        <v>288</v>
      </c>
      <c r="G125" s="23" t="s">
        <v>288</v>
      </c>
      <c r="H125" s="13">
        <f t="shared" si="7"/>
        <v>771342.57000000007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668215.05000000005</v>
      </c>
      <c r="E127" s="23" t="s">
        <v>288</v>
      </c>
      <c r="F127" s="23" t="s">
        <v>288</v>
      </c>
      <c r="G127" s="23" t="s">
        <v>288</v>
      </c>
      <c r="H127" s="13">
        <f t="shared" si="7"/>
        <v>668215.05000000005</v>
      </c>
    </row>
    <row r="128" spans="1:8" ht="12.75" thickTop="1" thickBot="1" x14ac:dyDescent="0.25">
      <c r="A128" s="32" t="s">
        <v>226</v>
      </c>
      <c r="C128" s="68">
        <f>SUM(C118:C127)</f>
        <v>11109292.459999999</v>
      </c>
      <c r="D128" s="68">
        <f>SUM(D118:D127)</f>
        <v>668215.05000000005</v>
      </c>
      <c r="E128" s="68">
        <f>SUM(E118:E127)</f>
        <v>262241.84999999998</v>
      </c>
      <c r="F128" s="68">
        <f>SUM(F118:F127)</f>
        <v>0</v>
      </c>
      <c r="G128" s="68">
        <f>SUM(G118:G127)</f>
        <v>0</v>
      </c>
      <c r="H128" s="68">
        <f t="shared" si="7"/>
        <v>12039749.359999999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439479.1</v>
      </c>
      <c r="D130" s="23" t="s">
        <v>288</v>
      </c>
      <c r="E130" s="92">
        <f>'DOE25'!L337</f>
        <v>283951</v>
      </c>
      <c r="F130" s="92">
        <f>SUM('DOE25'!L375:'DOE25'!L381)</f>
        <v>0</v>
      </c>
      <c r="G130" s="23" t="s">
        <v>288</v>
      </c>
      <c r="H130" s="13">
        <f t="shared" si="7"/>
        <v>723430.1</v>
      </c>
    </row>
    <row r="131" spans="1:8" x14ac:dyDescent="0.2">
      <c r="A131" t="s">
        <v>229</v>
      </c>
      <c r="B131" s="31">
        <v>5110</v>
      </c>
      <c r="C131" s="73">
        <f>'DOE25'!L261</f>
        <v>145000</v>
      </c>
      <c r="D131" s="23" t="s">
        <v>288</v>
      </c>
      <c r="E131" s="92">
        <f>'DOE25'!L342</f>
        <v>0</v>
      </c>
      <c r="F131" s="23" t="s">
        <v>288</v>
      </c>
      <c r="G131" s="23" t="s">
        <v>288</v>
      </c>
      <c r="H131" s="13">
        <f t="shared" si="7"/>
        <v>145000</v>
      </c>
    </row>
    <row r="132" spans="1:8" x14ac:dyDescent="0.2">
      <c r="A132" t="s">
        <v>230</v>
      </c>
      <c r="B132" s="31">
        <v>5120</v>
      </c>
      <c r="C132" s="73">
        <f>'DOE25'!L262</f>
        <v>33277.5</v>
      </c>
      <c r="D132" s="23" t="s">
        <v>288</v>
      </c>
      <c r="E132" s="92">
        <f>'DOE25'!L343</f>
        <v>0</v>
      </c>
      <c r="F132" s="23" t="s">
        <v>288</v>
      </c>
      <c r="G132" s="23" t="s">
        <v>288</v>
      </c>
      <c r="H132" s="13">
        <f t="shared" si="7"/>
        <v>33277.5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20825.650000000001</v>
      </c>
      <c r="F134" s="73">
        <f>'DOE25'!K382</f>
        <v>0</v>
      </c>
      <c r="G134" s="73">
        <f>'DOE25'!K435</f>
        <v>0</v>
      </c>
      <c r="H134" s="13">
        <f t="shared" si="7"/>
        <v>20825.650000000001</v>
      </c>
    </row>
    <row r="135" spans="1:8" x14ac:dyDescent="0.2">
      <c r="A135" t="s">
        <v>233</v>
      </c>
      <c r="B135" s="31" t="s">
        <v>234</v>
      </c>
      <c r="C135" s="73">
        <f>'DOE25'!L264</f>
        <v>40151.1</v>
      </c>
      <c r="D135" s="23" t="s">
        <v>288</v>
      </c>
      <c r="E135" s="92">
        <f>'DOE25'!L346</f>
        <v>0</v>
      </c>
      <c r="F135" s="23" t="s">
        <v>288</v>
      </c>
      <c r="G135" s="23" t="s">
        <v>288</v>
      </c>
      <c r="H135" s="13">
        <f t="shared" si="7"/>
        <v>40151.1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413039.05</v>
      </c>
      <c r="D138" s="23" t="s">
        <v>288</v>
      </c>
      <c r="E138" s="23" t="s">
        <v>288</v>
      </c>
      <c r="F138" s="23" t="s">
        <v>288</v>
      </c>
      <c r="G138" s="23" t="s">
        <v>288</v>
      </c>
      <c r="H138" s="13">
        <f t="shared" si="7"/>
        <v>413039.05</v>
      </c>
    </row>
    <row r="139" spans="1:8" x14ac:dyDescent="0.2">
      <c r="A139" t="s">
        <v>239</v>
      </c>
      <c r="B139" s="31">
        <v>5252</v>
      </c>
      <c r="C139" s="73">
        <f>'DOE25'!L402</f>
        <v>196752.44</v>
      </c>
      <c r="D139" s="23" t="s">
        <v>288</v>
      </c>
      <c r="E139" s="23" t="s">
        <v>288</v>
      </c>
      <c r="F139" s="23" t="s">
        <v>288</v>
      </c>
      <c r="G139" s="23" t="s">
        <v>288</v>
      </c>
      <c r="H139" s="13">
        <f t="shared" si="7"/>
        <v>196752.44</v>
      </c>
    </row>
    <row r="140" spans="1:8" x14ac:dyDescent="0.2">
      <c r="A140" t="s">
        <v>240</v>
      </c>
      <c r="B140" s="31">
        <v>5253</v>
      </c>
      <c r="C140" s="73">
        <f>'DOE25'!L408</f>
        <v>33246.729999999996</v>
      </c>
      <c r="D140" s="23" t="s">
        <v>288</v>
      </c>
      <c r="E140" s="23" t="s">
        <v>288</v>
      </c>
      <c r="F140" s="23" t="s">
        <v>288</v>
      </c>
      <c r="G140" s="23" t="s">
        <v>288</v>
      </c>
      <c r="H140" s="13">
        <f t="shared" si="7"/>
        <v>33246.729999999996</v>
      </c>
    </row>
    <row r="141" spans="1:8" x14ac:dyDescent="0.2">
      <c r="A141" t="s">
        <v>759</v>
      </c>
      <c r="B141" s="31">
        <v>5254</v>
      </c>
      <c r="C141" s="73">
        <f>('DOE25'!L267+'DOE25'!K348) - (C138+C139+C140)</f>
        <v>-93038.219999999972</v>
      </c>
      <c r="D141" s="23" t="s">
        <v>288</v>
      </c>
      <c r="E141" s="23" t="s">
        <v>288</v>
      </c>
      <c r="F141" s="23" t="s">
        <v>288</v>
      </c>
      <c r="G141" s="23" t="s">
        <v>288</v>
      </c>
      <c r="H141" s="13">
        <f t="shared" si="7"/>
        <v>-93038.219999999972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1207907.7</v>
      </c>
      <c r="D144" s="98">
        <f>SUM(D130:D143)</f>
        <v>0</v>
      </c>
      <c r="E144" s="98">
        <f>SUM(E130:E143)</f>
        <v>304776.65000000002</v>
      </c>
      <c r="F144" s="98">
        <f>SUM(F130:F143)</f>
        <v>0</v>
      </c>
      <c r="G144" s="98">
        <f>SUM(G130:G143)</f>
        <v>0</v>
      </c>
      <c r="H144" s="98">
        <f t="shared" si="7"/>
        <v>1512684.35</v>
      </c>
    </row>
    <row r="145" spans="1:9" ht="12.75" thickTop="1" thickBot="1" x14ac:dyDescent="0.25">
      <c r="A145" s="32" t="s">
        <v>244</v>
      </c>
      <c r="C145" s="68">
        <f>(C115+C128+C144)</f>
        <v>28237487.280000001</v>
      </c>
      <c r="D145" s="68">
        <f>(D115+D128+D144)</f>
        <v>668215.05000000005</v>
      </c>
      <c r="E145" s="68">
        <f>(E115+E128+E144)</f>
        <v>1592580.5699999998</v>
      </c>
      <c r="F145" s="68">
        <f>(F115+F128+F144)</f>
        <v>0</v>
      </c>
      <c r="G145" s="68">
        <f>(G115+G128+G144)</f>
        <v>0</v>
      </c>
      <c r="H145" s="68">
        <f t="shared" si="7"/>
        <v>30498282.900000002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7/17</v>
      </c>
      <c r="C152" s="109">
        <f>'DOE25'!G492</f>
        <v>0</v>
      </c>
      <c r="D152" s="109">
        <f>'DOE25'!H492</f>
        <v>0</v>
      </c>
      <c r="E152" s="109">
        <f>'DOE25'!I492</f>
        <v>0</v>
      </c>
      <c r="F152" s="109">
        <f>'DOE25'!J492</f>
        <v>0</v>
      </c>
      <c r="G152" s="23" t="s">
        <v>288</v>
      </c>
    </row>
    <row r="153" spans="1:9" x14ac:dyDescent="0.2">
      <c r="A153" s="21" t="s">
        <v>29</v>
      </c>
      <c r="B153" s="109" t="str">
        <f>'DOE25'!F493</f>
        <v>8/27</v>
      </c>
      <c r="C153" s="109">
        <f>'DOE25'!G493</f>
        <v>0</v>
      </c>
      <c r="D153" s="109">
        <f>'DOE25'!H493</f>
        <v>0</v>
      </c>
      <c r="E153" s="109">
        <f>'DOE25'!I493</f>
        <v>0</v>
      </c>
      <c r="F153" s="109">
        <f>'DOE25'!J493</f>
        <v>0</v>
      </c>
      <c r="G153" s="23" t="s">
        <v>288</v>
      </c>
    </row>
    <row r="154" spans="1:9" x14ac:dyDescent="0.2">
      <c r="A154" s="21" t="s">
        <v>30</v>
      </c>
      <c r="B154" s="19">
        <f>'DOE25'!F494</f>
        <v>1446400</v>
      </c>
      <c r="C154" s="19">
        <f>'DOE25'!G494</f>
        <v>0</v>
      </c>
      <c r="D154" s="19">
        <f>'DOE25'!H494</f>
        <v>0</v>
      </c>
      <c r="E154" s="19">
        <f>'DOE25'!I494</f>
        <v>0</v>
      </c>
      <c r="F154" s="19">
        <f>'DOE25'!J494</f>
        <v>0</v>
      </c>
      <c r="G154" s="23" t="s">
        <v>288</v>
      </c>
    </row>
    <row r="155" spans="1:9" x14ac:dyDescent="0.2">
      <c r="A155" s="21" t="s">
        <v>31</v>
      </c>
      <c r="B155" s="19">
        <f>'DOE25'!F495</f>
        <v>5.0999999999999996</v>
      </c>
      <c r="C155" s="19">
        <f>'DOE25'!G495</f>
        <v>0</v>
      </c>
      <c r="D155" s="19">
        <f>'DOE25'!H495</f>
        <v>0</v>
      </c>
      <c r="E155" s="19">
        <f>'DOE25'!I495</f>
        <v>0</v>
      </c>
      <c r="F155" s="19">
        <f>'DOE25'!J495</f>
        <v>0</v>
      </c>
      <c r="G155" s="23" t="s">
        <v>288</v>
      </c>
    </row>
    <row r="156" spans="1:9" x14ac:dyDescent="0.2">
      <c r="A156" s="21" t="s">
        <v>32</v>
      </c>
      <c r="B156" s="19">
        <f>'DOE25'!F496</f>
        <v>725000</v>
      </c>
      <c r="C156" s="19">
        <f>'DOE25'!G496</f>
        <v>0</v>
      </c>
      <c r="D156" s="19">
        <f>'DOE25'!H496</f>
        <v>0</v>
      </c>
      <c r="E156" s="19">
        <f>'DOE25'!I496</f>
        <v>0</v>
      </c>
      <c r="F156" s="19">
        <f>'DOE25'!J496</f>
        <v>0</v>
      </c>
      <c r="G156" s="96">
        <f>SUM(B156:F156)</f>
        <v>725000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145000</v>
      </c>
      <c r="C158" s="19">
        <f>'DOE25'!G498</f>
        <v>0</v>
      </c>
      <c r="D158" s="19">
        <f>'DOE25'!H498</f>
        <v>0</v>
      </c>
      <c r="E158" s="19">
        <f>'DOE25'!I498</f>
        <v>0</v>
      </c>
      <c r="F158" s="19">
        <f>'DOE25'!J498</f>
        <v>0</v>
      </c>
      <c r="G158" s="96">
        <f t="shared" si="8"/>
        <v>145000</v>
      </c>
    </row>
    <row r="159" spans="1:9" x14ac:dyDescent="0.2">
      <c r="A159" s="21" t="s">
        <v>35</v>
      </c>
      <c r="B159" s="19">
        <f>'DOE25'!F499</f>
        <v>580000</v>
      </c>
      <c r="C159" s="19">
        <f>'DOE25'!G499</f>
        <v>0</v>
      </c>
      <c r="D159" s="19">
        <f>'DOE25'!H499</f>
        <v>0</v>
      </c>
      <c r="E159" s="19">
        <f>'DOE25'!I499</f>
        <v>0</v>
      </c>
      <c r="F159" s="19">
        <f>'DOE25'!J499</f>
        <v>0</v>
      </c>
      <c r="G159" s="96">
        <f t="shared" si="8"/>
        <v>580000</v>
      </c>
    </row>
    <row r="160" spans="1:9" x14ac:dyDescent="0.2">
      <c r="A160" s="21" t="s">
        <v>36</v>
      </c>
      <c r="B160" s="19">
        <f>'DOE25'!F500</f>
        <v>59160</v>
      </c>
      <c r="C160" s="19">
        <f>'DOE25'!G500</f>
        <v>0</v>
      </c>
      <c r="D160" s="19">
        <f>'DOE25'!H500</f>
        <v>0</v>
      </c>
      <c r="E160" s="19">
        <f>'DOE25'!I500</f>
        <v>0</v>
      </c>
      <c r="F160" s="19">
        <f>'DOE25'!J500</f>
        <v>0</v>
      </c>
      <c r="G160" s="96">
        <f t="shared" si="8"/>
        <v>59160</v>
      </c>
    </row>
    <row r="161" spans="1:7" x14ac:dyDescent="0.2">
      <c r="A161" s="21" t="s">
        <v>37</v>
      </c>
      <c r="B161" s="19">
        <f>'DOE25'!F501</f>
        <v>639160</v>
      </c>
      <c r="C161" s="19">
        <f>'DOE25'!G501</f>
        <v>0</v>
      </c>
      <c r="D161" s="19">
        <f>'DOE25'!H501</f>
        <v>0</v>
      </c>
      <c r="E161" s="19">
        <f>'DOE25'!I501</f>
        <v>0</v>
      </c>
      <c r="F161" s="19">
        <f>'DOE25'!J501</f>
        <v>0</v>
      </c>
      <c r="G161" s="96">
        <f t="shared" si="8"/>
        <v>639160</v>
      </c>
    </row>
    <row r="162" spans="1:7" x14ac:dyDescent="0.2">
      <c r="A162" s="21" t="s">
        <v>38</v>
      </c>
      <c r="B162" s="19">
        <f>'DOE25'!F502</f>
        <v>145000</v>
      </c>
      <c r="C162" s="19">
        <f>'DOE25'!G502</f>
        <v>0</v>
      </c>
      <c r="D162" s="19">
        <f>'DOE25'!H502</f>
        <v>0</v>
      </c>
      <c r="E162" s="19">
        <f>'DOE25'!I502</f>
        <v>0</v>
      </c>
      <c r="F162" s="19">
        <f>'DOE25'!J502</f>
        <v>0</v>
      </c>
      <c r="G162" s="96">
        <f t="shared" si="8"/>
        <v>145000</v>
      </c>
    </row>
    <row r="163" spans="1:7" x14ac:dyDescent="0.2">
      <c r="A163" s="21" t="s">
        <v>39</v>
      </c>
      <c r="B163" s="19">
        <f>'DOE25'!F503</f>
        <v>25882.5</v>
      </c>
      <c r="C163" s="19">
        <f>'DOE25'!G503</f>
        <v>0</v>
      </c>
      <c r="D163" s="19">
        <f>'DOE25'!H503</f>
        <v>0</v>
      </c>
      <c r="E163" s="19">
        <f>'DOE25'!I503</f>
        <v>0</v>
      </c>
      <c r="F163" s="19">
        <f>'DOE25'!J503</f>
        <v>0</v>
      </c>
      <c r="G163" s="96">
        <f t="shared" si="8"/>
        <v>25882.5</v>
      </c>
    </row>
    <row r="164" spans="1:7" x14ac:dyDescent="0.2">
      <c r="A164" s="21" t="s">
        <v>246</v>
      </c>
      <c r="B164" s="19">
        <f>'DOE25'!F504</f>
        <v>170882.5</v>
      </c>
      <c r="C164" s="19">
        <f>'DOE25'!G504</f>
        <v>0</v>
      </c>
      <c r="D164" s="19">
        <f>'DOE25'!H504</f>
        <v>0</v>
      </c>
      <c r="E164" s="19">
        <f>'DOE25'!I504</f>
        <v>0</v>
      </c>
      <c r="F164" s="19">
        <f>'DOE25'!J504</f>
        <v>0</v>
      </c>
      <c r="G164" s="96">
        <f t="shared" si="8"/>
        <v>170882.5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G21" sqref="G2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Jaffrey-Rindge Cooperative</v>
      </c>
    </row>
    <row r="3" spans="1:4" x14ac:dyDescent="0.2">
      <c r="B3" s="136" t="s">
        <v>1792</v>
      </c>
    </row>
    <row r="4" spans="1:4" x14ac:dyDescent="0.2">
      <c r="B4" t="s">
        <v>61</v>
      </c>
      <c r="C4" s="128">
        <f>IF('DOE25'!F666+'DOE25'!F671=0,0,ROUND('DOE25'!F673,0))</f>
        <v>23091</v>
      </c>
    </row>
    <row r="5" spans="1:4" x14ac:dyDescent="0.2">
      <c r="B5" t="s">
        <v>700</v>
      </c>
      <c r="C5" s="128">
        <f>IF('DOE25'!G666+'DOE25'!G671=0,0,ROUND('DOE25'!G673,0))</f>
        <v>19648</v>
      </c>
    </row>
    <row r="6" spans="1:4" x14ac:dyDescent="0.2">
      <c r="B6" t="s">
        <v>62</v>
      </c>
      <c r="C6" s="128">
        <f>IF('DOE25'!H666+'DOE25'!H671=0,0,ROUND('DOE25'!H673,0))</f>
        <v>17391</v>
      </c>
    </row>
    <row r="7" spans="1:4" x14ac:dyDescent="0.2">
      <c r="B7" t="s">
        <v>701</v>
      </c>
      <c r="C7" s="128">
        <f>IF('DOE25'!I666+'DOE25'!I671=0,0,ROUND('DOE25'!I673,0))</f>
        <v>20656</v>
      </c>
    </row>
    <row r="9" spans="1:4" x14ac:dyDescent="0.2">
      <c r="A9" s="135" t="s">
        <v>94</v>
      </c>
      <c r="B9" s="136" t="s">
        <v>1793</v>
      </c>
      <c r="C9" s="130" t="s">
        <v>720</v>
      </c>
      <c r="D9" s="130" t="s">
        <v>721</v>
      </c>
    </row>
    <row r="10" spans="1:4" x14ac:dyDescent="0.2">
      <c r="A10">
        <v>1100</v>
      </c>
      <c r="B10" t="s">
        <v>702</v>
      </c>
      <c r="C10" s="128">
        <f>ROUND('DOE25'!L198+'DOE25'!L216+'DOE25'!L234+'DOE25'!L277+'DOE25'!L296+'DOE25'!L315,0)</f>
        <v>9106448</v>
      </c>
      <c r="D10" s="131">
        <f>ROUND((C10/$C$28)*100,1)</f>
        <v>31.7</v>
      </c>
    </row>
    <row r="11" spans="1:4" x14ac:dyDescent="0.2">
      <c r="A11">
        <v>1200</v>
      </c>
      <c r="B11" t="s">
        <v>703</v>
      </c>
      <c r="C11" s="128">
        <f>ROUND('DOE25'!L199+'DOE25'!L217+'DOE25'!L235+'DOE25'!L278+'DOE25'!L297+'DOE25'!L316,0)</f>
        <v>6493425</v>
      </c>
      <c r="D11" s="131">
        <f>ROUND((C11/$C$28)*100,1)</f>
        <v>22.6</v>
      </c>
    </row>
    <row r="12" spans="1:4" x14ac:dyDescent="0.2">
      <c r="A12">
        <v>1300</v>
      </c>
      <c r="B12" t="s">
        <v>704</v>
      </c>
      <c r="C12" s="128">
        <f>ROUND('DOE25'!L200+'DOE25'!L218+'DOE25'!L236+'DOE25'!L279+'DOE25'!L298+'DOE25'!L317,0)</f>
        <v>547973</v>
      </c>
      <c r="D12" s="131">
        <f>ROUND((C12/$C$28)*100,1)</f>
        <v>1.9</v>
      </c>
    </row>
    <row r="13" spans="1:4" x14ac:dyDescent="0.2">
      <c r="A13">
        <v>1400</v>
      </c>
      <c r="B13" t="s">
        <v>705</v>
      </c>
      <c r="C13" s="128">
        <f>ROUND('DOE25'!L201+'DOE25'!L219+'DOE25'!L237+'DOE25'!L280+'DOE25'!L299+'DOE25'!L318,0)</f>
        <v>655213</v>
      </c>
      <c r="D13" s="131">
        <f>ROUND((C13/$C$28)*100,1)</f>
        <v>2.2999999999999998</v>
      </c>
    </row>
    <row r="14" spans="1:4" x14ac:dyDescent="0.2">
      <c r="D14" s="131"/>
    </row>
    <row r="15" spans="1:4" x14ac:dyDescent="0.2">
      <c r="A15">
        <v>2100</v>
      </c>
      <c r="B15" t="s">
        <v>706</v>
      </c>
      <c r="C15" s="128">
        <f>ROUND('DOE25'!L203+'DOE25'!L221+'DOE25'!L239+'DOE25'!L282+'DOE25'!L301+'DOE25'!L320,0)</f>
        <v>2325140</v>
      </c>
      <c r="D15" s="131">
        <f t="shared" ref="D15:D27" si="0">ROUND((C15/$C$28)*100,1)</f>
        <v>8.1</v>
      </c>
    </row>
    <row r="16" spans="1:4" x14ac:dyDescent="0.2">
      <c r="A16">
        <v>2200</v>
      </c>
      <c r="B16" t="s">
        <v>707</v>
      </c>
      <c r="C16" s="128">
        <f>ROUND('DOE25'!L204+'DOE25'!L222+'DOE25'!L240+'DOE25'!L283+'DOE25'!L302+'DOE25'!L321,0)</f>
        <v>699307</v>
      </c>
      <c r="D16" s="131">
        <f t="shared" si="0"/>
        <v>2.4</v>
      </c>
    </row>
    <row r="17" spans="1:4" x14ac:dyDescent="0.2">
      <c r="A17" s="132" t="s">
        <v>723</v>
      </c>
      <c r="B17" t="s">
        <v>738</v>
      </c>
      <c r="C17" s="128">
        <f>ROUND('DOE25'!L205+'DOE25'!L210+'DOE25'!L223+'DOE25'!L228+'DOE25'!L241+'DOE25'!L246+'DOE25'!L284+'DOE25'!L289+'DOE25'!L303+'DOE25'!L308+'DOE25'!L322+'DOE25'!L327,0)</f>
        <v>1517687</v>
      </c>
      <c r="D17" s="131">
        <f t="shared" si="0"/>
        <v>5.3</v>
      </c>
    </row>
    <row r="18" spans="1:4" x14ac:dyDescent="0.2">
      <c r="A18">
        <v>2400</v>
      </c>
      <c r="B18" t="s">
        <v>711</v>
      </c>
      <c r="C18" s="128">
        <f>ROUND('DOE25'!L206+'DOE25'!L224+'DOE25'!L242+'DOE25'!L285+'DOE25'!L304+'DOE25'!L323,0)</f>
        <v>1660785</v>
      </c>
      <c r="D18" s="131">
        <f t="shared" si="0"/>
        <v>5.8</v>
      </c>
    </row>
    <row r="19" spans="1:4" x14ac:dyDescent="0.2">
      <c r="A19">
        <v>2500</v>
      </c>
      <c r="B19" t="s">
        <v>708</v>
      </c>
      <c r="C19" s="128">
        <f>ROUND('DOE25'!L207+'DOE25'!L225+'DOE25'!L243+'DOE25'!L286+'DOE25'!L305+'DOE25'!L324,0)</f>
        <v>791760</v>
      </c>
      <c r="D19" s="131">
        <f t="shared" si="0"/>
        <v>2.8</v>
      </c>
    </row>
    <row r="20" spans="1:4" x14ac:dyDescent="0.2">
      <c r="A20">
        <v>2600</v>
      </c>
      <c r="B20" t="s">
        <v>709</v>
      </c>
      <c r="C20" s="128">
        <f>ROUND('DOE25'!L208+'DOE25'!L226+'DOE25'!L244+'DOE25'!L287+'DOE25'!L306+'DOE25'!L325,0)</f>
        <v>2717340</v>
      </c>
      <c r="D20" s="131">
        <f t="shared" si="0"/>
        <v>9.5</v>
      </c>
    </row>
    <row r="21" spans="1:4" x14ac:dyDescent="0.2">
      <c r="A21">
        <v>2700</v>
      </c>
      <c r="B21" t="s">
        <v>710</v>
      </c>
      <c r="C21" s="128">
        <f>ROUND('DOE25'!L209+'DOE25'!L227+'DOE25'!L245+'DOE25'!L288+'DOE25'!L307+'DOE25'!L326,0)</f>
        <v>1659516</v>
      </c>
      <c r="D21" s="131">
        <f t="shared" si="0"/>
        <v>5.8</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142790</v>
      </c>
      <c r="D24" s="131">
        <f t="shared" si="0"/>
        <v>0.5</v>
      </c>
    </row>
    <row r="25" spans="1:4" x14ac:dyDescent="0.2">
      <c r="A25">
        <v>5120</v>
      </c>
      <c r="B25" t="s">
        <v>716</v>
      </c>
      <c r="C25" s="128">
        <f>ROUND('DOE25'!L262+'DOE25'!L343,0)</f>
        <v>33278</v>
      </c>
      <c r="D25" s="131">
        <f t="shared" si="0"/>
        <v>0.1</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384951.22</v>
      </c>
      <c r="D27" s="131">
        <f t="shared" si="0"/>
        <v>1.3</v>
      </c>
    </row>
    <row r="28" spans="1:4" x14ac:dyDescent="0.2">
      <c r="B28" s="135" t="s">
        <v>719</v>
      </c>
      <c r="C28" s="129">
        <f>SUM(C10:C27)</f>
        <v>28735613.219999999</v>
      </c>
      <c r="D28" s="133">
        <f>ROUND(SUM(D10:D27),0)</f>
        <v>100</v>
      </c>
    </row>
    <row r="29" spans="1:4" x14ac:dyDescent="0.2">
      <c r="A29">
        <v>4000</v>
      </c>
      <c r="B29" t="s">
        <v>724</v>
      </c>
      <c r="C29" s="128">
        <f>ROUND('DOE25'!L256+'DOE25'!L337+'DOE25'!L375+'DOE25'!L376+'DOE25'!L377+'DOE25'!L378+'DOE25'!L379+'DOE25'!L380+'DOE25'!L381,0)</f>
        <v>723430</v>
      </c>
    </row>
    <row r="30" spans="1:4" x14ac:dyDescent="0.2">
      <c r="B30" s="135" t="s">
        <v>725</v>
      </c>
      <c r="C30" s="129">
        <f>SUM(C28:C29)</f>
        <v>29459043.219999999</v>
      </c>
    </row>
    <row r="31" spans="1:4" x14ac:dyDescent="0.2">
      <c r="B31" s="32"/>
      <c r="C31" s="129"/>
    </row>
    <row r="32" spans="1:4" x14ac:dyDescent="0.2">
      <c r="A32">
        <v>5100</v>
      </c>
      <c r="B32" s="32" t="s">
        <v>726</v>
      </c>
      <c r="C32" s="129">
        <f>ROUND('DOE25'!L261+'DOE25'!L342,0)</f>
        <v>145000</v>
      </c>
    </row>
    <row r="34" spans="1:4" x14ac:dyDescent="0.2">
      <c r="A34" s="135" t="s">
        <v>94</v>
      </c>
      <c r="B34" s="136" t="s">
        <v>1794</v>
      </c>
      <c r="C34" s="130" t="s">
        <v>720</v>
      </c>
      <c r="D34" s="130" t="s">
        <v>721</v>
      </c>
    </row>
    <row r="35" spans="1:4" x14ac:dyDescent="0.2">
      <c r="A35">
        <v>1100</v>
      </c>
      <c r="B35" s="71" t="s">
        <v>727</v>
      </c>
      <c r="C35" s="128">
        <f>ROUND('DOE25'!F60+'DOE25'!G60+'DOE25'!H60+'DOE25'!I60+'DOE25'!J60,0)</f>
        <v>20793615</v>
      </c>
      <c r="D35" s="131">
        <f t="shared" ref="D35:D40" si="1">ROUND((C35/$C$41)*100,1)</f>
        <v>66.2</v>
      </c>
    </row>
    <row r="36" spans="1:4" x14ac:dyDescent="0.2">
      <c r="B36" s="71" t="s">
        <v>739</v>
      </c>
      <c r="C36" s="128">
        <f>SUM('DOE25'!F112:J112)-SUM('DOE25'!G97:G110)+('DOE25'!F175+'DOE25'!F176+'DOE25'!I175+'DOE25'!I176)-C35</f>
        <v>604234.82999999821</v>
      </c>
      <c r="D36" s="131">
        <f t="shared" si="1"/>
        <v>1.9</v>
      </c>
    </row>
    <row r="37" spans="1:4" x14ac:dyDescent="0.2">
      <c r="A37" s="132" t="s">
        <v>831</v>
      </c>
      <c r="B37" s="71" t="s">
        <v>728</v>
      </c>
      <c r="C37" s="128">
        <f>ROUND('DOE25'!F117+'DOE25'!F118,0)</f>
        <v>7294766</v>
      </c>
      <c r="D37" s="131">
        <f t="shared" si="1"/>
        <v>23.2</v>
      </c>
    </row>
    <row r="38" spans="1:4" x14ac:dyDescent="0.2">
      <c r="A38" s="132" t="s">
        <v>734</v>
      </c>
      <c r="B38" s="71" t="s">
        <v>729</v>
      </c>
      <c r="C38" s="128">
        <f>ROUND(SUM('DOE25'!F140:J140)-SUM('DOE25'!F117:F119),0)</f>
        <v>833007</v>
      </c>
      <c r="D38" s="131">
        <f t="shared" si="1"/>
        <v>2.7</v>
      </c>
    </row>
    <row r="39" spans="1:4" x14ac:dyDescent="0.2">
      <c r="A39">
        <v>4000</v>
      </c>
      <c r="B39" s="71" t="s">
        <v>730</v>
      </c>
      <c r="C39" s="128">
        <f>ROUND('DOE25'!F170+'DOE25'!G170+'DOE25'!H170+'DOE25'!I170,0)</f>
        <v>1894725</v>
      </c>
      <c r="D39" s="131">
        <f t="shared" si="1"/>
        <v>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31420347.829999998</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1" sqref="C21:M2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Jaffrey-Rindge Cooperative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142</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11</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15</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261</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f>IF('School Level Expenditures'!$B$2='School Tables'!L14,'School Tables'!S14,"")</f>
        <v>11</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f>IF('School Level Expenditures'!$B$2='School Tables'!W18,'School Tables'!AD18,"")</f>
        <v>15</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f>IF('School Level Expenditures'!$B$2=A145,'School Tables'!H145,"")</f>
        <v>142</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f>IF('School Level Expenditures'!$B$2=A264,'School Tables'!H264,"")</f>
        <v>261</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39</vt:i4>
      </vt:variant>
    </vt:vector>
  </HeadingPairs>
  <TitlesOfParts>
    <vt:vector size="49"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2024-08-19T03:22:11Z</cp:lastPrinted>
  <dcterms:created xsi:type="dcterms:W3CDTF">1997-12-04T19:04:30Z</dcterms:created>
  <dcterms:modified xsi:type="dcterms:W3CDTF">2024-12-20T18:54:06Z</dcterms:modified>
</cp:coreProperties>
</file>