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2B275A35-B9BE-4A4B-91A7-8C8AF8E206F7}" xr6:coauthVersionLast="47" xr6:coauthVersionMax="47" xr10:uidLastSave="{00000000-0000-0000-0000-000000000000}"/>
  <workbookProtection workbookAlgorithmName="SHA-512" workbookHashValue="1ROqlWr3FwyCoEbPqUiwMOqM/v8R8XypWE8XcEjlbHxBghr4u3xHM1pGawEMEKgeIZ9ACCMXiBob3GsU6sEZMA==" workbookSaltValue="isEoCyysPUn05pGvES4A8w=="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 i="13" l="1"/>
  <c r="F120" i="1" l="1"/>
  <c r="F126" i="1"/>
  <c r="F14" i="13" l="1"/>
  <c r="F6" i="13"/>
  <c r="F31" i="13"/>
  <c r="D11" i="13" l="1"/>
  <c r="B36" i="16" l="1"/>
  <c r="I593" i="1" l="1"/>
  <c r="J96"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77"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C13" i="10" s="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G111" i="1"/>
  <c r="H79" i="1"/>
  <c r="H94" i="1"/>
  <c r="H111" i="1"/>
  <c r="I111" i="1"/>
  <c r="I112" i="1" s="1"/>
  <c r="J111" i="1"/>
  <c r="J112" i="1" s="1"/>
  <c r="F121" i="1"/>
  <c r="F136" i="1"/>
  <c r="G121" i="1"/>
  <c r="G136" i="1"/>
  <c r="H121" i="1"/>
  <c r="H136" i="1"/>
  <c r="I121" i="1"/>
  <c r="I136" i="1"/>
  <c r="J121" i="1"/>
  <c r="J136" i="1"/>
  <c r="J140" i="1" s="1"/>
  <c r="F147" i="1"/>
  <c r="F170" i="1"/>
  <c r="G147" i="1"/>
  <c r="D85" i="2" s="1"/>
  <c r="H147" i="1"/>
  <c r="H170" i="1" s="1"/>
  <c r="I147" i="1"/>
  <c r="L251" i="1"/>
  <c r="C113" i="2" s="1"/>
  <c r="L333" i="1"/>
  <c r="E113" i="2" s="1"/>
  <c r="H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D8" i="2"/>
  <c r="E8" i="2"/>
  <c r="F8" i="2"/>
  <c r="I440" i="1"/>
  <c r="J9" i="1" s="1"/>
  <c r="G8" i="2" s="1"/>
  <c r="D9" i="2"/>
  <c r="E9" i="2"/>
  <c r="F9" i="2"/>
  <c r="I441" i="1"/>
  <c r="J10" i="1" s="1"/>
  <c r="G9" i="2" s="1"/>
  <c r="D11" i="2"/>
  <c r="E11" i="2"/>
  <c r="F11" i="2"/>
  <c r="I442" i="1"/>
  <c r="J12" i="1" s="1"/>
  <c r="G11" i="2" s="1"/>
  <c r="D12" i="2"/>
  <c r="E12" i="2"/>
  <c r="F12" i="2"/>
  <c r="I443" i="1"/>
  <c r="J13" i="1" s="1"/>
  <c r="G12"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H80" i="2" s="1"/>
  <c r="E80" i="2"/>
  <c r="C85" i="2"/>
  <c r="F85" i="2"/>
  <c r="C87" i="2"/>
  <c r="E87" i="2"/>
  <c r="F87" i="2"/>
  <c r="C89" i="2"/>
  <c r="D89" i="2"/>
  <c r="E89" i="2"/>
  <c r="F89" i="2"/>
  <c r="C90" i="2"/>
  <c r="H90" i="2" s="1"/>
  <c r="C93" i="2"/>
  <c r="H93" i="2" s="1"/>
  <c r="F93" i="2"/>
  <c r="C94" i="2"/>
  <c r="H94" i="2" s="1"/>
  <c r="F94" i="2"/>
  <c r="D96" i="2"/>
  <c r="H96" i="2" s="1"/>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C125" i="2"/>
  <c r="F128" i="2"/>
  <c r="G128"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G652" i="1"/>
  <c r="H653" i="1"/>
  <c r="G654" i="1"/>
  <c r="H654" i="1"/>
  <c r="H655" i="1"/>
  <c r="H656" i="1"/>
  <c r="I170" i="1"/>
  <c r="I409" i="1" l="1"/>
  <c r="D144" i="2"/>
  <c r="H101" i="2"/>
  <c r="H99" i="2"/>
  <c r="H79" i="2"/>
  <c r="H76" i="2"/>
  <c r="H26" i="2"/>
  <c r="H97" i="2"/>
  <c r="H87" i="2"/>
  <c r="H30" i="2"/>
  <c r="H17" i="2"/>
  <c r="H69" i="2"/>
  <c r="H15" i="2"/>
  <c r="E125" i="2"/>
  <c r="H102" i="2"/>
  <c r="H100" i="2"/>
  <c r="H98" i="2"/>
  <c r="H73" i="2"/>
  <c r="H143" i="2"/>
  <c r="C32" i="10"/>
  <c r="K36" i="14"/>
  <c r="K37" i="14" s="1"/>
  <c r="K2" i="14"/>
  <c r="K3" i="14" s="1"/>
  <c r="D18" i="13"/>
  <c r="C18" i="13" s="1"/>
  <c r="D15" i="13"/>
  <c r="C15" i="13" s="1"/>
  <c r="H89" i="2"/>
  <c r="H72" i="2"/>
  <c r="H132" i="2"/>
  <c r="G662" i="1"/>
  <c r="H36" i="2"/>
  <c r="H44" i="2"/>
  <c r="H48" i="2"/>
  <c r="C40" i="12"/>
  <c r="A40" i="12" s="1"/>
  <c r="H112" i="2"/>
  <c r="H477" i="1"/>
  <c r="H625" i="1" s="1"/>
  <c r="J625" i="1" s="1"/>
  <c r="H27" i="2"/>
  <c r="H28" i="2"/>
  <c r="H23" i="2"/>
  <c r="J652" i="1"/>
  <c r="G477" i="1"/>
  <c r="H47" i="2"/>
  <c r="D29" i="13"/>
  <c r="E120" i="2"/>
  <c r="E124" i="2"/>
  <c r="H125" i="2"/>
  <c r="E13" i="13"/>
  <c r="C13" i="13" s="1"/>
  <c r="C120" i="2"/>
  <c r="C12" i="10"/>
  <c r="C119" i="2"/>
  <c r="H77" i="2"/>
  <c r="H140" i="1"/>
  <c r="H59" i="2"/>
  <c r="G62" i="2"/>
  <c r="H35" i="2"/>
  <c r="H34" i="2"/>
  <c r="H29" i="2"/>
  <c r="H22" i="2"/>
  <c r="H24" i="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F18" i="2"/>
  <c r="L271" i="1"/>
  <c r="F662" i="1"/>
  <c r="F572" i="1"/>
  <c r="L420" i="1"/>
  <c r="D91" i="2"/>
  <c r="D81" i="2"/>
  <c r="E78" i="2"/>
  <c r="E81" i="2" s="1"/>
  <c r="G546" i="1"/>
  <c r="J644" i="1"/>
  <c r="J646"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21" i="2" l="1"/>
  <c r="H114" i="2"/>
  <c r="H85" i="2"/>
  <c r="L572" i="1"/>
  <c r="H134" i="2"/>
  <c r="H103" i="2"/>
  <c r="H42" i="2"/>
  <c r="H16" i="2"/>
  <c r="H124" i="2"/>
  <c r="H120" i="2"/>
  <c r="H31" i="2"/>
  <c r="E51" i="2"/>
  <c r="H123" i="2"/>
  <c r="D128" i="2"/>
  <c r="D145" i="2" s="1"/>
  <c r="H127" i="2"/>
  <c r="H122" i="2"/>
  <c r="H91" i="2"/>
  <c r="C81" i="2"/>
  <c r="H81" i="2" s="1"/>
  <c r="H78" i="2"/>
  <c r="I662" i="1"/>
  <c r="H57" i="2"/>
  <c r="D51" i="2"/>
  <c r="H50"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1" i="2"/>
  <c r="H51"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145" i="2" l="1"/>
  <c r="I670" i="1"/>
  <c r="I673" i="1" s="1"/>
  <c r="C7" i="10" s="1"/>
  <c r="F673" i="1"/>
  <c r="C4" i="10" s="1"/>
  <c r="I668" i="1"/>
  <c r="D28" i="10"/>
  <c r="C12" i="2" l="1"/>
  <c r="H12" i="2" s="1"/>
  <c r="C13" i="2"/>
  <c r="H13" i="2" s="1"/>
  <c r="C8" i="2"/>
  <c r="F19" i="1"/>
  <c r="G618" i="1" s="1"/>
  <c r="J618" i="1" s="1"/>
  <c r="C9" i="2"/>
  <c r="H9" i="2" s="1"/>
  <c r="C10" i="2"/>
  <c r="H10" i="2" s="1"/>
  <c r="C11" i="2"/>
  <c r="H11" i="2" s="1"/>
  <c r="C18" i="2" l="1"/>
  <c r="H18" i="2" s="1"/>
  <c r="H8" i="2"/>
  <c r="C61" i="2"/>
  <c r="H61" i="2" s="1"/>
  <c r="F111" i="1"/>
  <c r="F112" i="1" s="1"/>
  <c r="F194" i="1" l="1"/>
  <c r="G628" i="1" s="1"/>
  <c r="C36" i="10"/>
  <c r="C62" i="2"/>
  <c r="H62" i="2" l="1"/>
  <c r="C63" i="2"/>
  <c r="C41" i="10"/>
  <c r="D36" i="10" s="1"/>
  <c r="J628" i="1"/>
  <c r="H657" i="1"/>
  <c r="D35" i="10" l="1"/>
  <c r="D37" i="10"/>
  <c r="D40" i="10"/>
  <c r="D39" i="10"/>
  <c r="D38" i="10"/>
  <c r="C104" i="2"/>
  <c r="H104" i="2" s="1"/>
  <c r="H63" i="2"/>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<sst xmlns="http://schemas.openxmlformats.org/spreadsheetml/2006/main" count="6643" uniqueCount="1844">
  <si>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</si>
  <si>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</si>
  <si>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</si>
  <si>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</si>
  <si>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</si>
  <si>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</si>
  <si>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</si>
  <si>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</si>
  <si>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</si>
  <si>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</si>
  <si>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</si>
  <si>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</si>
  <si>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</si>
  <si>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</si>
  <si>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</si>
  <si>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</si>
  <si>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</si>
  <si>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</si>
  <si>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</si>
  <si>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</si>
  <si>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</si>
  <si>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</si>
  <si>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</si>
  <si>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</si>
  <si>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</si>
  <si>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</si>
  <si>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</si>
  <si>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</si>
  <si>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</si>
  <si>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</si>
  <si>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</si>
  <si>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</si>
  <si>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</si>
  <si>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</si>
  <si>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</si>
  <si>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</si>
  <si>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</si>
  <si>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</si>
  <si>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</si>
  <si>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</si>
  <si>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</si>
  <si>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</si>
  <si>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</si>
  <si>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</si>
  <si>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</si>
  <si>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</si>
  <si>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</si>
  <si>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</si>
  <si>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</si>
  <si>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</si>
  <si>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</si>
  <si>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</si>
  <si>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</si>
  <si>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</si>
  <si>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</si>
  <si>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</si>
  <si>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</si>
  <si>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</si>
  <si>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</si>
  <si>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</si>
  <si>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</si>
  <si>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</si>
  <si>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</si>
  <si>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</si>
  <si>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</si>
  <si>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</si>
  <si>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</si>
  <si>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</si>
  <si>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</si>
  <si>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</si>
  <si>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</si>
  <si>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</si>
  <si>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</si>
  <si>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</si>
  <si>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</si>
  <si>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</si>
  <si>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</si>
  <si>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</si>
  <si>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</si>
  <si>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</si>
  <si>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</si>
  <si>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</si>
  <si>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</si>
  <si>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</si>
  <si>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</si>
  <si>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</si>
  <si>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</si>
  <si>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</si>
  <si>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</si>
  <si>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</si>
  <si>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</si>
  <si>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</si>
  <si>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</si>
  <si>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</si>
  <si>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</si>
  <si>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</si>
  <si>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</si>
  <si>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</si>
  <si>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</si>
  <si>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</si>
  <si>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</si>
  <si>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</si>
  <si>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</si>
  <si>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</si>
  <si>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</si>
  <si>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</si>
  <si>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</si>
  <si>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</si>
  <si>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</si>
  <si>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</si>
  <si>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</si>
  <si>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</si>
  <si>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</si>
  <si>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</si>
  <si>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</si>
  <si>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</si>
  <si>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</si>
  <si>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</si>
  <si>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</si>
  <si>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</si>
  <si>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</si>
  <si>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</si>
  <si>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</si>
  <si>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</si>
  <si>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</si>
  <si>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</si>
  <si>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</si>
  <si>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</si>
  <si>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</si>
  <si>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</si>
  <si>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</si>
  <si>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</si>
  <si>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</si>
  <si>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</si>
  <si>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</si>
  <si>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</si>
  <si>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</si>
  <si>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</si>
  <si>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</si>
  <si>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</si>
  <si>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</si>
  <si>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</si>
  <si>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</si>
  <si>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</si>
  <si>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</si>
  <si>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</si>
  <si>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</si>
  <si>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</si>
  <si>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</si>
  <si>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</si>
  <si>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</si>
  <si>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</si>
  <si>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</si>
  <si>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</si>
  <si>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</si>
  <si>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</si>
  <si>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</si>
  <si>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</si>
  <si>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</si>
  <si>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</si>
  <si>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</si>
  <si>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</si>
  <si>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</si>
  <si>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</si>
  <si>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</si>
  <si>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</si>
  <si>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</si>
  <si>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</si>
  <si>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</si>
  <si>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</si>
  <si>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</si>
  <si>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</si>
  <si>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</si>
  <si>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</si>
  <si>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</si>
  <si>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</si>
  <si>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</si>
  <si>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</si>
  <si>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</si>
  <si>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</si>
  <si>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</si>
  <si>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</si>
  <si>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</si>
  <si>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</si>
  <si>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</si>
  <si>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</si>
  <si>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</si>
  <si>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</si>
  <si>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</si>
  <si>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</si>
  <si>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</si>
  <si>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</si>
  <si>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</si>
  <si>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</si>
  <si>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</si>
  <si>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</si>
  <si>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</si>
  <si>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</si>
  <si>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</si>
  <si>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</si>
  <si>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</si>
  <si>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</si>
  <si>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</si>
  <si>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</si>
  <si>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</si>
  <si>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</si>
  <si>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</si>
  <si>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</si>
  <si>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</si>
  <si>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</si>
  <si>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</si>
  <si>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</si>
  <si>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</si>
  <si>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</si>
  <si>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</si>
  <si>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</si>
  <si>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</si>
  <si>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</si>
  <si>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</si>
  <si>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</si>
  <si>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</si>
  <si>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</si>
  <si>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</si>
  <si>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</si>
  <si>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</si>
  <si>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</si>
  <si>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</si>
  <si>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</si>
  <si>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</si>
  <si>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</si>
  <si>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</si>
  <si>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</si>
  <si>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</si>
  <si>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</si>
  <si>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</si>
  <si>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</si>
  <si>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</si>
  <si>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</si>
  <si>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</si>
  <si>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</si>
  <si>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</si>
  <si>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</si>
  <si>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</si>
  <si>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</si>
  <si>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</si>
  <si>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</si>
  <si>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</si>
  <si>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</si>
  <si>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</si>
  <si>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</si>
  <si>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</si>
  <si>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</si>
  <si>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</si>
  <si>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</si>
  <si>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</si>
  <si>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</si>
  <si>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</si>
  <si>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</si>
  <si>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</si>
  <si>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</si>
  <si>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</si>
  <si>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</si>
  <si>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</si>
  <si>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</si>
  <si>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</si>
  <si>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</si>
  <si>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</si>
  <si>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</si>
  <si>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</si>
  <si>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</si>
  <si>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</si>
  <si>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</si>
  <si>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</si>
  <si>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</si>
  <si>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</si>
  <si>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</si>
  <si>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</si>
  <si>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</si>
  <si>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</si>
  <si>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</si>
  <si>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</si>
  <si>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</si>
  <si>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</si>
  <si>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</si>
  <si>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</si>
  <si>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</si>
  <si>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</si>
  <si>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</si>
  <si>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</si>
  <si>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</si>
  <si>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</si>
  <si>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</si>
  <si>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</si>
  <si>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</si>
  <si>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</si>
  <si>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</si>
  <si>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</si>
  <si>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</si>
  <si>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</si>
  <si>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</si>
  <si>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</si>
  <si>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</si>
  <si>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</si>
  <si>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</si>
  <si>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</si>
  <si>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</si>
  <si>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</si>
  <si>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</si>
  <si>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</si>
  <si>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</si>
  <si>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</si>
  <si>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</si>
  <si>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</si>
  <si>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</si>
  <si>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</si>
  <si>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</si>
  <si>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</si>
  <si>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</si>
  <si>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</si>
  <si>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</si>
  <si>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</si>
  <si>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</si>
  <si>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</si>
  <si>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</si>
  <si>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</si>
  <si>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</si>
  <si>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</si>
  <si>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</si>
  <si>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</si>
  <si>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</si>
  <si>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</si>
  <si>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</si>
  <si>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</si>
  <si>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</si>
  <si>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</si>
  <si>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</si>
  <si>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</si>
  <si>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</si>
  <si>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</si>
  <si>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</si>
  <si>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</si>
  <si>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</si>
  <si>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</si>
  <si>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</si>
  <si>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</si>
  <si>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</si>
  <si>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</si>
  <si>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</si>
  <si>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</si>
  <si>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</si>
  <si>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</si>
  <si>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</si>
  <si>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</si>
  <si>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</si>
  <si>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</si>
  <si>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</si>
  <si>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</si>
  <si>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</si>
  <si>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</si>
  <si>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</si>
  <si>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</si>
  <si>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</si>
  <si>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</si>
  <si>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</si>
  <si>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</si>
  <si>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</si>
  <si>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</si>
  <si>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</si>
  <si>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</si>
  <si>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</si>
  <si>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</si>
  <si>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</si>
  <si>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</si>
  <si>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</si>
  <si>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</si>
  <si>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</si>
  <si>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</si>
  <si>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</si>
  <si>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</si>
  <si>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</si>
  <si>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</si>
  <si>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</si>
  <si>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</si>
  <si>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</si>
  <si>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</si>
  <si>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</si>
  <si>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</si>
  <si>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</si>
  <si>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</si>
  <si>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</si>
  <si>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</si>
  <si>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</si>
  <si>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</si>
  <si>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</si>
  <si>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</si>
  <si>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</si>
  <si>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</si>
  <si>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</si>
  <si>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</si>
  <si>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</si>
  <si>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</si>
  <si>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</si>
  <si>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</si>
  <si>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</si>
  <si>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</si>
  <si>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</si>
  <si>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</si>
  <si>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</si>
  <si>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</si>
  <si>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</si>
  <si>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</si>
  <si>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</si>
  <si>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</si>
  <si>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</si>
  <si>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</si>
  <si>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</si>
  <si>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</si>
  <si>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</si>
  <si>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</si>
  <si>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</si>
  <si>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</si>
  <si>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</si>
  <si>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</si>
  <si>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</si>
  <si>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</si>
  <si>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</si>
  <si>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</si>
  <si>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</si>
  <si>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</si>
  <si>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</si>
  <si>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</si>
  <si>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</si>
  <si>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</si>
  <si>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</si>
  <si>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</si>
  <si>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</si>
  <si>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</si>
  <si>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</si>
  <si>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</si>
  <si>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</si>
  <si>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</si>
  <si>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</si>
  <si>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</si>
  <si>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</si>
  <si>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</si>
  <si>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</si>
  <si>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</si>
  <si>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</si>
  <si>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</si>
  <si>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</si>
  <si>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</si>
  <si>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</si>
  <si>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</si>
  <si>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</si>
  <si>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</si>
  <si>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</si>
  <si>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</si>
  <si>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</si>
  <si>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</si>
  <si>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</si>
  <si>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</si>
  <si>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</si>
  <si>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</si>
  <si>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</si>
  <si>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</si>
  <si>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</si>
  <si>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</si>
  <si>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</si>
  <si>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</si>
  <si>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</si>
  <si>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</si>
  <si>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</si>
  <si>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</si>
  <si>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</si>
  <si>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</si>
  <si>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</si>
  <si>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</si>
  <si>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</si>
  <si>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</si>
  <si>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</si>
  <si>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</si>
  <si>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</si>
  <si>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</si>
  <si>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</si>
  <si>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</si>
  <si>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</si>
  <si>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</si>
  <si>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</si>
  <si>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</si>
  <si>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</si>
  <si>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</si>
  <si>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</si>
  <si>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</si>
  <si>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</si>
  <si>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</si>
  <si>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</si>
  <si>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</si>
  <si>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</si>
  <si>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</si>
  <si>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</si>
  <si>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</si>
  <si>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</si>
  <si>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</si>
  <si>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</si>
  <si>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</si>
  <si>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</si>
  <si>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</si>
  <si>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</si>
  <si>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</si>
  <si>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</si>
  <si>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</si>
  <si>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</si>
  <si>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</si>
  <si>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</si>
  <si>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</si>
  <si>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</si>
  <si>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</si>
  <si>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</si>
  <si>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</si>
  <si>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</si>
  <si>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</si>
  <si>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</si>
  <si>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</si>
  <si>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</si>
  <si>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</si>
  <si>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</si>
  <si>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</si>
  <si>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</si>
  <si>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</si>
  <si>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</si>
  <si>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</si>
  <si>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</si>
  <si>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</si>
  <si>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</si>
  <si>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</si>
  <si>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</si>
  <si>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</si>
  <si>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</si>
  <si>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</si>
  <si>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</si>
  <si>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</si>
  <si>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</si>
  <si>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</si>
  <si>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</si>
  <si>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</si>
  <si>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</si>
  <si>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</si>
  <si>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</si>
  <si>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</si>
  <si>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</si>
  <si>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</si>
  <si>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</si>
  <si>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</si>
  <si>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</si>
  <si>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</si>
  <si>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</si>
  <si>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</si>
  <si>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</si>
  <si>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</si>
  <si>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</si>
  <si>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</si>
  <si>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</si>
  <si>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</si>
  <si>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</si>
  <si>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</si>
  <si>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</si>
  <si>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</si>
  <si>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</si>
  <si>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</si>
  <si>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</si>
  <si>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</si>
  <si>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</si>
  <si>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</si>
  <si>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</si>
  <si>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</si>
  <si>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</si>
  <si>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</si>
  <si>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</si>
  <si>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</si>
  <si>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</si>
  <si>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</si>
  <si>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</si>
  <si>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</si>
  <si>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</si>
  <si>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</si>
  <si>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</si>
  <si>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</si>
  <si>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</si>
  <si>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</si>
  <si>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</si>
  <si>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</si>
  <si>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</si>
  <si>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</si>
  <si>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</si>
  <si>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</si>
  <si>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</si>
  <si>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</si>
  <si>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</si>
  <si>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</si>
  <si>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</si>
  <si>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</si>
  <si>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</si>
  <si>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</si>
  <si>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</si>
  <si>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</si>
  <si>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</si>
  <si>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</si>
  <si>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</si>
  <si>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</si>
  <si>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</si>
  <si>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</si>
  <si>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</si>
  <si>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</si>
  <si>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</si>
  <si>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</si>
  <si>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</si>
  <si>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</si>
  <si>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</si>
  <si>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</si>
  <si>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</si>
  <si>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</si>
  <si>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</si>
  <si>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</si>
  <si>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</si>
  <si>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</si>
  <si>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</si>
  <si>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</si>
  <si>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</si>
  <si>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</si>
  <si>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</si>
  <si>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</si>
  <si>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</si>
  <si>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</si>
  <si>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</si>
  <si>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</si>
  <si>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</si>
  <si>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</si>
  <si>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</si>
  <si>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</si>
  <si>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</si>
  <si>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</si>
  <si>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</si>
  <si>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</si>
  <si>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</si>
  <si>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</si>
  <si>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</si>
  <si>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</si>
  <si>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</si>
  <si>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</si>
  <si>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</si>
  <si>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</si>
  <si>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</si>
  <si>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</si>
  <si>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</si>
  <si>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</si>
  <si>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</si>
  <si>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</si>
  <si>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</si>
  <si>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</si>
  <si>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</si>
  <si>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</si>
  <si>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</si>
  <si>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</si>
  <si>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</si>
  <si>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</si>
  <si>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</si>
  <si>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</si>
  <si>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</si>
  <si>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</si>
  <si>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</si>
  <si>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</si>
  <si>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</si>
  <si>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</si>
  <si>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</si>
  <si>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</si>
  <si>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</si>
  <si>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</si>
  <si>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</si>
  <si>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</si>
  <si>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</si>
  <si>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</si>
  <si>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</si>
  <si>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</si>
  <si>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</si>
  <si>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</si>
  <si>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</si>
  <si>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</si>
  <si>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</si>
  <si>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</si>
  <si>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</si>
  <si>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</si>
  <si>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</si>
  <si>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</si>
  <si>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</si>
  <si>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</si>
  <si>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</si>
  <si>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</si>
  <si>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</si>
  <si>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</si>
  <si>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</si>
  <si>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</si>
  <si>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</si>
  <si>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</si>
  <si>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</si>
  <si>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</si>
  <si>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</si>
  <si>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</si>
  <si>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</si>
  <si>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</si>
  <si>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</si>
  <si>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</si>
  <si>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</si>
  <si>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</si>
  <si>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</si>
  <si>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</si>
  <si>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</si>
  <si>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</si>
  <si>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</si>
  <si>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</si>
  <si>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</si>
  <si>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</si>
  <si>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</si>
  <si>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</si>
  <si>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</si>
  <si>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</si>
  <si>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</si>
  <si>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</si>
  <si>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</si>
  <si>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</si>
  <si>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</si>
  <si>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</si>
  <si>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</si>
  <si>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</si>
  <si>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</si>
  <si>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</si>
  <si>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</si>
  <si>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</si>
  <si>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</si>
  <si>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</si>
  <si>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</si>
  <si>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</si>
  <si>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</si>
  <si>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</si>
  <si>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</si>
  <si>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</si>
  <si>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</si>
  <si>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</si>
  <si>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</si>
  <si>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</si>
  <si>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</si>
  <si>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</si>
  <si>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</si>
  <si>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</si>
  <si>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</si>
  <si>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</si>
  <si>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</si>
  <si>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</si>
  <si>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</si>
  <si>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</si>
  <si>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</si>
  <si>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</si>
  <si>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</si>
  <si>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</si>
  <si>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</si>
  <si>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</si>
  <si>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</si>
  <si>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</si>
  <si>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</si>
  <si>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</si>
  <si>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</si>
  <si>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</si>
  <si>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</si>
  <si>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</si>
  <si>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</si>
  <si>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</si>
  <si>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</si>
  <si>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</si>
  <si>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</si>
  <si>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</si>
  <si>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</si>
  <si>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</si>
  <si>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</si>
  <si>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</si>
  <si>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</si>
  <si>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</si>
  <si>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</si>
  <si>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</si>
  <si>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</si>
  <si>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</si>
  <si>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</si>
  <si>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</si>
  <si>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</si>
  <si>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</si>
  <si>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</si>
  <si>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</si>
  <si>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</si>
  <si>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</si>
  <si>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</si>
  <si>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</si>
  <si>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</si>
  <si>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</si>
  <si>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</si>
  <si>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</si>
  <si>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</si>
  <si>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</si>
  <si>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</si>
  <si>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</si>
  <si>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</si>
  <si>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</si>
  <si>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</si>
  <si>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</si>
  <si>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</si>
  <si>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</si>
  <si>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</si>
  <si>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</si>
  <si>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</si>
  <si>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</si>
  <si>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</si>
  <si>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</si>
  <si>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</si>
  <si>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</si>
  <si>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</si>
  <si>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</si>
  <si>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</si>
  <si>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</si>
  <si>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</si>
  <si>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</si>
  <si>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</si>
  <si>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</si>
  <si>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</si>
  <si>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</si>
  <si>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</si>
  <si>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</si>
  <si>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</si>
  <si>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</si>
  <si>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</si>
  <si>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</si>
  <si>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</si>
  <si>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</si>
  <si>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</si>
  <si>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</si>
  <si>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</si>
  <si>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</si>
  <si>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</si>
  <si>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</si>
  <si>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</si>
  <si>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</si>
  <si>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</si>
  <si>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</si>
  <si>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</si>
  <si>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</si>
  <si>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</si>
  <si>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</si>
  <si>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</si>
  <si>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</si>
  <si>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</si>
  <si>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</si>
  <si>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</si>
  <si>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</si>
  <si>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</si>
  <si>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</si>
  <si>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</si>
  <si>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</si>
  <si>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</si>
  <si>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</si>
  <si>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</si>
  <si>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</si>
  <si>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</si>
  <si>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</si>
  <si>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</si>
  <si>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</si>
  <si>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</si>
  <si>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</si>
  <si>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</si>
  <si>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</si>
  <si>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</si>
  <si>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</si>
  <si>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</si>
  <si>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</si>
  <si>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</si>
  <si>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</si>
  <si>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</si>
  <si>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</si>
  <si>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</si>
  <si>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</si>
  <si>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</si>
  <si>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</si>
  <si>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</si>
  <si>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</si>
  <si>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</si>
  <si>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</si>
  <si>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</si>
  <si>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</si>
  <si>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</si>
  <si>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</si>
  <si>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</si>
  <si>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</si>
  <si>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</si>
  <si>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</si>
  <si>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</si>
  <si>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</si>
  <si>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</si>
  <si>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</si>
  <si>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</si>
  <si>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</si>
  <si>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</si>
  <si>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</si>
  <si>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</si>
  <si>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</si>
  <si>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</si>
  <si>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</si>
  <si>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</si>
  <si>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</si>
  <si>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</si>
  <si>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</si>
  <si>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</si>
  <si>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</si>
  <si>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</si>
  <si>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</si>
  <si>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</si>
  <si>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</si>
  <si>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</si>
  <si>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</si>
  <si>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</si>
  <si>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</si>
  <si>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</si>
  <si>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</si>
  <si>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</si>
  <si>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</si>
  <si>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</si>
  <si>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</si>
  <si>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</si>
  <si>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</si>
  <si>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</si>
  <si>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</si>
  <si>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</si>
  <si>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</si>
  <si>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</si>
  <si>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</si>
  <si>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</si>
  <si>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</si>
  <si>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</si>
  <si>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</si>
  <si>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</si>
  <si>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</si>
  <si>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</si>
  <si>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</si>
  <si>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</si>
  <si>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</si>
  <si>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</si>
  <si>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</si>
  <si>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</si>
  <si>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</si>
  <si>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</si>
  <si>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</si>
  <si>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</si>
  <si>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</si>
  <si>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</si>
  <si>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</si>
  <si>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</si>
  <si>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</si>
  <si>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</si>
  <si>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</si>
  <si>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</si>
  <si>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</si>
  <si>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</si>
  <si>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</si>
  <si>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</si>
  <si>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</si>
  <si>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</si>
  <si>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</si>
  <si>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</si>
  <si>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</si>
  <si>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</si>
  <si>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</si>
  <si>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</si>
  <si>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</si>
  <si>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</si>
  <si>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</si>
  <si>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</si>
  <si>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</si>
  <si>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</si>
  <si>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</si>
  <si>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</si>
  <si>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</si>
  <si>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</si>
  <si>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</si>
  <si>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</si>
  <si>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</si>
  <si>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</si>
  <si>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</si>
  <si>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</si>
  <si>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</si>
  <si>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</si>
  <si>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</si>
  <si>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</si>
  <si>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</si>
  <si>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</si>
  <si>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</si>
  <si>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</si>
  <si>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</si>
  <si>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</si>
  <si>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</si>
  <si>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</si>
  <si>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</si>
  <si>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</si>
  <si>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</si>
  <si>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</si>
  <si>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</si>
  <si>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</si>
  <si>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</si>
  <si>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</si>
  <si>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</si>
  <si>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</si>
  <si>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</si>
  <si>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</si>
  <si>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</si>
  <si>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</si>
  <si>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</si>
  <si>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</si>
  <si>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</si>
  <si>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</si>
  <si>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</si>
  <si>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</si>
  <si>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</si>
  <si>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</si>
  <si>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</si>
  <si>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</si>
  <si>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</si>
  <si>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</si>
  <si>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</si>
  <si>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</si>
  <si>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</si>
  <si>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</si>
  <si>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</si>
  <si>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</si>
  <si>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</si>
  <si>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</si>
  <si>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</si>
  <si>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</si>
  <si>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</si>
  <si>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</si>
  <si>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</si>
  <si>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</si>
  <si>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</si>
  <si>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</si>
  <si>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</si>
  <si>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</si>
  <si>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</si>
  <si>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</si>
  <si>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</si>
  <si>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</si>
  <si>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</si>
  <si>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</si>
  <si>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</si>
  <si>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</si>
  <si>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</si>
  <si>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</si>
  <si>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</si>
  <si>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</si>
  <si>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</si>
  <si>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</si>
  <si>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</si>
  <si>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</si>
  <si>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</si>
  <si>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</si>
  <si>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</si>
  <si>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</si>
  <si>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</si>
  <si>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</si>
  <si>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</si>
  <si>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</si>
  <si>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</si>
  <si>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</si>
  <si>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</si>
  <si>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</si>
  <si>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</si>
  <si>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</si>
  <si>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</si>
  <si>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</si>
  <si>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</si>
  <si>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</si>
  <si>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</si>
  <si>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</si>
  <si>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</si>
  <si>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</si>
  <si>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</si>
  <si>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</si>
  <si>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</si>
  <si>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</si>
  <si>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</si>
  <si>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</si>
  <si>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</si>
  <si>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</si>
  <si>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</si>
  <si>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</si>
  <si>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</si>
  <si>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</si>
  <si>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</si>
  <si>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</si>
  <si>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</si>
  <si>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</si>
  <si>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</si>
  <si>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</si>
  <si>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</si>
  <si>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</si>
  <si>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</si>
  <si>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</si>
  <si>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</si>
  <si>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</si>
  <si>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</si>
  <si>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</si>
  <si>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</si>
  <si>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</si>
  <si>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</si>
  <si>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</si>
  <si>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</si>
  <si>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</si>
  <si>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</si>
  <si>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</si>
  <si>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</si>
  <si>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</si>
  <si>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</si>
  <si>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</si>
  <si>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</si>
  <si>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</si>
  <si>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</si>
  <si>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</si>
  <si>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</si>
  <si>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</si>
  <si>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</si>
  <si>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</si>
  <si>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</si>
  <si>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</si>
  <si>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</si>
  <si>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</si>
  <si>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</si>
  <si>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</si>
  <si>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</si>
  <si>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</si>
  <si>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</si>
  <si>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</si>
  <si>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</si>
  <si>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</si>
  <si>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</si>
  <si>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</si>
  <si>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</si>
  <si>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</si>
  <si>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</si>
  <si>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</si>
  <si>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</si>
  <si>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</si>
  <si>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</si>
  <si>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</si>
  <si>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</si>
  <si>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</si>
  <si>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</si>
  <si>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</si>
  <si>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</si>
  <si>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</si>
  <si>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</si>
  <si>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</si>
  <si>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</si>
  <si>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</si>
  <si>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</si>
  <si>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</si>
  <si>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</si>
  <si>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</si>
  <si>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</si>
  <si>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</si>
  <si>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</si>
  <si>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</si>
  <si>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</si>
  <si>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</si>
  <si>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</si>
  <si>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</si>
  <si>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</si>
  <si>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</si>
  <si>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</si>
  <si>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</si>
  <si>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</si>
  <si>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</si>
  <si>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</si>
  <si>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</si>
  <si>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</si>
  <si>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</si>
  <si>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</si>
  <si>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</si>
  <si>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</si>
  <si>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</si>
  <si>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</si>
  <si>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</si>
  <si>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</si>
  <si>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</si>
  <si>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</si>
  <si>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</si>
  <si>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</si>
  <si>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</si>
  <si>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</si>
  <si>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</si>
  <si>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</si>
  <si>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</si>
  <si>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</si>
  <si>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</si>
  <si>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</si>
  <si>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</si>
  <si>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</si>
  <si>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</si>
  <si>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</si>
  <si>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</si>
  <si>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</si>
  <si>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</si>
  <si>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</si>
  <si>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</si>
  <si>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</si>
  <si>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</si>
  <si>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</si>
  <si>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</si>
  <si>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</si>
  <si>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</si>
  <si>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</si>
  <si>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</si>
  <si>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</si>
  <si>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</si>
  <si>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</si>
  <si>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</si>
  <si>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</si>
  <si>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</si>
  <si>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</si>
  <si>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</si>
  <si>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</si>
  <si>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</si>
  <si>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</si>
  <si>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</si>
  <si>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</si>
  <si>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</si>
  <si>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</si>
  <si>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</si>
  <si>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</si>
  <si>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</si>
  <si>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</si>
  <si>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</si>
  <si>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</si>
  <si>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</si>
  <si>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</si>
  <si>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</si>
  <si>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</si>
  <si>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</si>
  <si>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</si>
  <si>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</si>
  <si>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</si>
  <si>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</si>
  <si>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</si>
  <si>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</si>
  <si>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</si>
  <si>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</si>
  <si>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</si>
  <si>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</si>
  <si>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</si>
  <si>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</si>
  <si>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</si>
  <si>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</si>
  <si>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</si>
  <si>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</si>
  <si>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</si>
  <si>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</si>
  <si>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</si>
  <si>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</si>
  <si>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</si>
  <si>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</si>
  <si>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</si>
  <si>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</si>
  <si>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</si>
  <si>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</si>
  <si>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</si>
  <si>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</si>
  <si>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</si>
  <si>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</si>
  <si>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</si>
  <si>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</si>
  <si>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</si>
  <si>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</si>
  <si>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</si>
  <si>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</si>
  <si>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</si>
  <si>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</si>
  <si>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</si>
  <si>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</si>
  <si>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</si>
  <si>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</si>
  <si>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</si>
  <si>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</si>
  <si>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</si>
  <si>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</si>
  <si>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</si>
  <si>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</si>
  <si>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</si>
  <si>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</si>
  <si>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</si>
  <si>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</si>
  <si>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</si>
  <si>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</si>
  <si>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</si>
  <si>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</si>
  <si>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</si>
  <si>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</si>
  <si>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</si>
  <si>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</si>
  <si>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</si>
  <si>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</si>
  <si>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</si>
  <si>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</si>
  <si>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</si>
  <si>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</si>
  <si>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</si>
  <si>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</si>
  <si>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</si>
  <si>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</si>
  <si>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</si>
  <si>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</si>
  <si>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</si>
  <si>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</si>
  <si>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</si>
  <si>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</si>
  <si>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</si>
  <si>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</si>
  <si>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</si>
  <si>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</si>
  <si>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</si>
  <si>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</si>
  <si>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</si>
  <si>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</si>
  <si>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</si>
  <si>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</si>
  <si>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</si>
  <si>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</si>
  <si>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</si>
  <si>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</si>
  <si>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</si>
  <si>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</si>
  <si>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</si>
  <si>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</si>
  <si>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</si>
  <si>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</si>
  <si>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</si>
  <si>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</si>
  <si>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</si>
  <si>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</si>
  <si>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</si>
  <si>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</si>
  <si>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</si>
  <si>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</si>
  <si>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</si>
  <si>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</si>
  <si>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</si>
  <si>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</si>
  <si>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</si>
  <si>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</si>
  <si>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</si>
  <si>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</si>
  <si>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</si>
  <si>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</si>
  <si>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</si>
  <si>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</si>
  <si>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</si>
  <si>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</si>
  <si>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</si>
  <si>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</si>
  <si>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</si>
  <si>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</si>
  <si>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</si>
  <si>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</si>
  <si>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</si>
  <si>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</si>
  <si>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</si>
  <si>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</si>
  <si>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</si>
  <si>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</si>
  <si>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</si>
  <si>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</si>
  <si>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</si>
  <si>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</si>
  <si>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</si>
  <si>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</si>
  <si>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</si>
  <si>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</si>
  <si>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</si>
  <si>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</si>
  <si>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</si>
  <si>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</si>
  <si>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</si>
  <si>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</si>
  <si>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</si>
  <si>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</si>
  <si>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</si>
  <si>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</si>
  <si>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</si>
  <si>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</si>
  <si>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</si>
  <si>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</si>
  <si>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</si>
  <si>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</si>
  <si>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</si>
  <si>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</si>
  <si>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</si>
  <si>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</si>
  <si>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</si>
  <si>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</si>
  <si>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</si>
  <si>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</si>
  <si>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</si>
  <si>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</si>
  <si>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</si>
  <si>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</si>
  <si>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</si>
  <si>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</si>
  <si>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</si>
  <si>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</si>
  <si>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</si>
  <si>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</si>
  <si>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</si>
  <si>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</si>
  <si>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</si>
  <si>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</si>
  <si>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</si>
  <si>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</si>
  <si>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</si>
  <si>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</si>
  <si>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</si>
  <si>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</si>
  <si>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</si>
  <si>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</si>
  <si>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</si>
  <si>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</si>
  <si>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</si>
  <si>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</si>
  <si>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</si>
  <si>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</si>
  <si>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</si>
  <si>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</si>
  <si>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</si>
  <si>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</si>
  <si>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</si>
  <si>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</si>
  <si>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</si>
  <si>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</si>
  <si>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</si>
  <si>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</si>
  <si>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</si>
  <si>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</si>
  <si>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</si>
  <si>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</si>
  <si>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</si>
  <si>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</si>
  <si>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</si>
  <si>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</si>
  <si>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</si>
  <si>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</si>
  <si>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</si>
  <si>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</si>
  <si>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</si>
  <si>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</si>
  <si>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</si>
  <si>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</si>
  <si>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</si>
  <si>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</si>
  <si>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</si>
  <si>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</si>
  <si>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</si>
  <si>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</si>
  <si>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</si>
  <si>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</si>
  <si>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</si>
  <si>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</si>
  <si>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</si>
  <si>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</si>
  <si>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</si>
  <si>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</si>
  <si>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</si>
  <si>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</si>
  <si>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</si>
  <si>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</si>
  <si>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</si>
  <si>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</si>
  <si>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</si>
  <si>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</si>
  <si>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</si>
  <si>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</si>
  <si>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</si>
  <si>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</si>
  <si>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</si>
  <si>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</si>
  <si>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</si>
  <si>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</si>
  <si>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</si>
  <si>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</si>
  <si>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</si>
  <si>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</si>
  <si>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</si>
  <si>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</si>
  <si>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</si>
  <si>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</si>
  <si>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</si>
  <si>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</si>
  <si>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</si>
  <si>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</si>
  <si>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</si>
  <si>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</si>
  <si>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</si>
  <si>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</si>
  <si>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</si>
  <si>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</si>
  <si>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</si>
  <si>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</si>
  <si>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</si>
  <si>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</si>
  <si>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</si>
  <si>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</si>
  <si>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</si>
  <si>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</si>
  <si>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</si>
  <si>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</si>
  <si>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</si>
  <si>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</si>
  <si>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</si>
  <si>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</si>
  <si>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</si>
  <si>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</si>
  <si>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</si>
  <si>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</si>
  <si>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</si>
  <si>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</si>
  <si>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</si>
  <si>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</si>
  <si>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</si>
  <si>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</si>
  <si>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</si>
  <si>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</si>
  <si>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</si>
  <si>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</si>
  <si>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</si>
  <si>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</si>
  <si>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</si>
  <si>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</si>
  <si>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</si>
  <si>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</si>
  <si>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</si>
  <si>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</si>
  <si>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</si>
  <si>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</si>
  <si>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</si>
  <si>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</si>
  <si>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</si>
  <si>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</si>
  <si>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</si>
  <si>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</si>
  <si>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</si>
  <si>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</si>
  <si>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</si>
  <si>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</si>
  <si>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</si>
  <si>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</si>
  <si>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</si>
  <si>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</si>
  <si>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</si>
  <si>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</si>
  <si>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</si>
  <si>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</si>
  <si>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</si>
  <si>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</si>
  <si>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</si>
  <si>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</si>
  <si>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</si>
  <si>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</si>
  <si>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</si>
  <si>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</si>
  <si>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</si>
  <si>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</si>
  <si>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</si>
  <si>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</si>
  <si>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</si>
  <si>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</si>
  <si>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</si>
  <si>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</si>
  <si>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</si>
  <si>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</si>
  <si>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</si>
  <si>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</si>
  <si>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</si>
  <si>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</si>
  <si>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</si>
  <si>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</si>
  <si>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</si>
  <si>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</si>
  <si>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</si>
  <si>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</si>
  <si>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</si>
  <si>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</si>
  <si>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</si>
  <si>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</si>
  <si>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</si>
  <si>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</si>
  <si>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</si>
  <si>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</si>
  <si>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</si>
  <si>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</si>
  <si>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</si>
  <si>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</si>
  <si>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</si>
  <si>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</si>
  <si>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</si>
  <si>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</si>
  <si>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</si>
  <si>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</si>
  <si>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</si>
  <si>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</si>
  <si>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</si>
  <si>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</si>
  <si>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</si>
  <si>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</si>
  <si>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</si>
  <si>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</si>
  <si>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</si>
  <si>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</si>
  <si>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</si>
  <si>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</si>
  <si>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</si>
  <si>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</si>
  <si>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</si>
  <si>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</si>
  <si>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</si>
  <si>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</si>
  <si>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</si>
  <si>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</si>
  <si>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</si>
  <si>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</si>
  <si>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</si>
  <si>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</si>
  <si>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</si>
  <si>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</si>
  <si>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</si>
  <si>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</si>
  <si>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</si>
  <si>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</si>
  <si>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</si>
  <si>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</si>
  <si>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</si>
  <si>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</si>
  <si>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</si>
  <si>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</si>
  <si>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</si>
  <si>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</si>
  <si>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</si>
  <si>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</si>
  <si>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</si>
  <si>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</si>
  <si>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</si>
  <si>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</si>
  <si>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</si>
  <si>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</si>
  <si>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</si>
  <si>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</si>
  <si>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</si>
  <si>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</si>
  <si>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</si>
  <si>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</si>
  <si>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</si>
  <si>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</si>
  <si>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</si>
  <si>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</si>
  <si>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</si>
  <si>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</si>
  <si>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</si>
  <si>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</si>
  <si>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</si>
  <si>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</si>
  <si>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</si>
  <si>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</si>
  <si>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</si>
  <si>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</si>
  <si>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</si>
  <si>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</si>
  <si>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</si>
  <si>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</si>
  <si>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</si>
  <si>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</si>
  <si>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</si>
  <si>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</si>
  <si>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</si>
  <si>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</si>
  <si>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</si>
  <si>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</si>
  <si>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</si>
  <si>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</si>
  <si>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</si>
  <si>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</si>
  <si>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</si>
  <si>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</si>
  <si>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</si>
  <si>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</si>
  <si>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</si>
  <si>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</si>
  <si>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</si>
  <si>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</si>
  <si>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</si>
  <si>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</si>
  <si>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</si>
  <si>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</si>
  <si>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</si>
  <si>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</si>
  <si>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</si>
  <si>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</si>
  <si>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</si>
  <si>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</si>
  <si>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</si>
  <si>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</si>
  <si>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</si>
  <si>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</si>
  <si>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</si>
  <si>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</si>
  <si>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</si>
  <si>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</si>
  <si>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</si>
  <si>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</si>
  <si>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</si>
  <si>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</si>
  <si>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</si>
  <si>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</si>
  <si>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</si>
  <si>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</si>
  <si>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</si>
  <si>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</si>
  <si>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</si>
  <si>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</si>
  <si>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</si>
  <si>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</si>
  <si>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</si>
  <si>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</si>
  <si>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</si>
  <si>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</si>
  <si>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</si>
  <si>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</si>
  <si>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</si>
  <si>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</si>
  <si>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</si>
  <si>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</si>
  <si>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</si>
  <si>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</si>
  <si>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</si>
  <si>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</si>
  <si>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</si>
  <si>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</si>
  <si>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</si>
  <si>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</si>
  <si>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</si>
  <si>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</si>
  <si>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</si>
  <si>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</si>
  <si>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</si>
  <si>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</si>
  <si>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</si>
  <si>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</si>
  <si>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</si>
  <si>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</si>
  <si>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</si>
  <si>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</si>
  <si>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</si>
  <si>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</si>
  <si>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</si>
  <si>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</si>
  <si>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</si>
  <si>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</si>
  <si>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</si>
  <si>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</si>
  <si>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</si>
  <si>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</si>
  <si>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</si>
  <si>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</si>
  <si>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</si>
  <si>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</si>
  <si>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</si>
  <si>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</si>
  <si>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</si>
  <si>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</si>
  <si>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</si>
  <si>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</si>
  <si>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</si>
  <si>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</si>
  <si>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</si>
  <si>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</si>
  <si>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</si>
  <si>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</si>
  <si>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</si>
  <si>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</si>
  <si>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</si>
  <si>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</si>
  <si>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</si>
  <si>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</si>
  <si>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</si>
  <si>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</si>
  <si>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</si>
  <si>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</si>
  <si>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</si>
  <si>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</si>
  <si>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</si>
  <si>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</si>
  <si>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</si>
  <si>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</si>
  <si>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</si>
  <si>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</si>
  <si>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</si>
  <si>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</si>
  <si>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</si>
  <si>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</si>
  <si>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</si>
  <si>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</si>
  <si>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</si>
  <si>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</si>
  <si>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</si>
  <si>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</si>
  <si>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</si>
  <si>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</si>
  <si>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</si>
  <si>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</si>
  <si>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</si>
  <si>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</si>
  <si>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</si>
  <si>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</si>
  <si>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</si>
  <si>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</si>
  <si>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</si>
  <si>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</si>
  <si>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</si>
  <si>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</si>
  <si>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</si>
  <si>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</si>
  <si>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</si>
  <si>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</si>
  <si>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</si>
  <si>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</si>
  <si>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</si>
  <si>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07/10</t>
  </si>
  <si>
    <t>7/10</t>
  </si>
  <si>
    <t>08/39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</si>
</sst>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3" fontId="15" fillId="41" borderId="39" xfId="0" applyNumberFormat="1" applyFont="1" applyFill="1" applyBorder="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9"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1142</v>
      </c>
      <c r="B2">
        <f>INDEX('School Tables'!$AH$3:$AH$213,MATCH('DOE25'!A2,'School Tables'!$AJ$3:$AJ$213,0))</f>
        <v>279</v>
      </c>
      <c r="C2">
        <f>INDEX('School Tables'!$AI$3:$AI$213,MATCH('DOE25'!A2,'School Tables'!$AJ$3:$AJ$213,0))</f>
        <v>279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7755021.9000000004</v>
      </c>
      <c r="G9" s="18">
        <v>359210.91</v>
      </c>
      <c r="H9" s="18">
        <v>98729.44</v>
      </c>
      <c r="I9" s="18">
        <v>0</v>
      </c>
      <c r="J9" s="13">
        <f>SUM(I440)</f>
        <v>0</v>
      </c>
      <c r="K9" s="23" t="s">
        <v>288</v>
      </c>
      <c r="L9" s="23" t="s">
        <v>288</v>
      </c>
      <c r="M9" s="8"/>
      <c r="N9" s="164"/>
    </row>
    <row r="10" spans="1:14" s="3" customFormat="1" ht="12.2" customHeight="1" x14ac:dyDescent="0.15">
      <c r="A10" s="1" t="s">
        <v>562</v>
      </c>
      <c r="B10" s="2" t="s">
        <v>289</v>
      </c>
      <c r="C10" s="6">
        <v>2</v>
      </c>
      <c r="D10" s="2" t="s">
        <v>428</v>
      </c>
      <c r="E10" s="6">
        <v>110</v>
      </c>
      <c r="F10" s="18">
        <v>1600843.24</v>
      </c>
      <c r="G10" s="18">
        <v>0</v>
      </c>
      <c r="H10" s="18">
        <v>0</v>
      </c>
      <c r="I10" s="18">
        <v>0</v>
      </c>
      <c r="J10" s="13">
        <f>SUM(I441)</f>
        <v>1675108.25</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732918.33000000007</v>
      </c>
      <c r="G12" s="18">
        <v>0</v>
      </c>
      <c r="H12" s="18">
        <v>18183.810000000001</v>
      </c>
      <c r="I12" s="18">
        <v>0</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243657.71</v>
      </c>
      <c r="G13" s="18">
        <v>149437.60999999999</v>
      </c>
      <c r="H13" s="18">
        <v>1290145.55</v>
      </c>
      <c r="I13" s="18">
        <v>0</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v>623255.01</v>
      </c>
      <c r="G14" s="18">
        <v>3462.54</v>
      </c>
      <c r="H14" s="18">
        <v>58160.670000000006</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1300</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10956996.190000001</v>
      </c>
      <c r="G19" s="38">
        <f>SUM(G9:G18)</f>
        <v>512111.05999999994</v>
      </c>
      <c r="H19" s="38">
        <f>SUM(H9:H18)</f>
        <v>1465219.47</v>
      </c>
      <c r="I19" s="38">
        <f>SUM(I9:I18)</f>
        <v>0</v>
      </c>
      <c r="J19" s="38">
        <f>SUM(J9:J18)</f>
        <v>1675108.25</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v>0</v>
      </c>
      <c r="H22" s="18">
        <v>749688.14</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25129.919999999998</v>
      </c>
      <c r="G23" s="18">
        <v>0</v>
      </c>
      <c r="H23" s="18">
        <v>14905.81</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1629520.91</v>
      </c>
      <c r="G24" s="18">
        <v>0</v>
      </c>
      <c r="H24" s="18">
        <v>706309.7</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55346</v>
      </c>
      <c r="G28" s="18">
        <v>0</v>
      </c>
      <c r="H28" s="18">
        <v>4036.0899999999997</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1214735.52</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v>37570.61</v>
      </c>
      <c r="H30" s="18">
        <v>6894.68</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2924732.3499999996</v>
      </c>
      <c r="G32" s="38">
        <f>SUM(G22:G31)</f>
        <v>37570.61</v>
      </c>
      <c r="H32" s="38">
        <f>SUM(H22:H31)</f>
        <v>1481834.42</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v>1300</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474540.45</v>
      </c>
      <c r="H37" s="18">
        <v>57924.37</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c r="H43" s="18">
        <v>-164632.44</v>
      </c>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250000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0</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903886</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0</v>
      </c>
      <c r="H48" s="18">
        <v>-811148.73</v>
      </c>
      <c r="I48" s="18"/>
      <c r="J48" s="13">
        <f>SUM(I460)</f>
        <v>1675108.25</v>
      </c>
      <c r="K48" s="23" t="s">
        <v>288</v>
      </c>
      <c r="L48" s="23" t="s">
        <v>288</v>
      </c>
      <c r="M48" s="8"/>
      <c r="N48" s="164"/>
    </row>
    <row r="49" spans="1:14" s="3" customFormat="1" ht="12.2" customHeight="1" x14ac:dyDescent="0.15">
      <c r="A49" s="1" t="s">
        <v>855</v>
      </c>
      <c r="B49" s="2" t="s">
        <v>289</v>
      </c>
      <c r="C49" s="6">
        <v>34</v>
      </c>
      <c r="D49" s="2"/>
      <c r="E49" s="6">
        <v>753</v>
      </c>
      <c r="F49" s="18">
        <v>1448500.77</v>
      </c>
      <c r="G49" s="18">
        <v>0</v>
      </c>
      <c r="H49" s="18">
        <v>901241.85</v>
      </c>
      <c r="I49" s="18"/>
      <c r="J49" s="13">
        <f>I455</f>
        <v>0</v>
      </c>
      <c r="K49" s="23"/>
      <c r="L49" s="23"/>
      <c r="M49" s="8"/>
      <c r="N49" s="164"/>
    </row>
    <row r="50" spans="1:14" s="3" customFormat="1" ht="12.2" customHeight="1" thickBot="1" x14ac:dyDescent="0.2">
      <c r="A50" s="28" t="s">
        <v>836</v>
      </c>
      <c r="B50" s="2" t="s">
        <v>289</v>
      </c>
      <c r="C50" s="56">
        <v>35</v>
      </c>
      <c r="D50" s="2" t="s">
        <v>653</v>
      </c>
      <c r="E50" s="6">
        <v>770</v>
      </c>
      <c r="F50" s="18">
        <v>5428577.0700000003</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8032263.8399999999</v>
      </c>
      <c r="G51" s="38">
        <f>SUM(G35:G50)</f>
        <v>474540.45</v>
      </c>
      <c r="H51" s="38">
        <f>SUM(H35:H50)</f>
        <v>-16614.95000000007</v>
      </c>
      <c r="I51" s="38">
        <f>SUM(I35:I50)</f>
        <v>0</v>
      </c>
      <c r="J51" s="38">
        <f>SUM(J35:J50)</f>
        <v>1675108.25</v>
      </c>
      <c r="K51" s="42" t="s">
        <v>288</v>
      </c>
      <c r="L51" s="42" t="s">
        <v>288</v>
      </c>
      <c r="N51" s="130"/>
    </row>
    <row r="52" spans="1:14" s="3" customFormat="1" ht="12.2" customHeight="1" thickTop="1" x14ac:dyDescent="0.15">
      <c r="A52" s="35" t="s">
        <v>455</v>
      </c>
      <c r="B52" s="36" t="s">
        <v>289</v>
      </c>
      <c r="C52" s="6">
        <v>37</v>
      </c>
      <c r="D52" s="36" t="s">
        <v>653</v>
      </c>
      <c r="E52" s="36"/>
      <c r="F52" s="38">
        <f>F51+F32</f>
        <v>10956996.189999999</v>
      </c>
      <c r="G52" s="38">
        <f>G51+G32</f>
        <v>512111.06</v>
      </c>
      <c r="H52" s="38">
        <f>H51+H32</f>
        <v>1465219.4699999997</v>
      </c>
      <c r="I52" s="38">
        <f>I51+I32</f>
        <v>0</v>
      </c>
      <c r="J52" s="38">
        <f>J51+J32</f>
        <v>1675108.25</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32824979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v>0</v>
      </c>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32824979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70448</v>
      </c>
      <c r="G63" s="23" t="s">
        <v>288</v>
      </c>
      <c r="H63" s="18">
        <v>74737.87000000001</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2585</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167579.13</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9533440.6099999994</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3588407.79</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86241.97</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13278538.369999999</v>
      </c>
      <c r="G79" s="42" t="s">
        <v>288</v>
      </c>
      <c r="H79" s="38">
        <f>SUM(H63:H78)</f>
        <v>244902</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644414.35</v>
      </c>
      <c r="G96" s="18">
        <v>0</v>
      </c>
      <c r="H96" s="18">
        <v>0</v>
      </c>
      <c r="I96" s="18">
        <v>0</v>
      </c>
      <c r="J96" s="18">
        <f>20837.78+66923.84</f>
        <v>87761.62</v>
      </c>
      <c r="K96" s="23" t="s">
        <v>288</v>
      </c>
      <c r="L96" s="23" t="s">
        <v>288</v>
      </c>
      <c r="M96" s="8"/>
      <c r="N96" s="164"/>
    </row>
    <row r="97" spans="1:14" s="3" customFormat="1" ht="12.2" customHeight="1" x14ac:dyDescent="0.15">
      <c r="A97" s="1" t="s">
        <v>503</v>
      </c>
      <c r="B97" s="2" t="s">
        <v>315</v>
      </c>
      <c r="C97" s="6">
        <v>12</v>
      </c>
      <c r="D97" s="2" t="s">
        <v>430</v>
      </c>
      <c r="E97" s="6">
        <v>1600</v>
      </c>
      <c r="F97" s="23" t="s">
        <v>288</v>
      </c>
      <c r="G97" s="18">
        <v>968967.03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10765</v>
      </c>
      <c r="G98" s="23" t="s">
        <v>288</v>
      </c>
      <c r="H98" s="18">
        <v>31112.97</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87297</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c r="H102" s="18">
        <v>104941.01</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88047.679999999993</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29121.11</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158480.83000000002</v>
      </c>
      <c r="G110" s="18">
        <v>23325</v>
      </c>
      <c r="H110" s="18">
        <v>458.5</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1018125.97</v>
      </c>
      <c r="G111" s="38">
        <f>SUM(G96:G110)</f>
        <v>992292.03</v>
      </c>
      <c r="H111" s="38">
        <f>SUM(H96:H110)</f>
        <v>136512.47999999998</v>
      </c>
      <c r="I111" s="38">
        <f>SUM(I96:I110)</f>
        <v>0</v>
      </c>
      <c r="J111" s="38">
        <f>SUM(J96:J110)</f>
        <v>87761.62</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47121643.339999996</v>
      </c>
      <c r="G112" s="38">
        <f>G60+G111</f>
        <v>992292.03</v>
      </c>
      <c r="H112" s="38">
        <f>H60+H79+H94+H111</f>
        <v>381414.48</v>
      </c>
      <c r="I112" s="38">
        <f>I60+I111</f>
        <v>0</v>
      </c>
      <c r="J112" s="38">
        <f>J60+J111</f>
        <v>87761.62</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14510681.439999999</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3330484</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157533.32-2953.01</f>
        <v>154580.31</v>
      </c>
      <c r="G120" s="18">
        <v>0</v>
      </c>
      <c r="H120" s="18">
        <v>1500</v>
      </c>
      <c r="I120" s="18">
        <v>0</v>
      </c>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17995745.749999996</v>
      </c>
      <c r="G121" s="38">
        <f>SUM(G117:G120)</f>
        <v>0</v>
      </c>
      <c r="H121" s="38">
        <f>SUM(H117:H120)</f>
        <v>1500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679187.54</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f>578434.63+2953.01</f>
        <v>581387.64</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264605.38</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6033.6</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14405.89</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1531214.1600000001</v>
      </c>
      <c r="G136" s="38">
        <f>SUM(G123:G135)</f>
        <v>14405.89</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19526959.909999996</v>
      </c>
      <c r="G140" s="38">
        <f>G121+SUM(G136:G137)</f>
        <v>14405.89</v>
      </c>
      <c r="H140" s="38">
        <f>H121+SUM(H136:H139)</f>
        <v>1500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680740.33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264298.64999999997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204760.63</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217545.33999999997</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865067.05</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697801.82</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54389.03</v>
      </c>
      <c r="G161" s="18"/>
      <c r="H161" s="18">
        <v>0</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3000288.3099999996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54389.03</v>
      </c>
      <c r="G163" s="38">
        <f>SUM(G150:G162)</f>
        <v>865067.05</v>
      </c>
      <c r="H163" s="38">
        <f>SUM(H150:H162)</f>
        <v>5065435.0799999991</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54389.03</v>
      </c>
      <c r="G170" s="38">
        <f>G147+G163+SUM(G164:G169)</f>
        <v>865067.05</v>
      </c>
      <c r="H170" s="38">
        <f>H147+H163+SUM(H164:H169)</f>
        <v>5065435.0799999991</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10000</v>
      </c>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10000</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66712992.279999994</v>
      </c>
      <c r="G194" s="38">
        <f>G112+G140+G170+G193</f>
        <v>1871764.9700000002</v>
      </c>
      <c r="H194" s="38">
        <f>H112+H140+H170+H193</f>
        <v>5448349.5599999987</v>
      </c>
      <c r="I194" s="38">
        <f>I112+I140+I170+I193</f>
        <v>0</v>
      </c>
      <c r="J194" s="38">
        <f>J112+J140+J193</f>
        <v>87761.62</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5636603.8100000005</v>
      </c>
      <c r="G198" s="18">
        <v>3014573.2299999995</v>
      </c>
      <c r="H198" s="18">
        <v>14515.41</v>
      </c>
      <c r="I198" s="18">
        <v>211031.56999999998</v>
      </c>
      <c r="J198" s="18">
        <v>36322.19</v>
      </c>
      <c r="K198" s="18">
        <v>17956.12</v>
      </c>
      <c r="L198" s="13">
        <f>SUM(F198:K198)</f>
        <v>8931002.3299999982</v>
      </c>
      <c r="M198" s="8"/>
      <c r="N198" s="164"/>
    </row>
    <row r="199" spans="1:14" s="3" customFormat="1" ht="12.2" customHeight="1" x14ac:dyDescent="0.15">
      <c r="A199" s="1" t="s">
        <v>439</v>
      </c>
      <c r="B199" s="2" t="s">
        <v>341</v>
      </c>
      <c r="C199" s="2" t="s">
        <v>291</v>
      </c>
      <c r="D199" s="2" t="s">
        <v>431</v>
      </c>
      <c r="E199" s="6">
        <v>1200</v>
      </c>
      <c r="F199" s="18">
        <v>2751574.52</v>
      </c>
      <c r="G199" s="18">
        <v>1300842.0300000005</v>
      </c>
      <c r="H199" s="18">
        <v>786070.03</v>
      </c>
      <c r="I199" s="18">
        <v>23106.13</v>
      </c>
      <c r="J199" s="18">
        <v>539.26</v>
      </c>
      <c r="K199" s="18">
        <v>0</v>
      </c>
      <c r="L199" s="13">
        <f>SUM(F199:K199)</f>
        <v>4862131.9700000007</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23426.67</v>
      </c>
      <c r="G201" s="18">
        <v>6255.4599999999991</v>
      </c>
      <c r="H201" s="18">
        <v>17432.080000000002</v>
      </c>
      <c r="I201" s="18">
        <v>1105.98</v>
      </c>
      <c r="J201" s="18">
        <v>0</v>
      </c>
      <c r="K201" s="18">
        <v>1845.22</v>
      </c>
      <c r="L201" s="13">
        <f>SUM(F201:K201)</f>
        <v>50065.41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1720714.1800000002</v>
      </c>
      <c r="G203" s="18">
        <v>929230.95999999961</v>
      </c>
      <c r="H203" s="18">
        <v>122266.77999999998</v>
      </c>
      <c r="I203" s="18">
        <v>6147.44</v>
      </c>
      <c r="J203" s="18">
        <v>0</v>
      </c>
      <c r="K203" s="18">
        <v>199.8</v>
      </c>
      <c r="L203" s="13">
        <f t="shared" ref="L203:L209" si="0">SUM(F203:K203)</f>
        <v>2778559.1599999992</v>
      </c>
      <c r="M203" s="8"/>
      <c r="N203" s="164"/>
    </row>
    <row r="204" spans="1:14" s="3" customFormat="1" ht="12.2" customHeight="1" x14ac:dyDescent="0.15">
      <c r="A204" s="1" t="s">
        <v>443</v>
      </c>
      <c r="B204" s="2" t="s">
        <v>341</v>
      </c>
      <c r="C204" s="2" t="s">
        <v>295</v>
      </c>
      <c r="D204" s="2" t="s">
        <v>431</v>
      </c>
      <c r="E204" s="6">
        <v>2200</v>
      </c>
      <c r="F204" s="18">
        <v>325791.69</v>
      </c>
      <c r="G204" s="18">
        <v>180822.63</v>
      </c>
      <c r="H204" s="18">
        <v>66665.350000000006</v>
      </c>
      <c r="I204" s="18">
        <v>26634.41</v>
      </c>
      <c r="J204" s="18">
        <v>836.23</v>
      </c>
      <c r="K204" s="18">
        <v>0</v>
      </c>
      <c r="L204" s="13">
        <f t="shared" si="0"/>
        <v>600750.31000000006</v>
      </c>
      <c r="M204" s="8"/>
      <c r="N204" s="164"/>
    </row>
    <row r="205" spans="1:14" s="3" customFormat="1" ht="12.2" customHeight="1" x14ac:dyDescent="0.15">
      <c r="A205" s="1" t="s">
        <v>444</v>
      </c>
      <c r="B205" s="2" t="s">
        <v>341</v>
      </c>
      <c r="C205" s="2" t="s">
        <v>296</v>
      </c>
      <c r="D205" s="2" t="s">
        <v>431</v>
      </c>
      <c r="E205" s="6">
        <v>2300</v>
      </c>
      <c r="F205" s="18">
        <v>254682.80000000002</v>
      </c>
      <c r="G205" s="18">
        <v>155637.07999999999</v>
      </c>
      <c r="H205" s="18">
        <v>866446.59</v>
      </c>
      <c r="I205" s="18">
        <v>5758.46</v>
      </c>
      <c r="J205" s="18">
        <v>0</v>
      </c>
      <c r="K205" s="18">
        <v>17106.59</v>
      </c>
      <c r="L205" s="13">
        <f t="shared" si="0"/>
        <v>1299631.52</v>
      </c>
      <c r="M205" s="8"/>
      <c r="N205" s="164"/>
    </row>
    <row r="206" spans="1:14" s="3" customFormat="1" ht="12.2" customHeight="1" x14ac:dyDescent="0.15">
      <c r="A206" s="1" t="s">
        <v>445</v>
      </c>
      <c r="B206" s="2" t="s">
        <v>341</v>
      </c>
      <c r="C206" s="2" t="s">
        <v>297</v>
      </c>
      <c r="D206" s="2" t="s">
        <v>431</v>
      </c>
      <c r="E206" s="6">
        <v>2400</v>
      </c>
      <c r="F206" s="18">
        <v>693811.63000000012</v>
      </c>
      <c r="G206" s="18">
        <v>325463.99000000005</v>
      </c>
      <c r="H206" s="18">
        <v>35741.44000000001</v>
      </c>
      <c r="I206" s="18">
        <v>2273.66</v>
      </c>
      <c r="J206" s="18">
        <v>0</v>
      </c>
      <c r="K206" s="18">
        <v>2268.5</v>
      </c>
      <c r="L206" s="13">
        <f t="shared" si="0"/>
        <v>1059559.22</v>
      </c>
      <c r="M206" s="8"/>
      <c r="N206" s="164"/>
    </row>
    <row r="207" spans="1:14" s="3" customFormat="1" ht="12.2" customHeight="1" x14ac:dyDescent="0.15">
      <c r="A207" s="1" t="s">
        <v>446</v>
      </c>
      <c r="B207" s="2" t="s">
        <v>341</v>
      </c>
      <c r="C207" s="2" t="s">
        <v>298</v>
      </c>
      <c r="D207" s="2" t="s">
        <v>431</v>
      </c>
      <c r="E207" s="6">
        <v>2500</v>
      </c>
      <c r="F207" s="18">
        <v>0</v>
      </c>
      <c r="G207" s="18">
        <v>0</v>
      </c>
      <c r="H207" s="18">
        <v>2880</v>
      </c>
      <c r="I207" s="18">
        <v>0</v>
      </c>
      <c r="J207" s="18">
        <v>0</v>
      </c>
      <c r="K207" s="18">
        <v>677.24</v>
      </c>
      <c r="L207" s="13">
        <f t="shared" si="0"/>
        <v>3557.24</v>
      </c>
      <c r="M207" s="8"/>
      <c r="N207" s="164"/>
    </row>
    <row r="208" spans="1:14" s="3" customFormat="1" ht="12.2" customHeight="1" x14ac:dyDescent="0.15">
      <c r="A208" s="1" t="s">
        <v>447</v>
      </c>
      <c r="B208" s="2" t="s">
        <v>341</v>
      </c>
      <c r="C208" s="2" t="s">
        <v>299</v>
      </c>
      <c r="D208" s="2" t="s">
        <v>431</v>
      </c>
      <c r="E208" s="6">
        <v>2600</v>
      </c>
      <c r="F208" s="18">
        <v>570405.61999999988</v>
      </c>
      <c r="G208" s="18">
        <v>245623.9</v>
      </c>
      <c r="H208" s="18">
        <v>394685.19</v>
      </c>
      <c r="I208" s="18">
        <v>408823.75</v>
      </c>
      <c r="J208" s="18">
        <v>87805.239999999991</v>
      </c>
      <c r="K208" s="18">
        <v>7455.3799999999992</v>
      </c>
      <c r="L208" s="13">
        <f t="shared" si="0"/>
        <v>1714799.0799999998</v>
      </c>
      <c r="M208" s="8"/>
      <c r="N208" s="164"/>
    </row>
    <row r="209" spans="1:14" s="3" customFormat="1" ht="12.2" customHeight="1" x14ac:dyDescent="0.15">
      <c r="A209" s="1" t="s">
        <v>448</v>
      </c>
      <c r="B209" s="2" t="s">
        <v>341</v>
      </c>
      <c r="C209" s="2" t="s">
        <v>300</v>
      </c>
      <c r="D209" s="2" t="s">
        <v>431</v>
      </c>
      <c r="E209" s="6">
        <v>2700</v>
      </c>
      <c r="F209" s="18">
        <v>0</v>
      </c>
      <c r="G209" s="18">
        <v>0</v>
      </c>
      <c r="H209" s="18">
        <v>634128.11</v>
      </c>
      <c r="I209" s="18">
        <v>0</v>
      </c>
      <c r="J209" s="18">
        <v>0</v>
      </c>
      <c r="K209" s="18">
        <v>0</v>
      </c>
      <c r="L209" s="13">
        <f t="shared" si="0"/>
        <v>634128.11</v>
      </c>
      <c r="M209" s="8"/>
      <c r="N209" s="164"/>
    </row>
    <row r="210" spans="1:14" s="3" customFormat="1" ht="12.2" customHeight="1" x14ac:dyDescent="0.15">
      <c r="A210" s="1" t="s">
        <v>449</v>
      </c>
      <c r="B210" s="2" t="s">
        <v>341</v>
      </c>
      <c r="C210" s="2" t="s">
        <v>343</v>
      </c>
      <c r="D210" s="2" t="s">
        <v>431</v>
      </c>
      <c r="E210" s="6">
        <v>2800</v>
      </c>
      <c r="F210" s="18">
        <v>8125</v>
      </c>
      <c r="G210" s="18">
        <v>2251.5899999999997</v>
      </c>
      <c r="H210" s="18">
        <v>15788.81</v>
      </c>
      <c r="I210" s="18">
        <v>158027.09</v>
      </c>
      <c r="J210" s="18">
        <v>158177.03</v>
      </c>
      <c r="K210" s="18">
        <v>0</v>
      </c>
      <c r="L210" s="13">
        <f>SUM(F210:K210)</f>
        <v>342369.52</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11985135.92</v>
      </c>
      <c r="G212" s="38">
        <f t="shared" si="1"/>
        <v>6160700.8700000001</v>
      </c>
      <c r="H212" s="38">
        <f t="shared" si="1"/>
        <v>2956619.79</v>
      </c>
      <c r="I212" s="38">
        <f t="shared" si="1"/>
        <v>842908.48999999987</v>
      </c>
      <c r="J212" s="38">
        <f t="shared" si="1"/>
        <v>283679.95</v>
      </c>
      <c r="K212" s="38">
        <f t="shared" si="1"/>
        <v>47508.849999999991</v>
      </c>
      <c r="L212" s="38">
        <f t="shared" si="1"/>
        <v>22276553.86999999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3056046.14</v>
      </c>
      <c r="G216" s="18">
        <v>1543180.5100000002</v>
      </c>
      <c r="H216" s="18">
        <v>4079.16</v>
      </c>
      <c r="I216" s="18">
        <v>72760.14</v>
      </c>
      <c r="J216" s="18">
        <v>13310.23</v>
      </c>
      <c r="K216" s="18">
        <v>0</v>
      </c>
      <c r="L216" s="13">
        <f>SUM(F216:K216)</f>
        <v>4689376.1800000006</v>
      </c>
      <c r="M216" s="8"/>
      <c r="N216" s="164"/>
    </row>
    <row r="217" spans="1:14" s="3" customFormat="1" ht="12.2" customHeight="1" x14ac:dyDescent="0.15">
      <c r="A217" s="1" t="s">
        <v>439</v>
      </c>
      <c r="B217" s="2" t="s">
        <v>346</v>
      </c>
      <c r="C217" s="2" t="s">
        <v>291</v>
      </c>
      <c r="D217" s="2" t="s">
        <v>431</v>
      </c>
      <c r="E217" s="6">
        <v>1200</v>
      </c>
      <c r="F217" s="18">
        <v>1191322.26</v>
      </c>
      <c r="G217" s="18">
        <v>632245.52000000014</v>
      </c>
      <c r="H217" s="18">
        <v>1702204.08</v>
      </c>
      <c r="I217" s="18">
        <v>10868.85</v>
      </c>
      <c r="J217" s="18">
        <v>839.26</v>
      </c>
      <c r="K217" s="18">
        <v>2016</v>
      </c>
      <c r="L217" s="13">
        <f>SUM(F217:K217)</f>
        <v>3539495.97</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90550.82</v>
      </c>
      <c r="G219" s="18">
        <v>20782.909999999996</v>
      </c>
      <c r="H219" s="18">
        <v>15624.5</v>
      </c>
      <c r="I219" s="18">
        <v>12575.760000000002</v>
      </c>
      <c r="J219" s="18">
        <v>7999.2</v>
      </c>
      <c r="K219" s="18">
        <v>6008</v>
      </c>
      <c r="L219" s="13">
        <f>SUM(F219:K219)</f>
        <v>153541.19000000003</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689588.75</v>
      </c>
      <c r="G221" s="18">
        <v>372531.2900000001</v>
      </c>
      <c r="H221" s="18">
        <v>332954.65999999997</v>
      </c>
      <c r="I221" s="18">
        <v>5302.99</v>
      </c>
      <c r="J221" s="18">
        <v>97.97</v>
      </c>
      <c r="K221" s="18">
        <v>261</v>
      </c>
      <c r="L221" s="13">
        <f t="shared" ref="L221:L227" si="2">SUM(F221:K221)</f>
        <v>1400736.66</v>
      </c>
      <c r="M221" s="8"/>
      <c r="N221" s="164"/>
    </row>
    <row r="222" spans="1:14" s="3" customFormat="1" ht="12.2" customHeight="1" x14ac:dyDescent="0.15">
      <c r="A222" s="1" t="s">
        <v>443</v>
      </c>
      <c r="B222" s="2" t="s">
        <v>346</v>
      </c>
      <c r="C222" s="2" t="s">
        <v>295</v>
      </c>
      <c r="D222" s="2" t="s">
        <v>431</v>
      </c>
      <c r="E222" s="6">
        <v>2200</v>
      </c>
      <c r="F222" s="18">
        <v>165340.51</v>
      </c>
      <c r="G222" s="18">
        <v>71420.72</v>
      </c>
      <c r="H222" s="18">
        <v>35974.870000000003</v>
      </c>
      <c r="I222" s="18">
        <v>33040.17</v>
      </c>
      <c r="J222" s="18">
        <v>5289</v>
      </c>
      <c r="K222" s="18">
        <v>2355.5</v>
      </c>
      <c r="L222" s="13">
        <f t="shared" si="2"/>
        <v>313420.77</v>
      </c>
      <c r="M222" s="8"/>
      <c r="N222" s="164"/>
    </row>
    <row r="223" spans="1:14" s="3" customFormat="1" ht="12.2" customHeight="1" x14ac:dyDescent="0.15">
      <c r="A223" s="1" t="s">
        <v>444</v>
      </c>
      <c r="B223" s="2" t="s">
        <v>346</v>
      </c>
      <c r="C223" s="2" t="s">
        <v>296</v>
      </c>
      <c r="D223" s="2" t="s">
        <v>431</v>
      </c>
      <c r="E223" s="6">
        <v>2300</v>
      </c>
      <c r="F223" s="18">
        <v>122882.17</v>
      </c>
      <c r="G223" s="18">
        <v>82027.510000000009</v>
      </c>
      <c r="H223" s="18">
        <v>468340.11</v>
      </c>
      <c r="I223" s="18">
        <v>3143.38</v>
      </c>
      <c r="J223" s="18">
        <v>0</v>
      </c>
      <c r="K223" s="18">
        <v>10986.32</v>
      </c>
      <c r="L223" s="13">
        <f t="shared" si="2"/>
        <v>687379.49</v>
      </c>
      <c r="M223" s="8"/>
      <c r="N223" s="164"/>
    </row>
    <row r="224" spans="1:14" s="3" customFormat="1" ht="12.2" customHeight="1" x14ac:dyDescent="0.15">
      <c r="A224" s="1" t="s">
        <v>445</v>
      </c>
      <c r="B224" s="2" t="s">
        <v>346</v>
      </c>
      <c r="C224" s="2" t="s">
        <v>297</v>
      </c>
      <c r="D224" s="2" t="s">
        <v>431</v>
      </c>
      <c r="E224" s="6">
        <v>2400</v>
      </c>
      <c r="F224" s="18">
        <v>354197.88</v>
      </c>
      <c r="G224" s="18">
        <v>174542.63</v>
      </c>
      <c r="H224" s="18">
        <v>24154.720000000001</v>
      </c>
      <c r="I224" s="18">
        <v>0</v>
      </c>
      <c r="J224" s="18">
        <v>0</v>
      </c>
      <c r="K224" s="18">
        <v>2998.48</v>
      </c>
      <c r="L224" s="13">
        <f t="shared" si="2"/>
        <v>555893.71</v>
      </c>
      <c r="M224" s="8"/>
      <c r="N224" s="164"/>
    </row>
    <row r="225" spans="1:14" s="3" customFormat="1" ht="12.2" customHeight="1" x14ac:dyDescent="0.15">
      <c r="A225" s="1" t="s">
        <v>446</v>
      </c>
      <c r="B225" s="2" t="s">
        <v>346</v>
      </c>
      <c r="C225" s="2" t="s">
        <v>298</v>
      </c>
      <c r="D225" s="2" t="s">
        <v>431</v>
      </c>
      <c r="E225" s="6">
        <v>2500</v>
      </c>
      <c r="F225" s="18">
        <v>0</v>
      </c>
      <c r="G225" s="18">
        <v>0</v>
      </c>
      <c r="H225" s="18">
        <v>1980</v>
      </c>
      <c r="I225" s="18">
        <v>0</v>
      </c>
      <c r="J225" s="18">
        <v>0</v>
      </c>
      <c r="K225" s="18">
        <v>0</v>
      </c>
      <c r="L225" s="13">
        <f t="shared" si="2"/>
        <v>1980</v>
      </c>
      <c r="M225" s="8"/>
      <c r="N225" s="164"/>
    </row>
    <row r="226" spans="1:14" s="3" customFormat="1" ht="12.2" customHeight="1" x14ac:dyDescent="0.15">
      <c r="A226" s="1" t="s">
        <v>447</v>
      </c>
      <c r="B226" s="2" t="s">
        <v>346</v>
      </c>
      <c r="C226" s="2" t="s">
        <v>299</v>
      </c>
      <c r="D226" s="2" t="s">
        <v>431</v>
      </c>
      <c r="E226" s="6">
        <v>2600</v>
      </c>
      <c r="F226" s="18">
        <v>344087.17000000004</v>
      </c>
      <c r="G226" s="18">
        <v>174062.76</v>
      </c>
      <c r="H226" s="18">
        <v>222050.25</v>
      </c>
      <c r="I226" s="18">
        <v>202306.56000000003</v>
      </c>
      <c r="J226" s="18">
        <v>41490.310000000005</v>
      </c>
      <c r="K226" s="18">
        <v>4451.8500000000004</v>
      </c>
      <c r="L226" s="13">
        <f t="shared" si="2"/>
        <v>988448.90000000014</v>
      </c>
      <c r="M226" s="8"/>
      <c r="N226" s="164"/>
    </row>
    <row r="227" spans="1:14" s="3" customFormat="1" ht="12.2" customHeight="1" x14ac:dyDescent="0.15">
      <c r="A227" s="1" t="s">
        <v>448</v>
      </c>
      <c r="B227" s="2" t="s">
        <v>346</v>
      </c>
      <c r="C227" s="2" t="s">
        <v>300</v>
      </c>
      <c r="D227" s="2" t="s">
        <v>431</v>
      </c>
      <c r="E227" s="6">
        <v>2700</v>
      </c>
      <c r="F227" s="18">
        <v>1470.39</v>
      </c>
      <c r="G227" s="18">
        <v>317.71000000000004</v>
      </c>
      <c r="H227" s="18">
        <v>612447.13</v>
      </c>
      <c r="I227" s="18">
        <v>0</v>
      </c>
      <c r="J227" s="18">
        <v>0</v>
      </c>
      <c r="K227" s="18">
        <v>0</v>
      </c>
      <c r="L227" s="13">
        <f t="shared" si="2"/>
        <v>614235.23</v>
      </c>
      <c r="M227" s="8"/>
      <c r="N227" s="164"/>
    </row>
    <row r="228" spans="1:14" s="3" customFormat="1" ht="12.2" customHeight="1" x14ac:dyDescent="0.15">
      <c r="A228" s="1" t="s">
        <v>449</v>
      </c>
      <c r="B228" s="2" t="s">
        <v>346</v>
      </c>
      <c r="C228" s="2" t="s">
        <v>343</v>
      </c>
      <c r="D228" s="2" t="s">
        <v>431</v>
      </c>
      <c r="E228" s="6">
        <v>2800</v>
      </c>
      <c r="F228" s="18">
        <v>3750</v>
      </c>
      <c r="G228" s="18">
        <v>1039.48</v>
      </c>
      <c r="H228" s="18">
        <v>10396.769999999999</v>
      </c>
      <c r="I228" s="18">
        <v>63473.64</v>
      </c>
      <c r="J228" s="18">
        <v>153656.03</v>
      </c>
      <c r="K228" s="18">
        <v>0</v>
      </c>
      <c r="L228" s="13">
        <f>SUM(F228:K228)</f>
        <v>232315.91999999998</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6019236.0899999999</v>
      </c>
      <c r="G230" s="38">
        <f>SUM(G216:G229)</f>
        <v>3072151.0400000005</v>
      </c>
      <c r="H230" s="38">
        <f>SUM(H216:H229)</f>
        <v>3430206.25</v>
      </c>
      <c r="I230" s="38">
        <f>SUM(I216:I229)</f>
        <v>403471.49000000005</v>
      </c>
      <c r="J230" s="38">
        <f>SUM(J216:J229)</f>
        <v>222682</v>
      </c>
      <c r="K230" s="38">
        <f t="shared" si="3"/>
        <v>29077.15</v>
      </c>
      <c r="L230" s="38">
        <f t="shared" si="3"/>
        <v>13176824.02</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5344063.09</v>
      </c>
      <c r="G234" s="18">
        <v>2774860.64</v>
      </c>
      <c r="H234" s="18">
        <v>48288.68</v>
      </c>
      <c r="I234" s="18">
        <v>163774.47000000003</v>
      </c>
      <c r="J234" s="18">
        <v>39034.640000000007</v>
      </c>
      <c r="K234" s="18">
        <v>3088.89</v>
      </c>
      <c r="L234" s="13">
        <f>SUM(F234:K234)</f>
        <v>8373110.4099999992</v>
      </c>
      <c r="M234" s="8"/>
      <c r="N234" s="164"/>
    </row>
    <row r="235" spans="1:14" s="3" customFormat="1" ht="12.2" customHeight="1" x14ac:dyDescent="0.15">
      <c r="A235" s="1" t="s">
        <v>439</v>
      </c>
      <c r="B235" s="2" t="s">
        <v>350</v>
      </c>
      <c r="C235" s="2" t="s">
        <v>291</v>
      </c>
      <c r="D235" s="2" t="s">
        <v>431</v>
      </c>
      <c r="E235" s="6">
        <v>1200</v>
      </c>
      <c r="F235" s="18">
        <v>1408027.1700000002</v>
      </c>
      <c r="G235" s="18">
        <v>667564.54999999993</v>
      </c>
      <c r="H235" s="18">
        <v>1816777.93</v>
      </c>
      <c r="I235" s="18">
        <v>10039.25</v>
      </c>
      <c r="J235" s="18">
        <v>1595.71</v>
      </c>
      <c r="K235" s="18">
        <v>0</v>
      </c>
      <c r="L235" s="13">
        <f>SUM(F235:K235)</f>
        <v>3904004.6100000003</v>
      </c>
      <c r="M235" s="8"/>
      <c r="N235" s="164"/>
    </row>
    <row r="236" spans="1:14" s="3" customFormat="1" ht="12.2" customHeight="1" x14ac:dyDescent="0.15">
      <c r="A236" s="1" t="s">
        <v>440</v>
      </c>
      <c r="B236" s="2" t="s">
        <v>350</v>
      </c>
      <c r="C236" s="2" t="s">
        <v>292</v>
      </c>
      <c r="D236" s="2" t="s">
        <v>431</v>
      </c>
      <c r="E236" s="6">
        <v>1300</v>
      </c>
      <c r="F236" s="18">
        <v>837451.83000000007</v>
      </c>
      <c r="G236" s="18">
        <v>406625.05</v>
      </c>
      <c r="H236" s="18">
        <v>24016.11</v>
      </c>
      <c r="I236" s="18">
        <v>56346.48</v>
      </c>
      <c r="J236" s="18">
        <v>17692.11</v>
      </c>
      <c r="K236" s="18">
        <v>2443.7199999999998</v>
      </c>
      <c r="L236" s="13">
        <f>SUM(F236:K236)</f>
        <v>1344575.3000000003</v>
      </c>
      <c r="M236" s="8"/>
      <c r="N236" s="164"/>
    </row>
    <row r="237" spans="1:14" s="3" customFormat="1" ht="12.2" customHeight="1" x14ac:dyDescent="0.15">
      <c r="A237" s="1" t="s">
        <v>441</v>
      </c>
      <c r="B237" s="2" t="s">
        <v>350</v>
      </c>
      <c r="C237" s="2" t="s">
        <v>293</v>
      </c>
      <c r="D237" s="2" t="s">
        <v>431</v>
      </c>
      <c r="E237" s="6">
        <v>1400</v>
      </c>
      <c r="F237" s="18">
        <v>393629.61</v>
      </c>
      <c r="G237" s="18">
        <v>87993.29</v>
      </c>
      <c r="H237" s="18">
        <v>142501.63999999998</v>
      </c>
      <c r="I237" s="18">
        <v>30071.030000000002</v>
      </c>
      <c r="J237" s="18">
        <v>31071.13</v>
      </c>
      <c r="K237" s="18">
        <v>29379.25</v>
      </c>
      <c r="L237" s="13">
        <f>SUM(F237:K237)</f>
        <v>714645.95</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1098606.1399999999</v>
      </c>
      <c r="G239" s="18">
        <v>528503.23999999987</v>
      </c>
      <c r="H239" s="18">
        <v>181566.69</v>
      </c>
      <c r="I239" s="18">
        <v>3456.26</v>
      </c>
      <c r="J239" s="18">
        <v>1924.26</v>
      </c>
      <c r="K239" s="18">
        <v>1389</v>
      </c>
      <c r="L239" s="13">
        <f t="shared" ref="L239:L245" si="4">SUM(F239:K239)</f>
        <v>1815445.5899999999</v>
      </c>
      <c r="M239" s="8"/>
      <c r="N239" s="164"/>
    </row>
    <row r="240" spans="1:14" s="3" customFormat="1" ht="12.2" customHeight="1" x14ac:dyDescent="0.15">
      <c r="A240" s="1" t="s">
        <v>443</v>
      </c>
      <c r="B240" s="2" t="s">
        <v>350</v>
      </c>
      <c r="C240" s="2" t="s">
        <v>295</v>
      </c>
      <c r="D240" s="2" t="s">
        <v>431</v>
      </c>
      <c r="E240" s="6">
        <v>2200</v>
      </c>
      <c r="F240" s="18">
        <v>183050.88</v>
      </c>
      <c r="G240" s="18">
        <v>112837.53000000001</v>
      </c>
      <c r="H240" s="18">
        <v>43039.24</v>
      </c>
      <c r="I240" s="18">
        <v>62703.22</v>
      </c>
      <c r="J240" s="18">
        <v>313.44</v>
      </c>
      <c r="K240" s="18">
        <v>2813.5</v>
      </c>
      <c r="L240" s="13">
        <f t="shared" si="4"/>
        <v>404757.81</v>
      </c>
      <c r="M240" s="8"/>
      <c r="N240" s="164"/>
    </row>
    <row r="241" spans="1:14" s="3" customFormat="1" ht="12.2" customHeight="1" x14ac:dyDescent="0.15">
      <c r="A241" s="1" t="s">
        <v>444</v>
      </c>
      <c r="B241" s="2" t="s">
        <v>350</v>
      </c>
      <c r="C241" s="2" t="s">
        <v>296</v>
      </c>
      <c r="D241" s="2" t="s">
        <v>431</v>
      </c>
      <c r="E241" s="6">
        <v>2300</v>
      </c>
      <c r="F241" s="18">
        <v>206604.08000000002</v>
      </c>
      <c r="G241" s="18">
        <v>132328.45999999996</v>
      </c>
      <c r="H241" s="18">
        <v>1078525.04</v>
      </c>
      <c r="I241" s="18">
        <v>6906.07</v>
      </c>
      <c r="J241" s="18">
        <v>0</v>
      </c>
      <c r="K241" s="18">
        <v>11315.060000000001</v>
      </c>
      <c r="L241" s="13">
        <f t="shared" si="4"/>
        <v>1435678.7100000002</v>
      </c>
      <c r="M241" s="8"/>
      <c r="N241" s="164"/>
    </row>
    <row r="242" spans="1:14" s="3" customFormat="1" ht="12.2" customHeight="1" x14ac:dyDescent="0.15">
      <c r="A242" s="1" t="s">
        <v>445</v>
      </c>
      <c r="B242" s="2" t="s">
        <v>350</v>
      </c>
      <c r="C242" s="2" t="s">
        <v>297</v>
      </c>
      <c r="D242" s="2" t="s">
        <v>431</v>
      </c>
      <c r="E242" s="6">
        <v>2400</v>
      </c>
      <c r="F242" s="18">
        <v>942794.08000000007</v>
      </c>
      <c r="G242" s="18">
        <v>459889.2900000001</v>
      </c>
      <c r="H242" s="18">
        <v>64052.560000000012</v>
      </c>
      <c r="I242" s="18">
        <v>36139.49</v>
      </c>
      <c r="J242" s="18">
        <v>7049.25</v>
      </c>
      <c r="K242" s="18">
        <v>16149.51</v>
      </c>
      <c r="L242" s="13">
        <f t="shared" si="4"/>
        <v>1526074.1800000002</v>
      </c>
      <c r="M242" s="8"/>
      <c r="N242" s="164"/>
    </row>
    <row r="243" spans="1:14" s="3" customFormat="1" ht="12.2" customHeight="1" x14ac:dyDescent="0.15">
      <c r="A243" s="1" t="s">
        <v>446</v>
      </c>
      <c r="B243" s="2" t="s">
        <v>350</v>
      </c>
      <c r="C243" s="2" t="s">
        <v>298</v>
      </c>
      <c r="D243" s="2" t="s">
        <v>431</v>
      </c>
      <c r="E243" s="6">
        <v>2500</v>
      </c>
      <c r="F243" s="18">
        <v>0</v>
      </c>
      <c r="G243" s="18">
        <v>0</v>
      </c>
      <c r="H243" s="18">
        <v>4140</v>
      </c>
      <c r="I243" s="18">
        <v>0</v>
      </c>
      <c r="J243" s="18">
        <v>0</v>
      </c>
      <c r="K243" s="18">
        <v>0</v>
      </c>
      <c r="L243" s="13">
        <f t="shared" si="4"/>
        <v>4140</v>
      </c>
      <c r="M243" s="8"/>
      <c r="N243" s="164"/>
    </row>
    <row r="244" spans="1:14" s="3" customFormat="1" ht="12.2" customHeight="1" x14ac:dyDescent="0.15">
      <c r="A244" s="1" t="s">
        <v>447</v>
      </c>
      <c r="B244" s="2" t="s">
        <v>350</v>
      </c>
      <c r="C244" s="2" t="s">
        <v>299</v>
      </c>
      <c r="D244" s="2" t="s">
        <v>431</v>
      </c>
      <c r="E244" s="6">
        <v>2600</v>
      </c>
      <c r="F244" s="18">
        <v>808088.79000000015</v>
      </c>
      <c r="G244" s="18">
        <v>407021.63000000006</v>
      </c>
      <c r="H244" s="18">
        <v>659004.48</v>
      </c>
      <c r="I244" s="18">
        <v>635868.49999999988</v>
      </c>
      <c r="J244" s="18">
        <v>176643.48</v>
      </c>
      <c r="K244" s="18">
        <v>12005.89</v>
      </c>
      <c r="L244" s="13">
        <f t="shared" si="4"/>
        <v>2698632.77</v>
      </c>
      <c r="M244" s="8"/>
      <c r="N244" s="164"/>
    </row>
    <row r="245" spans="1:14" s="3" customFormat="1" ht="12.2" customHeight="1" x14ac:dyDescent="0.15">
      <c r="A245" s="1" t="s">
        <v>448</v>
      </c>
      <c r="B245" s="2" t="s">
        <v>350</v>
      </c>
      <c r="C245" s="2" t="s">
        <v>300</v>
      </c>
      <c r="D245" s="2" t="s">
        <v>431</v>
      </c>
      <c r="E245" s="6">
        <v>2700</v>
      </c>
      <c r="F245" s="18">
        <v>0</v>
      </c>
      <c r="G245" s="18">
        <v>0</v>
      </c>
      <c r="H245" s="18">
        <v>1119034.7600000002</v>
      </c>
      <c r="I245" s="18">
        <v>0</v>
      </c>
      <c r="J245" s="18">
        <v>0</v>
      </c>
      <c r="K245" s="18">
        <v>43.96</v>
      </c>
      <c r="L245" s="13">
        <f t="shared" si="4"/>
        <v>1119078.7200000002</v>
      </c>
      <c r="M245" s="8"/>
      <c r="N245" s="164"/>
    </row>
    <row r="246" spans="1:14" s="3" customFormat="1" ht="12.2" customHeight="1" x14ac:dyDescent="0.15">
      <c r="A246" s="1" t="s">
        <v>449</v>
      </c>
      <c r="B246" s="2" t="s">
        <v>350</v>
      </c>
      <c r="C246" s="2" t="s">
        <v>343</v>
      </c>
      <c r="D246" s="2" t="s">
        <v>431</v>
      </c>
      <c r="E246" s="6">
        <v>2800</v>
      </c>
      <c r="F246" s="18">
        <v>3750</v>
      </c>
      <c r="G246" s="18">
        <v>1039.47</v>
      </c>
      <c r="H246" s="18">
        <v>38244.5</v>
      </c>
      <c r="I246" s="18">
        <v>208565.4</v>
      </c>
      <c r="J246" s="18">
        <v>323365.42</v>
      </c>
      <c r="K246" s="18">
        <v>0</v>
      </c>
      <c r="L246" s="13">
        <f>SUM(F246:K246)</f>
        <v>574964.79</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11226065.670000002</v>
      </c>
      <c r="G248" s="38">
        <f t="shared" si="5"/>
        <v>5578663.1499999994</v>
      </c>
      <c r="H248" s="38">
        <f t="shared" si="5"/>
        <v>5219191.6300000008</v>
      </c>
      <c r="I248" s="38">
        <f t="shared" si="5"/>
        <v>1213870.17</v>
      </c>
      <c r="J248" s="38">
        <f t="shared" si="5"/>
        <v>598689.43999999994</v>
      </c>
      <c r="K248" s="38">
        <f t="shared" si="5"/>
        <v>78628.78</v>
      </c>
      <c r="L248" s="38">
        <f t="shared" si="5"/>
        <v>23915108.839999996</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4900248.1099999994</v>
      </c>
      <c r="I256" s="18">
        <v>0</v>
      </c>
      <c r="J256" s="18">
        <v>0</v>
      </c>
      <c r="K256" s="18">
        <v>13493.53</v>
      </c>
      <c r="L256" s="13">
        <f t="shared" si="6"/>
        <v>4913741.6399999997</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4900248.1099999994</v>
      </c>
      <c r="I257" s="38">
        <f t="shared" si="7"/>
        <v>0</v>
      </c>
      <c r="J257" s="38">
        <f t="shared" si="7"/>
        <v>0</v>
      </c>
      <c r="K257" s="38">
        <f t="shared" si="7"/>
        <v>13493.53</v>
      </c>
      <c r="L257" s="38">
        <f>SUM(F257:K257)</f>
        <v>4913741.6399999997</v>
      </c>
      <c r="M257" s="8"/>
      <c r="N257" s="164"/>
    </row>
    <row r="258" spans="1:14" s="3" customFormat="1" ht="12.2" customHeight="1" thickTop="1" x14ac:dyDescent="0.15">
      <c r="A258" s="35" t="s">
        <v>462</v>
      </c>
      <c r="B258" s="37">
        <v>10</v>
      </c>
      <c r="C258" s="37">
        <v>8</v>
      </c>
      <c r="D258" s="36" t="s">
        <v>431</v>
      </c>
      <c r="E258" s="37"/>
      <c r="F258" s="38">
        <f t="shared" ref="F258:L258" si="8">F212+F230+F248+F257</f>
        <v>29230437.68</v>
      </c>
      <c r="G258" s="38">
        <f t="shared" si="8"/>
        <v>14811515.059999999</v>
      </c>
      <c r="H258" s="38">
        <f t="shared" si="8"/>
        <v>16506265.780000001</v>
      </c>
      <c r="I258" s="38">
        <f t="shared" si="8"/>
        <v>2460250.15</v>
      </c>
      <c r="J258" s="38">
        <f t="shared" si="8"/>
        <v>1105051.3899999999</v>
      </c>
      <c r="K258" s="38">
        <f t="shared" si="8"/>
        <v>168708.31</v>
      </c>
      <c r="L258" s="38">
        <f t="shared" si="8"/>
        <v>64282228.369999982</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1265064.8400000001</v>
      </c>
      <c r="L261" s="13">
        <f>SUM(F261:K261)</f>
        <v>1265064.8400000001</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1031070.66</v>
      </c>
      <c r="L262" s="13">
        <f>SUM(F262:K262)</f>
        <v>1031070.66</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2296135.5</v>
      </c>
      <c r="L271" s="38">
        <f t="shared" si="9"/>
        <v>2296135.5</v>
      </c>
      <c r="M271" s="8"/>
      <c r="N271" s="164"/>
    </row>
    <row r="272" spans="1:14" s="33" customFormat="1" ht="12.2" customHeight="1" thickTop="1" x14ac:dyDescent="0.2">
      <c r="A272" s="40" t="s">
        <v>464</v>
      </c>
      <c r="B272" s="37">
        <v>10</v>
      </c>
      <c r="C272" s="37">
        <v>18</v>
      </c>
      <c r="D272" s="36" t="s">
        <v>431</v>
      </c>
      <c r="E272" s="37"/>
      <c r="F272" s="39">
        <f t="shared" ref="F272:L272" si="11">F258+F271</f>
        <v>29230437.68</v>
      </c>
      <c r="G272" s="39">
        <f t="shared" si="11"/>
        <v>14811515.059999999</v>
      </c>
      <c r="H272" s="39">
        <f t="shared" si="11"/>
        <v>16506265.780000001</v>
      </c>
      <c r="I272" s="39">
        <f t="shared" si="11"/>
        <v>2460250.15</v>
      </c>
      <c r="J272" s="39">
        <f t="shared" si="11"/>
        <v>1105051.3899999999</v>
      </c>
      <c r="K272" s="39">
        <f t="shared" si="11"/>
        <v>2464843.81</v>
      </c>
      <c r="L272" s="39">
        <f t="shared" si="11"/>
        <v>66578363.869999982</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510443.98</v>
      </c>
      <c r="G277" s="18">
        <v>183489.73</v>
      </c>
      <c r="H277" s="18">
        <v>19740.93</v>
      </c>
      <c r="I277" s="18">
        <v>106175.15</v>
      </c>
      <c r="J277" s="18">
        <v>11990.34</v>
      </c>
      <c r="K277" s="18">
        <v>225</v>
      </c>
      <c r="L277" s="13">
        <f>SUM(F277:K277)</f>
        <v>832065.13</v>
      </c>
      <c r="M277" s="8"/>
      <c r="N277" s="164"/>
    </row>
    <row r="278" spans="1:14" s="3" customFormat="1" ht="12.2" customHeight="1" x14ac:dyDescent="0.15">
      <c r="A278" s="1" t="s">
        <v>439</v>
      </c>
      <c r="B278" s="2" t="s">
        <v>357</v>
      </c>
      <c r="C278" s="2" t="s">
        <v>291</v>
      </c>
      <c r="D278" s="2" t="s">
        <v>431</v>
      </c>
      <c r="E278" s="6">
        <v>1200</v>
      </c>
      <c r="F278" s="18">
        <v>53385.38</v>
      </c>
      <c r="G278" s="18">
        <v>21881.499999999996</v>
      </c>
      <c r="H278" s="18">
        <v>6689</v>
      </c>
      <c r="I278" s="18">
        <v>3186.46</v>
      </c>
      <c r="J278" s="18">
        <v>176.9</v>
      </c>
      <c r="K278" s="18">
        <v>0</v>
      </c>
      <c r="L278" s="13">
        <f>SUM(F278:K278)</f>
        <v>85319.239999999991</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23942.55</v>
      </c>
      <c r="G280" s="18">
        <v>4709.91</v>
      </c>
      <c r="H280" s="18">
        <v>2442</v>
      </c>
      <c r="I280" s="18">
        <v>2384.88</v>
      </c>
      <c r="J280" s="18">
        <v>20</v>
      </c>
      <c r="K280" s="18">
        <v>7997.49</v>
      </c>
      <c r="L280" s="13">
        <f>SUM(F280:K280)</f>
        <v>41496.829999999994</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122130.007</v>
      </c>
      <c r="G282" s="18">
        <v>38798.468400000005</v>
      </c>
      <c r="H282" s="18">
        <v>5570.38</v>
      </c>
      <c r="I282" s="18">
        <v>10358.67</v>
      </c>
      <c r="J282" s="18">
        <v>0</v>
      </c>
      <c r="K282" s="18">
        <v>8479.9600000000009</v>
      </c>
      <c r="L282" s="13">
        <f t="shared" ref="L282:L288" si="12">SUM(F282:K282)</f>
        <v>185337.48540000001</v>
      </c>
      <c r="M282" s="8"/>
      <c r="N282" s="164"/>
    </row>
    <row r="283" spans="1:14" s="3" customFormat="1" ht="12.2" customHeight="1" x14ac:dyDescent="0.15">
      <c r="A283" s="1" t="s">
        <v>443</v>
      </c>
      <c r="B283" s="2" t="s">
        <v>357</v>
      </c>
      <c r="C283" s="2" t="s">
        <v>295</v>
      </c>
      <c r="D283" s="2" t="s">
        <v>431</v>
      </c>
      <c r="E283" s="6">
        <v>2200</v>
      </c>
      <c r="F283" s="18">
        <v>52413.909899999999</v>
      </c>
      <c r="G283" s="18">
        <v>16435.075299999997</v>
      </c>
      <c r="H283" s="18">
        <v>250640.88770000002</v>
      </c>
      <c r="I283" s="18">
        <v>10313.539999999999</v>
      </c>
      <c r="J283" s="18">
        <v>0</v>
      </c>
      <c r="K283" s="18">
        <v>0</v>
      </c>
      <c r="L283" s="13">
        <f t="shared" si="12"/>
        <v>329803.4129</v>
      </c>
      <c r="M283" s="8"/>
      <c r="N283" s="164"/>
    </row>
    <row r="284" spans="1:14" s="3" customFormat="1" ht="12.2" customHeight="1" x14ac:dyDescent="0.15">
      <c r="A284" s="1" t="s">
        <v>444</v>
      </c>
      <c r="B284" s="2" t="s">
        <v>357</v>
      </c>
      <c r="C284" s="2" t="s">
        <v>296</v>
      </c>
      <c r="D284" s="2" t="s">
        <v>431</v>
      </c>
      <c r="E284" s="6">
        <v>2300</v>
      </c>
      <c r="F284" s="18">
        <v>43296.14</v>
      </c>
      <c r="G284" s="18">
        <v>27512.550000000003</v>
      </c>
      <c r="H284" s="18">
        <v>0</v>
      </c>
      <c r="I284" s="18">
        <v>1743.02</v>
      </c>
      <c r="J284" s="18">
        <v>0</v>
      </c>
      <c r="K284" s="18">
        <v>0</v>
      </c>
      <c r="L284" s="13">
        <f t="shared" si="12"/>
        <v>72551.710000000006</v>
      </c>
      <c r="M284" s="8"/>
      <c r="N284" s="164"/>
    </row>
    <row r="285" spans="1:14" s="3" customFormat="1" ht="12.2" customHeight="1" x14ac:dyDescent="0.15">
      <c r="A285" s="1" t="s">
        <v>445</v>
      </c>
      <c r="B285" s="2" t="s">
        <v>357</v>
      </c>
      <c r="C285" s="2" t="s">
        <v>297</v>
      </c>
      <c r="D285" s="2" t="s">
        <v>431</v>
      </c>
      <c r="E285" s="6">
        <v>2400</v>
      </c>
      <c r="F285" s="18">
        <v>12059.069599999999</v>
      </c>
      <c r="G285" s="18">
        <v>5533.8346999999994</v>
      </c>
      <c r="H285" s="18">
        <v>471.38</v>
      </c>
      <c r="I285" s="18">
        <v>9.4350000000000005</v>
      </c>
      <c r="J285" s="18">
        <v>0</v>
      </c>
      <c r="K285" s="18">
        <v>476.51189999999997</v>
      </c>
      <c r="L285" s="13">
        <f t="shared" si="12"/>
        <v>18550.231200000002</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94088.951700000005</v>
      </c>
      <c r="L286" s="13">
        <f t="shared" si="12"/>
        <v>94088.951700000005</v>
      </c>
      <c r="M286" s="8"/>
      <c r="N286" s="164"/>
    </row>
    <row r="287" spans="1:14" s="3" customFormat="1" ht="12.2" customHeight="1" x14ac:dyDescent="0.15">
      <c r="A287" s="1" t="s">
        <v>447</v>
      </c>
      <c r="B287" s="2" t="s">
        <v>357</v>
      </c>
      <c r="C287" s="2" t="s">
        <v>299</v>
      </c>
      <c r="D287" s="2" t="s">
        <v>431</v>
      </c>
      <c r="E287" s="6">
        <v>2600</v>
      </c>
      <c r="F287" s="18">
        <v>0</v>
      </c>
      <c r="G287" s="18">
        <v>0</v>
      </c>
      <c r="H287" s="18">
        <v>1309573.46</v>
      </c>
      <c r="I287" s="18">
        <v>0</v>
      </c>
      <c r="J287" s="18">
        <v>436.96</v>
      </c>
      <c r="K287" s="18">
        <v>0</v>
      </c>
      <c r="L287" s="13">
        <f t="shared" si="12"/>
        <v>1310010.42</v>
      </c>
      <c r="M287" s="8"/>
      <c r="N287" s="164"/>
    </row>
    <row r="288" spans="1:14" s="3" customFormat="1" ht="12.2" customHeight="1" x14ac:dyDescent="0.15">
      <c r="A288" s="1" t="s">
        <v>448</v>
      </c>
      <c r="B288" s="2" t="s">
        <v>357</v>
      </c>
      <c r="C288" s="2" t="s">
        <v>300</v>
      </c>
      <c r="D288" s="2" t="s">
        <v>431</v>
      </c>
      <c r="E288" s="6">
        <v>2700</v>
      </c>
      <c r="F288" s="18">
        <v>0</v>
      </c>
      <c r="G288" s="18">
        <v>0</v>
      </c>
      <c r="H288" s="18">
        <v>4116.43</v>
      </c>
      <c r="I288" s="18">
        <v>0</v>
      </c>
      <c r="J288" s="18">
        <v>0</v>
      </c>
      <c r="K288" s="18">
        <v>2489</v>
      </c>
      <c r="L288" s="13">
        <f t="shared" si="12"/>
        <v>6605.43</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817671.03650000005</v>
      </c>
      <c r="G291" s="39">
        <f t="shared" si="13"/>
        <v>298361.06840000005</v>
      </c>
      <c r="H291" s="39">
        <f t="shared" si="13"/>
        <v>1599244.4676999999</v>
      </c>
      <c r="I291" s="39">
        <f t="shared" si="13"/>
        <v>134171.155</v>
      </c>
      <c r="J291" s="39">
        <f t="shared" si="13"/>
        <v>12624.199999999999</v>
      </c>
      <c r="K291" s="39">
        <f t="shared" si="13"/>
        <v>113756.9136</v>
      </c>
      <c r="L291" s="38">
        <f t="shared" si="13"/>
        <v>2975828.8412000001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4"/>
    </row>
    <row r="297" spans="1:14" s="3" customFormat="1" ht="12.2" customHeight="1" x14ac:dyDescent="0.15">
      <c r="A297" s="1" t="s">
        <v>439</v>
      </c>
      <c r="B297" s="2" t="s">
        <v>358</v>
      </c>
      <c r="C297" s="2" t="s">
        <v>291</v>
      </c>
      <c r="D297" s="2" t="s">
        <v>431</v>
      </c>
      <c r="E297" s="6">
        <v>1200</v>
      </c>
      <c r="F297" s="18">
        <v>43984.98</v>
      </c>
      <c r="G297" s="18">
        <v>29106.949999999997</v>
      </c>
      <c r="H297" s="18">
        <v>0</v>
      </c>
      <c r="I297" s="18">
        <v>765</v>
      </c>
      <c r="J297" s="18">
        <v>0</v>
      </c>
      <c r="K297" s="18">
        <v>0</v>
      </c>
      <c r="L297" s="13">
        <f>SUM(F297:K297)</f>
        <v>73856.929999999993</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0</v>
      </c>
      <c r="G299" s="18">
        <v>0</v>
      </c>
      <c r="H299" s="18">
        <v>1912.4</v>
      </c>
      <c r="I299" s="18">
        <v>100</v>
      </c>
      <c r="J299" s="18">
        <v>0</v>
      </c>
      <c r="K299" s="18">
        <v>2565.4</v>
      </c>
      <c r="L299" s="13">
        <f>SUM(F299:K299)</f>
        <v>4577.8</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12037.62</v>
      </c>
      <c r="G301" s="18">
        <v>7247.2640000000019</v>
      </c>
      <c r="H301" s="18">
        <v>0</v>
      </c>
      <c r="I301" s="18">
        <v>0</v>
      </c>
      <c r="J301" s="18">
        <v>0</v>
      </c>
      <c r="K301" s="18">
        <v>423.8</v>
      </c>
      <c r="L301" s="13">
        <f t="shared" ref="L301:L307" si="14">SUM(F301:K301)</f>
        <v>19708.684000000001</v>
      </c>
      <c r="M301" s="8"/>
      <c r="N301" s="164"/>
    </row>
    <row r="302" spans="1:14" s="3" customFormat="1" ht="12.2" customHeight="1" x14ac:dyDescent="0.15">
      <c r="A302" s="1" t="s">
        <v>443</v>
      </c>
      <c r="B302" s="2" t="s">
        <v>358</v>
      </c>
      <c r="C302" s="2" t="s">
        <v>295</v>
      </c>
      <c r="D302" s="2" t="s">
        <v>431</v>
      </c>
      <c r="E302" s="6">
        <v>2200</v>
      </c>
      <c r="F302" s="18">
        <v>4684.1040000000003</v>
      </c>
      <c r="G302" s="18">
        <v>2783.2779999999998</v>
      </c>
      <c r="H302" s="18">
        <v>96284.412000000011</v>
      </c>
      <c r="I302" s="18">
        <v>1534</v>
      </c>
      <c r="J302" s="18">
        <v>0</v>
      </c>
      <c r="K302" s="18">
        <v>0</v>
      </c>
      <c r="L302" s="13">
        <f t="shared" si="14"/>
        <v>105285.79400000001</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6518.4160000000002</v>
      </c>
      <c r="G304" s="18">
        <v>2991.2620000000002</v>
      </c>
      <c r="H304" s="18">
        <v>254.8</v>
      </c>
      <c r="I304" s="18">
        <v>5.1000000000000005</v>
      </c>
      <c r="J304" s="18">
        <v>0</v>
      </c>
      <c r="K304" s="18">
        <v>257.57400000000001</v>
      </c>
      <c r="L304" s="13">
        <f t="shared" si="14"/>
        <v>10027.152</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34432.212000000007</v>
      </c>
      <c r="L305" s="13">
        <f t="shared" si="14"/>
        <v>34432.212000000007</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4142.8999999999996</v>
      </c>
      <c r="K308" s="18">
        <v>0</v>
      </c>
      <c r="L308" s="13">
        <f>SUM(F308:K308)</f>
        <v>4142.8999999999996</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67225.12000000001</v>
      </c>
      <c r="G310" s="39">
        <f t="shared" si="15"/>
        <v>42128.754000000001</v>
      </c>
      <c r="H310" s="39">
        <f t="shared" si="15"/>
        <v>98451.612000000008</v>
      </c>
      <c r="I310" s="39">
        <f t="shared" si="15"/>
        <v>2404.1</v>
      </c>
      <c r="J310" s="39">
        <f t="shared" si="15"/>
        <v>4142.8999999999996</v>
      </c>
      <c r="K310" s="39">
        <f t="shared" si="15"/>
        <v>37678.986000000004</v>
      </c>
      <c r="L310" s="38">
        <f t="shared" si="15"/>
        <v>252031.47199999998</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0</v>
      </c>
      <c r="G315" s="18">
        <v>0</v>
      </c>
      <c r="H315" s="18">
        <v>0</v>
      </c>
      <c r="I315" s="18">
        <v>0</v>
      </c>
      <c r="J315" s="18">
        <v>48800.59</v>
      </c>
      <c r="K315" s="18">
        <v>0</v>
      </c>
      <c r="L315" s="13">
        <f>SUM(F315:K315)</f>
        <v>48800.59</v>
      </c>
      <c r="M315" s="8"/>
      <c r="N315" s="164"/>
    </row>
    <row r="316" spans="1:14" s="3" customFormat="1" ht="12.2" customHeight="1" x14ac:dyDescent="0.15">
      <c r="A316" s="1" t="s">
        <v>439</v>
      </c>
      <c r="B316" s="2" t="s">
        <v>359</v>
      </c>
      <c r="C316" s="2" t="s">
        <v>291</v>
      </c>
      <c r="D316" s="2" t="s">
        <v>431</v>
      </c>
      <c r="E316" s="6">
        <v>1200</v>
      </c>
      <c r="F316" s="18">
        <v>63014.21</v>
      </c>
      <c r="G316" s="18">
        <v>24379.11</v>
      </c>
      <c r="H316" s="18">
        <v>0</v>
      </c>
      <c r="I316" s="18">
        <v>0</v>
      </c>
      <c r="J316" s="18">
        <v>0</v>
      </c>
      <c r="K316" s="18">
        <v>0</v>
      </c>
      <c r="L316" s="13">
        <f>SUM(F316:K316)</f>
        <v>87393.32</v>
      </c>
      <c r="M316" s="8"/>
      <c r="N316" s="164"/>
    </row>
    <row r="317" spans="1:14" s="3" customFormat="1" ht="12.2" customHeight="1" x14ac:dyDescent="0.15">
      <c r="A317" s="1" t="s">
        <v>440</v>
      </c>
      <c r="B317" s="2" t="s">
        <v>359</v>
      </c>
      <c r="C317" s="2" t="s">
        <v>292</v>
      </c>
      <c r="D317" s="2" t="s">
        <v>431</v>
      </c>
      <c r="E317" s="6">
        <v>1300</v>
      </c>
      <c r="F317" s="18">
        <v>2926</v>
      </c>
      <c r="G317" s="18">
        <v>3657.55</v>
      </c>
      <c r="H317" s="18">
        <v>52748.58</v>
      </c>
      <c r="I317" s="18">
        <v>38629.58</v>
      </c>
      <c r="J317" s="18">
        <v>100353.11</v>
      </c>
      <c r="K317" s="18">
        <v>14106.74</v>
      </c>
      <c r="L317" s="13">
        <f>SUM(F317:K317)</f>
        <v>212421.56</v>
      </c>
      <c r="M317" s="8"/>
      <c r="N317" s="164"/>
    </row>
    <row r="318" spans="1:14" s="3" customFormat="1" ht="12.2" customHeight="1" x14ac:dyDescent="0.15">
      <c r="A318" s="1" t="s">
        <v>441</v>
      </c>
      <c r="B318" s="2" t="s">
        <v>359</v>
      </c>
      <c r="C318" s="2" t="s">
        <v>293</v>
      </c>
      <c r="D318" s="2" t="s">
        <v>431</v>
      </c>
      <c r="E318" s="6">
        <v>1400</v>
      </c>
      <c r="F318" s="18">
        <v>1710</v>
      </c>
      <c r="G318" s="18">
        <v>167.70999999999998</v>
      </c>
      <c r="H318" s="18">
        <v>6045.5</v>
      </c>
      <c r="I318" s="18">
        <v>0</v>
      </c>
      <c r="J318" s="18">
        <v>0</v>
      </c>
      <c r="K318" s="18">
        <v>5515.61</v>
      </c>
      <c r="L318" s="13">
        <f>SUM(F318:K318)</f>
        <v>13438.82</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205850.42300000001</v>
      </c>
      <c r="G320" s="18">
        <v>92160.857600000003</v>
      </c>
      <c r="H320" s="18">
        <v>15079.46</v>
      </c>
      <c r="I320" s="18">
        <v>1122.5999999999999</v>
      </c>
      <c r="J320" s="18">
        <v>0</v>
      </c>
      <c r="K320" s="18">
        <v>911.17</v>
      </c>
      <c r="L320" s="13">
        <f t="shared" ref="L320:L326" si="16">SUM(F320:K320)</f>
        <v>315124.51059999998</v>
      </c>
      <c r="M320" s="8"/>
      <c r="N320" s="164"/>
    </row>
    <row r="321" spans="1:14" s="3" customFormat="1" ht="12.2" customHeight="1" x14ac:dyDescent="0.15">
      <c r="A321" s="1" t="s">
        <v>443</v>
      </c>
      <c r="B321" s="2" t="s">
        <v>359</v>
      </c>
      <c r="C321" s="2" t="s">
        <v>295</v>
      </c>
      <c r="D321" s="2" t="s">
        <v>431</v>
      </c>
      <c r="E321" s="6">
        <v>2200</v>
      </c>
      <c r="F321" s="18">
        <v>133342.33609999999</v>
      </c>
      <c r="G321" s="18">
        <v>65319.856699999997</v>
      </c>
      <c r="H321" s="18">
        <v>145786.76029999999</v>
      </c>
      <c r="I321" s="18">
        <v>3298.1</v>
      </c>
      <c r="J321" s="18">
        <v>0</v>
      </c>
      <c r="K321" s="18">
        <v>8363.27</v>
      </c>
      <c r="L321" s="13">
        <f t="shared" si="16"/>
        <v>356110.32309999998</v>
      </c>
      <c r="M321" s="8"/>
      <c r="N321" s="164"/>
    </row>
    <row r="322" spans="1:14" s="3" customFormat="1" ht="12.2" customHeight="1" x14ac:dyDescent="0.15">
      <c r="A322" s="1" t="s">
        <v>444</v>
      </c>
      <c r="B322" s="2" t="s">
        <v>359</v>
      </c>
      <c r="C322" s="2" t="s">
        <v>296</v>
      </c>
      <c r="D322" s="2" t="s">
        <v>431</v>
      </c>
      <c r="E322" s="6">
        <v>2300</v>
      </c>
      <c r="F322" s="18">
        <v>35370.600000000006</v>
      </c>
      <c r="G322" s="18">
        <v>19368.28</v>
      </c>
      <c r="H322" s="18">
        <v>0</v>
      </c>
      <c r="I322" s="18">
        <v>0</v>
      </c>
      <c r="J322" s="18">
        <v>0</v>
      </c>
      <c r="K322" s="18">
        <v>0</v>
      </c>
      <c r="L322" s="13">
        <f t="shared" si="16"/>
        <v>54738.880000000005</v>
      </c>
      <c r="M322" s="8"/>
      <c r="N322" s="164"/>
    </row>
    <row r="323" spans="1:14" s="3" customFormat="1" ht="12.2" customHeight="1" x14ac:dyDescent="0.15">
      <c r="A323" s="1" t="s">
        <v>445</v>
      </c>
      <c r="B323" s="2" t="s">
        <v>359</v>
      </c>
      <c r="C323" s="2" t="s">
        <v>297</v>
      </c>
      <c r="D323" s="2" t="s">
        <v>431</v>
      </c>
      <c r="E323" s="6">
        <v>2400</v>
      </c>
      <c r="F323" s="18">
        <v>14014.594399999998</v>
      </c>
      <c r="G323" s="18">
        <v>6431.2132999999994</v>
      </c>
      <c r="H323" s="18">
        <v>547.81999999999994</v>
      </c>
      <c r="I323" s="18">
        <v>10.965</v>
      </c>
      <c r="J323" s="18">
        <v>0</v>
      </c>
      <c r="K323" s="18">
        <v>553.78409999999997</v>
      </c>
      <c r="L323" s="13">
        <f t="shared" si="16"/>
        <v>21558.376799999998</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91592.606300000014</v>
      </c>
      <c r="L324" s="13">
        <f t="shared" si="16"/>
        <v>91592.606300000014</v>
      </c>
      <c r="M324" s="8"/>
      <c r="N324" s="164"/>
    </row>
    <row r="325" spans="1:14" s="3" customFormat="1" ht="12.2" customHeight="1" x14ac:dyDescent="0.15">
      <c r="A325" s="1" t="s">
        <v>447</v>
      </c>
      <c r="B325" s="2" t="s">
        <v>359</v>
      </c>
      <c r="C325" s="2" t="s">
        <v>299</v>
      </c>
      <c r="D325" s="2" t="s">
        <v>431</v>
      </c>
      <c r="E325" s="6">
        <v>2600</v>
      </c>
      <c r="F325" s="18">
        <v>4865.3099999999995</v>
      </c>
      <c r="G325" s="18">
        <v>393.15</v>
      </c>
      <c r="H325" s="18">
        <v>0</v>
      </c>
      <c r="I325" s="18">
        <v>8342.0300000000007</v>
      </c>
      <c r="J325" s="18">
        <v>0</v>
      </c>
      <c r="K325" s="18">
        <v>0</v>
      </c>
      <c r="L325" s="13">
        <f t="shared" si="16"/>
        <v>13600.49</v>
      </c>
      <c r="M325" s="8"/>
      <c r="N325" s="1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50641.96</v>
      </c>
      <c r="K327" s="18">
        <v>0</v>
      </c>
      <c r="L327" s="13">
        <f>SUM(F327:K327)</f>
        <v>50641.96</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461093.47349999996</v>
      </c>
      <c r="G329" s="39">
        <f t="shared" si="17"/>
        <v>211877.72759999998</v>
      </c>
      <c r="H329" s="39">
        <f t="shared" si="17"/>
        <v>220208.12030000001</v>
      </c>
      <c r="I329" s="39">
        <f t="shared" si="17"/>
        <v>51403.274999999994</v>
      </c>
      <c r="J329" s="39">
        <f t="shared" si="17"/>
        <v>199795.66</v>
      </c>
      <c r="K329" s="39">
        <f t="shared" si="17"/>
        <v>121043.18040000001</v>
      </c>
      <c r="L329" s="38">
        <f t="shared" si="17"/>
        <v>1265421.4367999998</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251937.58000000002</v>
      </c>
      <c r="G334" s="18">
        <v>67274.92</v>
      </c>
      <c r="H334" s="18">
        <v>15387.150000000001</v>
      </c>
      <c r="I334" s="18">
        <v>39922.880000000005</v>
      </c>
      <c r="J334" s="18">
        <v>0</v>
      </c>
      <c r="K334" s="18">
        <v>4431.67</v>
      </c>
      <c r="L334" s="13">
        <f t="shared" si="18"/>
        <v>378954.2</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v>265671.67999999999</v>
      </c>
      <c r="I337" s="18">
        <v>0</v>
      </c>
      <c r="J337" s="18">
        <v>428146.7</v>
      </c>
      <c r="K337" s="18">
        <v>0</v>
      </c>
      <c r="L337" s="13">
        <f t="shared" si="18"/>
        <v>693818.38</v>
      </c>
      <c r="M337" s="8"/>
      <c r="N337" s="164"/>
    </row>
    <row r="338" spans="1:43" s="3" customFormat="1" ht="12.2" customHeight="1" thickTop="1" thickBot="1" x14ac:dyDescent="0.2">
      <c r="A338" s="46" t="s">
        <v>467</v>
      </c>
      <c r="B338" s="37">
        <v>14</v>
      </c>
      <c r="C338" s="47">
        <v>6</v>
      </c>
      <c r="D338" s="44" t="s">
        <v>431</v>
      </c>
      <c r="E338" s="47"/>
      <c r="F338" s="38">
        <f t="shared" ref="F338:K338" si="19">SUM(F333:F337)</f>
        <v>251937.58000000002</v>
      </c>
      <c r="G338" s="38">
        <f t="shared" si="19"/>
        <v>67274.92</v>
      </c>
      <c r="H338" s="38">
        <f t="shared" si="19"/>
        <v>281058.83</v>
      </c>
      <c r="I338" s="38">
        <f t="shared" si="19"/>
        <v>39922.880000000005</v>
      </c>
      <c r="J338" s="38">
        <f t="shared" si="19"/>
        <v>428146.7</v>
      </c>
      <c r="K338" s="38">
        <f t="shared" si="19"/>
        <v>4431.67</v>
      </c>
      <c r="L338" s="38">
        <f t="shared" si="18"/>
        <v>1072772.58</v>
      </c>
      <c r="M338" s="8"/>
      <c r="N338" s="164"/>
    </row>
    <row r="339" spans="1:43" s="3" customFormat="1" ht="12.2" customHeight="1" thickTop="1" x14ac:dyDescent="0.15">
      <c r="A339" s="35" t="s">
        <v>468</v>
      </c>
      <c r="B339" s="37">
        <v>14</v>
      </c>
      <c r="C339" s="37">
        <v>7</v>
      </c>
      <c r="D339" s="36" t="s">
        <v>431</v>
      </c>
      <c r="E339" s="37"/>
      <c r="F339" s="38">
        <f t="shared" ref="F339:L339" si="20">F291+F310+F329+F338</f>
        <v>1597927.21</v>
      </c>
      <c r="G339" s="38">
        <f t="shared" si="20"/>
        <v>619642.47000000009</v>
      </c>
      <c r="H339" s="38">
        <f t="shared" si="20"/>
        <v>2198963.0299999998</v>
      </c>
      <c r="I339" s="38">
        <f t="shared" si="20"/>
        <v>227901.41</v>
      </c>
      <c r="J339" s="38">
        <f t="shared" si="20"/>
        <v>644709.46</v>
      </c>
      <c r="K339" s="38">
        <f t="shared" si="20"/>
        <v>276910.75</v>
      </c>
      <c r="L339" s="38">
        <f t="shared" si="20"/>
        <v>5566054.3300000001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1597927.21</v>
      </c>
      <c r="G353" s="38">
        <f>G339</f>
        <v>619642.47000000009</v>
      </c>
      <c r="H353" s="38">
        <f>H339</f>
        <v>2198963.0299999998</v>
      </c>
      <c r="I353" s="38">
        <f>I339</f>
        <v>227901.41</v>
      </c>
      <c r="J353" s="38">
        <f>J339</f>
        <v>644709.46</v>
      </c>
      <c r="K353" s="38">
        <f>K339+K352</f>
        <v>276910.75</v>
      </c>
      <c r="L353" s="38">
        <f>L339+L352</f>
        <v>5566054.3300000001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180173.77</v>
      </c>
      <c r="G359" s="18">
        <v>51115.840000000004</v>
      </c>
      <c r="H359" s="18">
        <v>4152.3</v>
      </c>
      <c r="I359" s="18">
        <v>292739.57</v>
      </c>
      <c r="J359" s="18">
        <v>0</v>
      </c>
      <c r="K359" s="18">
        <v>0</v>
      </c>
      <c r="L359" s="13">
        <f>SUM(F359:K359)</f>
        <v>528181.48</v>
      </c>
      <c r="M359" s="8"/>
      <c r="N359" s="164"/>
    </row>
    <row r="360" spans="1:22" s="3" customFormat="1" ht="12.2" customHeight="1" x14ac:dyDescent="0.15">
      <c r="A360" s="1" t="s">
        <v>542</v>
      </c>
      <c r="B360" s="2" t="s">
        <v>366</v>
      </c>
      <c r="C360" s="6">
        <v>2</v>
      </c>
      <c r="D360" s="2" t="s">
        <v>431</v>
      </c>
      <c r="E360" s="6"/>
      <c r="F360" s="18">
        <v>95741.76999999999</v>
      </c>
      <c r="G360" s="18">
        <v>58435.46</v>
      </c>
      <c r="H360" s="18">
        <v>3478.5699999999997</v>
      </c>
      <c r="I360" s="18">
        <v>272455.28000000003</v>
      </c>
      <c r="J360" s="18">
        <v>0</v>
      </c>
      <c r="K360" s="18">
        <v>0</v>
      </c>
      <c r="L360" s="13">
        <f>SUM(F360:K360)</f>
        <v>430111.08</v>
      </c>
      <c r="M360" s="8"/>
      <c r="N360" s="164"/>
    </row>
    <row r="361" spans="1:22" s="3" customFormat="1" ht="12.2" customHeight="1" x14ac:dyDescent="0.15">
      <c r="A361" s="3" t="s">
        <v>543</v>
      </c>
      <c r="B361" s="2" t="s">
        <v>366</v>
      </c>
      <c r="C361" s="6">
        <v>3</v>
      </c>
      <c r="D361" s="2" t="s">
        <v>431</v>
      </c>
      <c r="E361" s="6"/>
      <c r="F361" s="18">
        <v>374524.39000000007</v>
      </c>
      <c r="G361" s="18">
        <v>166569.00000000003</v>
      </c>
      <c r="H361" s="18">
        <v>18967.320000000003</v>
      </c>
      <c r="I361" s="18">
        <v>504641.37</v>
      </c>
      <c r="J361" s="18">
        <v>4030</v>
      </c>
      <c r="K361" s="18">
        <v>4935.01</v>
      </c>
      <c r="L361" s="13">
        <f>SUM(F361:K361)</f>
        <v>1073667.0900000001</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650439.93000000005</v>
      </c>
      <c r="G363" s="38">
        <f t="shared" si="22"/>
        <v>276120.30000000005</v>
      </c>
      <c r="H363" s="38">
        <f t="shared" si="22"/>
        <v>26598.190000000002</v>
      </c>
      <c r="I363" s="38">
        <f t="shared" si="22"/>
        <v>1069836.2200000002</v>
      </c>
      <c r="J363" s="38">
        <f t="shared" si="22"/>
        <v>4030</v>
      </c>
      <c r="K363" s="38">
        <f t="shared" si="22"/>
        <v>4935.01</v>
      </c>
      <c r="L363" s="38">
        <f t="shared" si="22"/>
        <v>2031959.6500000001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291515.08</v>
      </c>
      <c r="G368" s="18">
        <v>264163.14</v>
      </c>
      <c r="H368" s="18">
        <v>460064.47</v>
      </c>
      <c r="I368" s="13">
        <f>SUM(F368:H368)</f>
        <v>1015742.69</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1224.49</v>
      </c>
      <c r="G369" s="53">
        <v>8292.14</v>
      </c>
      <c r="H369" s="53">
        <v>44576.9</v>
      </c>
      <c r="I369" s="13">
        <f>SUM(F369:H369)</f>
        <v>54093.53</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292739.57</v>
      </c>
      <c r="G370" s="38">
        <f>SUM(G368:G369)</f>
        <v>272455.28000000003</v>
      </c>
      <c r="H370" s="38">
        <f>SUM(H368:H369)</f>
        <v>504641.37</v>
      </c>
      <c r="I370" s="38">
        <f>SUM(I368:I369)</f>
        <v>1069836.22</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v>66923.839999999997</v>
      </c>
      <c r="I390" s="18"/>
      <c r="J390" s="23" t="s">
        <v>288</v>
      </c>
      <c r="K390" s="23" t="s">
        <v>288</v>
      </c>
      <c r="L390" s="13">
        <f t="shared" si="25"/>
        <v>66923.839999999997</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66923.839999999997</v>
      </c>
      <c r="I394" s="54">
        <f>SUM(I388:I393)</f>
        <v>0</v>
      </c>
      <c r="J394" s="42" t="s">
        <v>288</v>
      </c>
      <c r="K394" s="42" t="s">
        <v>288</v>
      </c>
      <c r="L394" s="38">
        <f>SUM(L388:L393)</f>
        <v>66923.839999999997</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v>20461.53</v>
      </c>
      <c r="I398" s="18"/>
      <c r="J398" s="23" t="s">
        <v>288</v>
      </c>
      <c r="K398" s="23" t="s">
        <v>288</v>
      </c>
      <c r="L398" s="13">
        <f t="shared" si="26"/>
        <v>20461.53</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376.25</v>
      </c>
      <c r="I401" s="18"/>
      <c r="J401" s="23" t="s">
        <v>288</v>
      </c>
      <c r="K401" s="23" t="s">
        <v>288</v>
      </c>
      <c r="L401" s="13">
        <f t="shared" si="26"/>
        <v>376.25</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20837.78</v>
      </c>
      <c r="I402" s="38">
        <f>SUM(I396:I401)</f>
        <v>0</v>
      </c>
      <c r="J402" s="42" t="s">
        <v>288</v>
      </c>
      <c r="K402" s="42" t="s">
        <v>288</v>
      </c>
      <c r="L402" s="38">
        <f>SUM(L396:L401)</f>
        <v>20837.78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87761.62</v>
      </c>
      <c r="I409" s="38">
        <f>I394+I402+I408</f>
        <v>0</v>
      </c>
      <c r="J409" s="23" t="s">
        <v>288</v>
      </c>
      <c r="K409" s="23" t="s">
        <v>288</v>
      </c>
      <c r="L409" s="38">
        <f>L394+L402+L408</f>
        <v>87761.62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1675108.25</v>
      </c>
      <c r="H441" s="18"/>
      <c r="I441" s="13">
        <f t="shared" si="33"/>
        <v>1675108.25</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1675108.25</v>
      </c>
      <c r="H447" s="13">
        <f>SUM(H440:H446)</f>
        <v>0</v>
      </c>
      <c r="I447" s="13">
        <f>SUM(I440:I446)</f>
        <v>1675108.25</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1675108.25</v>
      </c>
      <c r="H460" s="18"/>
      <c r="I460" s="13">
        <f t="shared" si="34"/>
        <v>1675108.25</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1675108.25</v>
      </c>
      <c r="H461" s="65">
        <f>SUM(H455:H460)</f>
        <v>0</v>
      </c>
      <c r="I461" s="65">
        <f>SUM(I455:I460)</f>
        <v>1675108.25</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1675108.25</v>
      </c>
      <c r="H462" s="39">
        <f>H453+H461</f>
        <v>0</v>
      </c>
      <c r="I462" s="39">
        <f>I453+I461</f>
        <v>1675108.25</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7897635.4299999997</v>
      </c>
      <c r="G466" s="18">
        <v>634735.13</v>
      </c>
      <c r="H466" s="18">
        <v>101089.82</v>
      </c>
      <c r="I466" s="18">
        <v>0</v>
      </c>
      <c r="J466" s="18">
        <v>1587346.63</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66712992.279999994</v>
      </c>
      <c r="G469" s="18">
        <v>1871764.9700000002</v>
      </c>
      <c r="H469" s="18">
        <v>5448349.5599999996</v>
      </c>
      <c r="I469" s="18">
        <v>0</v>
      </c>
      <c r="J469" s="18">
        <v>87761.62</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66712992.279999994</v>
      </c>
      <c r="G471" s="19">
        <f>SUM(G469:G470)</f>
        <v>1871764.9700000002</v>
      </c>
      <c r="H471" s="19">
        <f>SUM(H469:H470)</f>
        <v>5448349.5599999996</v>
      </c>
      <c r="I471" s="19">
        <f>SUM(I469:I470)</f>
        <v>0</v>
      </c>
      <c r="J471" s="19">
        <f>SUM(J469:J470)</f>
        <v>87761.62</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66578363.869999997</v>
      </c>
      <c r="G473" s="18">
        <v>2031959.6500000001</v>
      </c>
      <c r="H473" s="18">
        <v>5566054.3300000001</v>
      </c>
      <c r="I473" s="18">
        <v>0</v>
      </c>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66578363.869999997</v>
      </c>
      <c r="G475" s="19">
        <f>SUM(G473:G474)</f>
        <v>2031959.6500000001</v>
      </c>
      <c r="H475" s="19">
        <f>SUM(H473:H474)</f>
        <v>5566054.3300000001</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8032263.8399999961</v>
      </c>
      <c r="G477" s="19">
        <f>(G466+G471)- G475</f>
        <v>474540.44999999995</v>
      </c>
      <c r="H477" s="19">
        <f>(H466+H471)- H475</f>
        <v>-16614.950000000186</v>
      </c>
      <c r="I477" s="19">
        <f>(I466+I471)- I475</f>
        <v>0</v>
      </c>
      <c r="J477" s="19">
        <f>(J466+J471)- J475</f>
        <v>1675108.25</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29</v>
      </c>
      <c r="G491" s="111">
        <v>29</v>
      </c>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t="s">
        <v>1842</v>
      </c>
      <c r="H492" s="111"/>
      <c r="I492" s="111"/>
      <c r="J492" s="111"/>
      <c r="K492" s="23" t="s">
        <v>288</v>
      </c>
      <c r="L492" s="23" t="s">
        <v>288</v>
      </c>
      <c r="N492" s="130"/>
    </row>
    <row r="493" spans="1:14" ht="12.2" customHeight="1" x14ac:dyDescent="0.2">
      <c r="A493" s="21" t="s">
        <v>616</v>
      </c>
      <c r="B493" s="22">
        <v>20</v>
      </c>
      <c r="C493" s="22">
        <v>3</v>
      </c>
      <c r="D493" s="2" t="s">
        <v>432</v>
      </c>
      <c r="E493" s="22"/>
      <c r="F493" s="112" t="s">
        <v>1843</v>
      </c>
      <c r="G493" s="112" t="s">
        <v>1843</v>
      </c>
      <c r="H493" s="111"/>
      <c r="I493" s="111"/>
      <c r="J493" s="111"/>
      <c r="K493" s="23" t="s">
        <v>288</v>
      </c>
      <c r="L493" s="23" t="s">
        <v>288</v>
      </c>
      <c r="N493" s="130"/>
    </row>
    <row r="494" spans="1:14" ht="12.2" customHeight="1" x14ac:dyDescent="0.2">
      <c r="A494" s="21" t="s">
        <v>617</v>
      </c>
      <c r="B494" s="22">
        <v>20</v>
      </c>
      <c r="C494" s="22">
        <v>4</v>
      </c>
      <c r="D494" s="2" t="s">
        <v>432</v>
      </c>
      <c r="E494" s="22"/>
      <c r="F494" s="18">
        <v>35115529.659999996</v>
      </c>
      <c r="G494" s="18">
        <v>1817970.34</v>
      </c>
      <c r="H494" s="18"/>
      <c r="I494" s="18"/>
      <c r="J494" s="18"/>
      <c r="K494" s="23" t="s">
        <v>288</v>
      </c>
      <c r="L494" s="23" t="s">
        <v>288</v>
      </c>
      <c r="N494" s="130"/>
    </row>
    <row r="495" spans="1:14" ht="12.2" customHeight="1" x14ac:dyDescent="0.2">
      <c r="A495" s="21" t="s">
        <v>618</v>
      </c>
      <c r="B495" s="22">
        <v>20</v>
      </c>
      <c r="C495" s="22">
        <v>5</v>
      </c>
      <c r="D495" s="2" t="s">
        <v>432</v>
      </c>
      <c r="E495" s="22"/>
      <c r="F495" s="18">
        <v>4.4400000000000004</v>
      </c>
      <c r="G495" s="18">
        <v>4.4400000000000004</v>
      </c>
      <c r="H495" s="18"/>
      <c r="I495" s="18"/>
      <c r="J495" s="18"/>
      <c r="K495" s="23" t="s">
        <v>288</v>
      </c>
      <c r="L495" s="23" t="s">
        <v>288</v>
      </c>
      <c r="N495" s="130"/>
    </row>
    <row r="496" spans="1:14" ht="12.2" customHeight="1" x14ac:dyDescent="0.2">
      <c r="A496" s="21" t="s">
        <v>619</v>
      </c>
      <c r="B496" s="22">
        <v>20</v>
      </c>
      <c r="C496" s="22">
        <v>6</v>
      </c>
      <c r="D496" s="2" t="s">
        <v>432</v>
      </c>
      <c r="E496" s="22"/>
      <c r="F496" s="18">
        <v>14309442.279999999</v>
      </c>
      <c r="G496" s="18">
        <v>740815.87</v>
      </c>
      <c r="H496" s="18"/>
      <c r="I496" s="18"/>
      <c r="J496" s="18"/>
      <c r="K496" s="19">
        <f>SUM(F496:J496)</f>
        <v>15050258.149999999</v>
      </c>
      <c r="L496" s="23" t="s">
        <v>288</v>
      </c>
      <c r="N496" s="130"/>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1202794.8</v>
      </c>
      <c r="G498" s="18">
        <v>62270.04</v>
      </c>
      <c r="H498" s="18"/>
      <c r="I498" s="18"/>
      <c r="J498" s="18"/>
      <c r="K498" s="19">
        <f t="shared" si="35"/>
        <v>1265064.8400000001</v>
      </c>
      <c r="L498" s="23" t="s">
        <v>288</v>
      </c>
      <c r="N498" s="130"/>
    </row>
    <row r="499" spans="1:14" ht="12.2" customHeight="1" x14ac:dyDescent="0.2">
      <c r="A499" s="143" t="s">
        <v>622</v>
      </c>
      <c r="B499" s="144">
        <v>20</v>
      </c>
      <c r="C499" s="144">
        <v>9</v>
      </c>
      <c r="D499" s="145" t="s">
        <v>432</v>
      </c>
      <c r="E499" s="144"/>
      <c r="F499" s="146">
        <v>13106647.48</v>
      </c>
      <c r="G499" s="146">
        <v>678545.83</v>
      </c>
      <c r="H499" s="146"/>
      <c r="I499" s="146"/>
      <c r="J499" s="146"/>
      <c r="K499" s="147">
        <f t="shared" si="35"/>
        <v>13785193.310000001</v>
      </c>
      <c r="L499" s="148" t="s">
        <v>288</v>
      </c>
      <c r="N499" s="130"/>
    </row>
    <row r="500" spans="1:14" ht="12.2" customHeight="1" thickBot="1" x14ac:dyDescent="0.25">
      <c r="A500" s="21" t="s">
        <v>623</v>
      </c>
      <c r="B500" s="22">
        <v>20</v>
      </c>
      <c r="C500" s="22">
        <v>10</v>
      </c>
      <c r="D500" s="2" t="s">
        <v>432</v>
      </c>
      <c r="E500" s="22"/>
      <c r="F500" s="18">
        <v>21503500.649999999</v>
      </c>
      <c r="G500" s="18">
        <v>1113260.33</v>
      </c>
      <c r="H500" s="18"/>
      <c r="I500" s="18"/>
      <c r="J500" s="18"/>
      <c r="K500" s="19">
        <f t="shared" si="35"/>
        <v>22616760.979999997</v>
      </c>
      <c r="L500" s="23" t="s">
        <v>288</v>
      </c>
      <c r="N500" s="130"/>
    </row>
    <row r="501" spans="1:14" ht="12.2" customHeight="1" thickTop="1" x14ac:dyDescent="0.2">
      <c r="A501" s="97" t="s">
        <v>624</v>
      </c>
      <c r="B501" s="41">
        <v>20</v>
      </c>
      <c r="C501" s="41">
        <v>11</v>
      </c>
      <c r="D501" s="36" t="s">
        <v>432</v>
      </c>
      <c r="E501" s="41"/>
      <c r="F501" s="39">
        <f>SUM(F499:F500)</f>
        <v>34610148.129999995</v>
      </c>
      <c r="G501" s="39">
        <f>SUM(G499:G500)</f>
        <v>1791806.1600000001</v>
      </c>
      <c r="H501" s="39">
        <f>SUM(H499:H500)</f>
        <v>0</v>
      </c>
      <c r="I501" s="39">
        <f>SUM(I499:I500)</f>
        <v>0</v>
      </c>
      <c r="J501" s="39">
        <f>SUM(J499:J500)</f>
        <v>0</v>
      </c>
      <c r="K501" s="39">
        <f t="shared" si="35"/>
        <v>36401954.289999992</v>
      </c>
      <c r="L501" s="42" t="s">
        <v>288</v>
      </c>
      <c r="N501" s="130"/>
    </row>
    <row r="502" spans="1:14" ht="12.2" customHeight="1" x14ac:dyDescent="0.2">
      <c r="A502" s="143" t="s">
        <v>651</v>
      </c>
      <c r="B502" s="144">
        <v>20</v>
      </c>
      <c r="C502" s="144">
        <v>12</v>
      </c>
      <c r="D502" s="145" t="s">
        <v>432</v>
      </c>
      <c r="E502" s="144"/>
      <c r="F502" s="146">
        <v>1148770.97</v>
      </c>
      <c r="G502" s="146">
        <v>59473.16</v>
      </c>
      <c r="H502" s="146"/>
      <c r="I502" s="146"/>
      <c r="J502" s="146"/>
      <c r="K502" s="147">
        <f t="shared" si="35"/>
        <v>1208244.1299999999</v>
      </c>
      <c r="L502" s="148" t="s">
        <v>288</v>
      </c>
      <c r="N502" s="130"/>
    </row>
    <row r="503" spans="1:14" ht="12.2" customHeight="1" thickBot="1" x14ac:dyDescent="0.25">
      <c r="A503" s="21" t="s">
        <v>625</v>
      </c>
      <c r="B503" s="22">
        <v>20</v>
      </c>
      <c r="C503" s="22">
        <v>13</v>
      </c>
      <c r="D503" s="2" t="s">
        <v>432</v>
      </c>
      <c r="E503" s="22"/>
      <c r="F503" s="18">
        <v>1033633.98</v>
      </c>
      <c r="G503" s="18">
        <v>53512.39</v>
      </c>
      <c r="H503" s="18"/>
      <c r="I503" s="18"/>
      <c r="J503" s="18"/>
      <c r="K503" s="19">
        <f t="shared" si="35"/>
        <v>1087146.3699999999</v>
      </c>
      <c r="L503" s="23" t="s">
        <v>288</v>
      </c>
      <c r="N503" s="130"/>
    </row>
    <row r="504" spans="1:14" ht="12.2" customHeight="1" thickTop="1" x14ac:dyDescent="0.2">
      <c r="A504" s="97" t="s">
        <v>626</v>
      </c>
      <c r="B504" s="41">
        <v>20</v>
      </c>
      <c r="C504" s="41">
        <v>14</v>
      </c>
      <c r="D504" s="36" t="s">
        <v>432</v>
      </c>
      <c r="E504" s="41"/>
      <c r="F504" s="39">
        <f>SUM(F502:F503)</f>
        <v>2182404.9500000002</v>
      </c>
      <c r="G504" s="39">
        <f>SUM(G502:G503)</f>
        <v>112985.55</v>
      </c>
      <c r="H504" s="39">
        <f>SUM(H502:H503)</f>
        <v>0</v>
      </c>
      <c r="I504" s="39">
        <f>SUM(I502:I503)</f>
        <v>0</v>
      </c>
      <c r="J504" s="39">
        <f>SUM(J502:J503)</f>
        <v>0</v>
      </c>
      <c r="K504" s="39">
        <f t="shared" si="35"/>
        <v>2295390.5</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2621104</v>
      </c>
      <c r="G522" s="18">
        <v>1220289.2800000003</v>
      </c>
      <c r="H522" s="18">
        <v>790641.15</v>
      </c>
      <c r="I522" s="18">
        <v>24917.370000000003</v>
      </c>
      <c r="J522" s="18">
        <v>466.36</v>
      </c>
      <c r="K522" s="18">
        <v>0</v>
      </c>
      <c r="L522" s="69">
        <f>SUM(F522:K522)</f>
        <v>4657418.1600000011</v>
      </c>
      <c r="N522" s="130"/>
    </row>
    <row r="523" spans="1:14" ht="12.2" customHeight="1" x14ac:dyDescent="0.2">
      <c r="A523" s="21" t="s">
        <v>634</v>
      </c>
      <c r="B523" s="22">
        <v>21</v>
      </c>
      <c r="C523" s="22">
        <v>2</v>
      </c>
      <c r="D523" s="2" t="s">
        <v>432</v>
      </c>
      <c r="E523" s="22"/>
      <c r="F523" s="18">
        <v>1154832.51</v>
      </c>
      <c r="G523" s="18">
        <v>600250.22</v>
      </c>
      <c r="H523" s="18">
        <v>1699969.24</v>
      </c>
      <c r="I523" s="18">
        <v>7577.13</v>
      </c>
      <c r="J523" s="18">
        <v>839.26</v>
      </c>
      <c r="K523" s="18">
        <v>1400</v>
      </c>
      <c r="L523" s="69">
        <f>SUM(F523:K523)</f>
        <v>3464868.3599999994</v>
      </c>
      <c r="N523" s="130"/>
    </row>
    <row r="524" spans="1:14" ht="12.2" customHeight="1" thickBot="1" x14ac:dyDescent="0.25">
      <c r="A524" s="21" t="s">
        <v>635</v>
      </c>
      <c r="B524" s="22">
        <v>21</v>
      </c>
      <c r="C524" s="22">
        <v>3</v>
      </c>
      <c r="D524" s="2" t="s">
        <v>432</v>
      </c>
      <c r="E524" s="22"/>
      <c r="F524" s="18">
        <v>1447241.21</v>
      </c>
      <c r="G524" s="18">
        <v>672406.86999999988</v>
      </c>
      <c r="H524" s="18">
        <v>1816777.93</v>
      </c>
      <c r="I524" s="18">
        <v>10039.25</v>
      </c>
      <c r="J524" s="18">
        <v>1595.71</v>
      </c>
      <c r="K524" s="18">
        <v>0</v>
      </c>
      <c r="L524" s="69">
        <f>SUM(F524:K524)</f>
        <v>3948060.9699999997</v>
      </c>
      <c r="N524" s="130"/>
    </row>
    <row r="525" spans="1:14" ht="12.2" customHeight="1" thickTop="1" x14ac:dyDescent="0.2">
      <c r="A525" s="97" t="s">
        <v>63</v>
      </c>
      <c r="B525" s="41">
        <v>21</v>
      </c>
      <c r="C525" s="41">
        <v>4</v>
      </c>
      <c r="D525" s="115" t="s">
        <v>432</v>
      </c>
      <c r="E525" s="41"/>
      <c r="F525" s="81">
        <f>SUM(F522:F524)</f>
        <v>5223177.72</v>
      </c>
      <c r="G525" s="81">
        <f t="shared" ref="G525:L525" si="36">SUM(G522:G524)</f>
        <v>2492946.37</v>
      </c>
      <c r="H525" s="81">
        <f t="shared" si="36"/>
        <v>4307388.32</v>
      </c>
      <c r="I525" s="81">
        <f t="shared" si="36"/>
        <v>42533.75</v>
      </c>
      <c r="J525" s="81">
        <f t="shared" si="36"/>
        <v>2901.33</v>
      </c>
      <c r="K525" s="81">
        <f t="shared" si="36"/>
        <v>1400</v>
      </c>
      <c r="L525" s="70">
        <f t="shared" si="36"/>
        <v>12070347.49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1191414.8069999998</v>
      </c>
      <c r="G527" s="18">
        <v>627775.67839999986</v>
      </c>
      <c r="H527" s="18">
        <v>148968.66</v>
      </c>
      <c r="I527" s="18">
        <v>5949.11</v>
      </c>
      <c r="J527" s="18">
        <v>0</v>
      </c>
      <c r="K527" s="18">
        <v>199.8</v>
      </c>
      <c r="L527" s="69">
        <f>SUM(F527:K527)</f>
        <v>1974308.0553999997</v>
      </c>
      <c r="M527" s="8"/>
      <c r="N527" s="164"/>
    </row>
    <row r="528" spans="1:14" s="3" customFormat="1" ht="12.2" customHeight="1" x14ac:dyDescent="0.15">
      <c r="A528" s="21" t="s">
        <v>634</v>
      </c>
      <c r="B528" s="22">
        <v>21</v>
      </c>
      <c r="C528" s="22">
        <v>6</v>
      </c>
      <c r="D528" s="2" t="s">
        <v>432</v>
      </c>
      <c r="E528" s="22"/>
      <c r="F528" s="18">
        <v>401070.23</v>
      </c>
      <c r="G528" s="18">
        <v>208793.98399999997</v>
      </c>
      <c r="H528" s="18">
        <v>81508.08</v>
      </c>
      <c r="I528" s="18">
        <v>2272.65</v>
      </c>
      <c r="J528" s="18">
        <v>0</v>
      </c>
      <c r="K528" s="18">
        <v>111</v>
      </c>
      <c r="L528" s="69">
        <f>SUM(F528:K528)</f>
        <v>693755.9439999999</v>
      </c>
      <c r="M528" s="8"/>
      <c r="N528" s="164"/>
    </row>
    <row r="529" spans="1:14" s="3" customFormat="1" ht="12.2" customHeight="1" thickBot="1" x14ac:dyDescent="0.2">
      <c r="A529" s="21" t="s">
        <v>635</v>
      </c>
      <c r="B529" s="22">
        <v>21</v>
      </c>
      <c r="C529" s="22">
        <v>7</v>
      </c>
      <c r="D529" s="2" t="s">
        <v>432</v>
      </c>
      <c r="E529" s="22"/>
      <c r="F529" s="18">
        <v>396792.39299999998</v>
      </c>
      <c r="G529" s="18">
        <v>204502.27759999997</v>
      </c>
      <c r="H529" s="18">
        <v>166525.5</v>
      </c>
      <c r="I529" s="18">
        <v>0</v>
      </c>
      <c r="J529" s="18">
        <v>0</v>
      </c>
      <c r="K529" s="18">
        <v>0</v>
      </c>
      <c r="L529" s="69">
        <f>SUM(F529:K529)</f>
        <v>767820.17059999995</v>
      </c>
      <c r="M529" s="8"/>
      <c r="N529" s="164"/>
    </row>
    <row r="530" spans="1:14" s="3" customFormat="1" ht="12.2" customHeight="1" thickTop="1" x14ac:dyDescent="0.15">
      <c r="A530" s="97" t="s">
        <v>65</v>
      </c>
      <c r="B530" s="41">
        <v>21</v>
      </c>
      <c r="C530" s="41">
        <v>8</v>
      </c>
      <c r="D530" s="115" t="s">
        <v>432</v>
      </c>
      <c r="E530" s="41"/>
      <c r="F530" s="70">
        <f>SUM(F527:F529)</f>
        <v>1989277.4299999997</v>
      </c>
      <c r="G530" s="70">
        <f t="shared" ref="G530:L530" si="37">SUM(G527:G529)</f>
        <v>1041071.9399999997</v>
      </c>
      <c r="H530" s="70">
        <f t="shared" si="37"/>
        <v>397002.23999999999</v>
      </c>
      <c r="I530" s="70">
        <f t="shared" si="37"/>
        <v>8221.76</v>
      </c>
      <c r="J530" s="70">
        <f t="shared" si="37"/>
        <v>0</v>
      </c>
      <c r="K530" s="70">
        <f t="shared" si="37"/>
        <v>310.8</v>
      </c>
      <c r="L530" s="70">
        <f t="shared" si="37"/>
        <v>3435884.1699999995</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227544.95</v>
      </c>
      <c r="G532" s="18">
        <v>125923.1</v>
      </c>
      <c r="H532" s="18">
        <v>6464.9699999999993</v>
      </c>
      <c r="I532" s="18">
        <v>130</v>
      </c>
      <c r="J532" s="18">
        <v>0</v>
      </c>
      <c r="K532" s="18">
        <v>987.83</v>
      </c>
      <c r="L532" s="69">
        <f>SUM(F532:K532)</f>
        <v>361050.85000000003</v>
      </c>
      <c r="M532" s="8"/>
      <c r="N532" s="164"/>
    </row>
    <row r="533" spans="1:14" s="3" customFormat="1" ht="12.2" customHeight="1" x14ac:dyDescent="0.15">
      <c r="A533" s="21" t="s">
        <v>634</v>
      </c>
      <c r="B533" s="22">
        <v>21</v>
      </c>
      <c r="C533" s="22">
        <v>10</v>
      </c>
      <c r="D533" s="2" t="s">
        <v>432</v>
      </c>
      <c r="E533" s="22"/>
      <c r="F533" s="18">
        <v>90113.919999999998</v>
      </c>
      <c r="G533" s="18">
        <v>51434.6</v>
      </c>
      <c r="H533" s="18">
        <v>0</v>
      </c>
      <c r="I533" s="18">
        <v>0</v>
      </c>
      <c r="J533" s="18">
        <v>0</v>
      </c>
      <c r="K533" s="18">
        <v>0</v>
      </c>
      <c r="L533" s="69">
        <f>SUM(F533:K533)</f>
        <v>141548.51999999999</v>
      </c>
      <c r="M533" s="8"/>
      <c r="N533" s="164"/>
    </row>
    <row r="534" spans="1:14" s="3" customFormat="1" ht="12.2" customHeight="1" thickBot="1" x14ac:dyDescent="0.2">
      <c r="A534" s="21" t="s">
        <v>635</v>
      </c>
      <c r="B534" s="22">
        <v>21</v>
      </c>
      <c r="C534" s="22">
        <v>11</v>
      </c>
      <c r="D534" s="2" t="s">
        <v>432</v>
      </c>
      <c r="E534" s="22"/>
      <c r="F534" s="18">
        <v>129685.33000000002</v>
      </c>
      <c r="G534" s="18">
        <v>79325.26999999999</v>
      </c>
      <c r="H534" s="18">
        <v>0</v>
      </c>
      <c r="I534" s="18">
        <v>0</v>
      </c>
      <c r="J534" s="18">
        <v>0</v>
      </c>
      <c r="K534" s="18">
        <v>0</v>
      </c>
      <c r="L534" s="69">
        <f>SUM(F534:K534)</f>
        <v>209010.6</v>
      </c>
      <c r="M534" s="8"/>
      <c r="N534" s="164"/>
    </row>
    <row r="535" spans="1:14" s="3" customFormat="1" ht="12.2" customHeight="1" thickTop="1" x14ac:dyDescent="0.15">
      <c r="A535" s="97" t="s">
        <v>67</v>
      </c>
      <c r="B535" s="41">
        <v>21</v>
      </c>
      <c r="C535" s="41">
        <v>12</v>
      </c>
      <c r="D535" s="115" t="s">
        <v>432</v>
      </c>
      <c r="E535" s="41"/>
      <c r="F535" s="70">
        <f>SUM(F532:F534)</f>
        <v>447344.2</v>
      </c>
      <c r="G535" s="70">
        <f t="shared" ref="G535:L535" si="38">SUM(G532:G534)</f>
        <v>256682.97</v>
      </c>
      <c r="H535" s="70">
        <f t="shared" si="38"/>
        <v>6464.9699999999993</v>
      </c>
      <c r="I535" s="70">
        <f t="shared" si="38"/>
        <v>130</v>
      </c>
      <c r="J535" s="70">
        <f t="shared" si="38"/>
        <v>0</v>
      </c>
      <c r="K535" s="70">
        <f t="shared" si="38"/>
        <v>987.83</v>
      </c>
      <c r="L535" s="70">
        <f t="shared" si="38"/>
        <v>711609.97</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17525.5</v>
      </c>
      <c r="I537" s="18">
        <v>0</v>
      </c>
      <c r="J537" s="18">
        <v>0</v>
      </c>
      <c r="K537" s="18">
        <v>0</v>
      </c>
      <c r="L537" s="69">
        <f>SUM(F537:K537)</f>
        <v>17525.5</v>
      </c>
      <c r="M537" s="8"/>
      <c r="N537" s="164"/>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4"/>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17525.5</v>
      </c>
      <c r="I540" s="70">
        <f t="shared" si="39"/>
        <v>0</v>
      </c>
      <c r="J540" s="70">
        <f t="shared" si="39"/>
        <v>0</v>
      </c>
      <c r="K540" s="70">
        <f t="shared" si="39"/>
        <v>0</v>
      </c>
      <c r="L540" s="70">
        <f t="shared" si="39"/>
        <v>17525.5</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0</v>
      </c>
      <c r="G542" s="18">
        <v>0</v>
      </c>
      <c r="H542" s="18">
        <v>335676.64</v>
      </c>
      <c r="I542" s="18">
        <v>0</v>
      </c>
      <c r="J542" s="18">
        <v>0</v>
      </c>
      <c r="K542" s="18">
        <v>0</v>
      </c>
      <c r="L542" s="69">
        <f>SUM(F542:K542)</f>
        <v>335676.64</v>
      </c>
      <c r="M542" s="8"/>
      <c r="N542" s="164"/>
    </row>
    <row r="543" spans="1:14" s="3" customFormat="1" ht="12.2" customHeight="1" x14ac:dyDescent="0.15">
      <c r="A543" s="21" t="s">
        <v>634</v>
      </c>
      <c r="B543" s="22">
        <v>21</v>
      </c>
      <c r="C543" s="22">
        <v>18</v>
      </c>
      <c r="D543" s="2" t="s">
        <v>432</v>
      </c>
      <c r="E543" s="22"/>
      <c r="F543" s="18">
        <v>0</v>
      </c>
      <c r="G543" s="18">
        <v>0</v>
      </c>
      <c r="H543" s="18">
        <v>360082.41</v>
      </c>
      <c r="I543" s="18">
        <v>0</v>
      </c>
      <c r="J543" s="18">
        <v>0</v>
      </c>
      <c r="K543" s="18">
        <v>0</v>
      </c>
      <c r="L543" s="69">
        <f>SUM(F543:K543)</f>
        <v>360082.41</v>
      </c>
      <c r="M543" s="8"/>
      <c r="N543" s="164"/>
    </row>
    <row r="544" spans="1:14" s="3" customFormat="1" ht="12.2" customHeight="1" thickBot="1" x14ac:dyDescent="0.2">
      <c r="A544" s="21" t="s">
        <v>635</v>
      </c>
      <c r="B544" s="22">
        <v>21</v>
      </c>
      <c r="C544" s="22">
        <v>19</v>
      </c>
      <c r="D544" s="2" t="s">
        <v>432</v>
      </c>
      <c r="E544" s="22"/>
      <c r="F544" s="18">
        <v>0</v>
      </c>
      <c r="G544" s="18">
        <v>0</v>
      </c>
      <c r="H544" s="18">
        <v>462720.53</v>
      </c>
      <c r="I544" s="18">
        <v>0</v>
      </c>
      <c r="J544" s="18">
        <v>0</v>
      </c>
      <c r="K544" s="18">
        <v>0</v>
      </c>
      <c r="L544" s="69">
        <f>SUM(F544:K544)</f>
        <v>462720.53</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1158479.58</v>
      </c>
      <c r="I545" s="140">
        <f t="shared" si="40"/>
        <v>0</v>
      </c>
      <c r="J545" s="140">
        <f t="shared" si="40"/>
        <v>0</v>
      </c>
      <c r="K545" s="140">
        <f t="shared" si="40"/>
        <v>0</v>
      </c>
      <c r="L545" s="140">
        <f t="shared" si="40"/>
        <v>1158479.58</v>
      </c>
      <c r="M545" s="8"/>
      <c r="N545" s="164"/>
    </row>
    <row r="546" spans="1:14" s="3" customFormat="1" ht="12.2" customHeight="1" thickTop="1" x14ac:dyDescent="0.15">
      <c r="A546" s="75" t="s">
        <v>72</v>
      </c>
      <c r="B546" s="41">
        <v>21</v>
      </c>
      <c r="C546" s="41">
        <v>21</v>
      </c>
      <c r="D546" s="115" t="s">
        <v>432</v>
      </c>
      <c r="E546" s="41"/>
      <c r="F546" s="70">
        <f>F525+F530+F535+F540+F545</f>
        <v>7659799.3499999996</v>
      </c>
      <c r="G546" s="70">
        <f t="shared" ref="G546:L546" si="41">G525+G530+G535+G540+G545</f>
        <v>3790701.28</v>
      </c>
      <c r="H546" s="70">
        <f t="shared" si="41"/>
        <v>5886860.6100000003</v>
      </c>
      <c r="I546" s="70">
        <f t="shared" si="41"/>
        <v>50885.51</v>
      </c>
      <c r="J546" s="70">
        <f t="shared" si="41"/>
        <v>2901.33</v>
      </c>
      <c r="K546" s="70">
        <f t="shared" si="41"/>
        <v>2698.63</v>
      </c>
      <c r="L546" s="70">
        <f t="shared" si="41"/>
        <v>17393846.710000001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4657418.1600000011</v>
      </c>
      <c r="G550" s="69">
        <f>L527</f>
        <v>1974308.0553999997</v>
      </c>
      <c r="H550" s="69">
        <f>L532</f>
        <v>361050.85000000003</v>
      </c>
      <c r="I550" s="69">
        <f>L537</f>
        <v>17525.5</v>
      </c>
      <c r="J550" s="69">
        <f>L542</f>
        <v>335676.64</v>
      </c>
      <c r="K550" s="69">
        <f>SUM(F550:J550)</f>
        <v>7345979.2054000003</v>
      </c>
      <c r="L550" s="23" t="s">
        <v>288</v>
      </c>
      <c r="M550" s="8"/>
      <c r="N550" s="164"/>
    </row>
    <row r="551" spans="1:14" s="3" customFormat="1" ht="12.2" customHeight="1" x14ac:dyDescent="0.15">
      <c r="A551" s="21" t="s">
        <v>634</v>
      </c>
      <c r="B551" s="22">
        <v>21</v>
      </c>
      <c r="C551" s="22">
        <v>23</v>
      </c>
      <c r="D551" s="2" t="s">
        <v>432</v>
      </c>
      <c r="E551" s="22"/>
      <c r="F551" s="69">
        <f>L523</f>
        <v>3464868.3599999994</v>
      </c>
      <c r="G551" s="69">
        <f>L528</f>
        <v>693755.9439999999</v>
      </c>
      <c r="H551" s="69">
        <f>L533</f>
        <v>141548.51999999999</v>
      </c>
      <c r="I551" s="69">
        <f>L538</f>
        <v>0</v>
      </c>
      <c r="J551" s="69">
        <f>L543</f>
        <v>360082.41</v>
      </c>
      <c r="K551" s="69">
        <f>SUM(F551:J551)</f>
        <v>4660255.2339999992</v>
      </c>
      <c r="L551" s="23" t="s">
        <v>288</v>
      </c>
      <c r="M551" s="8"/>
      <c r="N551" s="164"/>
    </row>
    <row r="552" spans="1:14" s="3" customFormat="1" ht="12.2" customHeight="1" thickBot="1" x14ac:dyDescent="0.2">
      <c r="A552" s="21" t="s">
        <v>635</v>
      </c>
      <c r="B552" s="22">
        <v>21</v>
      </c>
      <c r="C552" s="22">
        <v>24</v>
      </c>
      <c r="D552" s="2" t="s">
        <v>432</v>
      </c>
      <c r="E552" s="22"/>
      <c r="F552" s="69">
        <f>L524</f>
        <v>3948060.9699999997</v>
      </c>
      <c r="G552" s="69">
        <f>L529</f>
        <v>767820.17059999995</v>
      </c>
      <c r="H552" s="69">
        <f>L534</f>
        <v>209010.6</v>
      </c>
      <c r="I552" s="69">
        <f>L539</f>
        <v>0</v>
      </c>
      <c r="J552" s="69">
        <f>L544</f>
        <v>462720.53</v>
      </c>
      <c r="K552" s="69">
        <f>SUM(F552:J552)</f>
        <v>5387612.2705999995</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12070347.49</v>
      </c>
      <c r="G553" s="70">
        <f t="shared" si="42"/>
        <v>3435884.1699999995</v>
      </c>
      <c r="H553" s="70">
        <f t="shared" si="42"/>
        <v>711609.97</v>
      </c>
      <c r="I553" s="70">
        <f t="shared" si="42"/>
        <v>17525.5</v>
      </c>
      <c r="J553" s="70">
        <f t="shared" si="42"/>
        <v>1158479.58</v>
      </c>
      <c r="K553" s="70">
        <f t="shared" si="42"/>
        <v>17393846.709999997</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183855.9</v>
      </c>
      <c r="G563" s="18">
        <v>102434.24999999999</v>
      </c>
      <c r="H563" s="18">
        <v>2117.88</v>
      </c>
      <c r="I563" s="18">
        <v>1375.22</v>
      </c>
      <c r="J563" s="18">
        <v>249.8</v>
      </c>
      <c r="K563" s="18">
        <v>0</v>
      </c>
      <c r="L563" s="69">
        <f>SUM(F563:K563)</f>
        <v>290033.04999999993</v>
      </c>
      <c r="M563" s="8"/>
      <c r="N563" s="164"/>
    </row>
    <row r="564" spans="1:14" s="3" customFormat="1" ht="12.2" customHeight="1" x14ac:dyDescent="0.15">
      <c r="A564" s="21" t="s">
        <v>634</v>
      </c>
      <c r="B564" s="22">
        <v>22</v>
      </c>
      <c r="C564" s="22">
        <v>6</v>
      </c>
      <c r="D564" s="2" t="s">
        <v>432</v>
      </c>
      <c r="E564" s="22"/>
      <c r="F564" s="18">
        <v>23799.85</v>
      </c>
      <c r="G564" s="18">
        <v>19535.809999999998</v>
      </c>
      <c r="H564" s="18">
        <v>254.62</v>
      </c>
      <c r="I564" s="18">
        <v>0</v>
      </c>
      <c r="J564" s="18">
        <v>0</v>
      </c>
      <c r="K564" s="18">
        <v>0</v>
      </c>
      <c r="L564" s="69">
        <f>SUM(F564:K564)</f>
        <v>43590.28</v>
      </c>
      <c r="M564" s="8"/>
      <c r="N564" s="164"/>
    </row>
    <row r="565" spans="1:14" s="3" customFormat="1" ht="12.2" customHeight="1" thickBot="1" x14ac:dyDescent="0.2">
      <c r="A565" s="21" t="s">
        <v>635</v>
      </c>
      <c r="B565" s="22">
        <v>22</v>
      </c>
      <c r="C565" s="22">
        <v>7</v>
      </c>
      <c r="D565" s="2" t="s">
        <v>432</v>
      </c>
      <c r="E565" s="22"/>
      <c r="F565" s="18">
        <v>23800.17</v>
      </c>
      <c r="G565" s="18">
        <v>19536.789999999997</v>
      </c>
      <c r="H565" s="18">
        <v>0</v>
      </c>
      <c r="I565" s="18">
        <v>0</v>
      </c>
      <c r="J565" s="18">
        <v>0</v>
      </c>
      <c r="K565" s="18">
        <v>0</v>
      </c>
      <c r="L565" s="69">
        <f>SUM(F565:K565)</f>
        <v>43336.959999999992</v>
      </c>
      <c r="M565" s="8"/>
      <c r="N565" s="164"/>
    </row>
    <row r="566" spans="1:14" s="3" customFormat="1" ht="12.2" customHeight="1" thickTop="1" x14ac:dyDescent="0.15">
      <c r="A566" s="97" t="s">
        <v>65</v>
      </c>
      <c r="B566" s="41">
        <v>22</v>
      </c>
      <c r="C566" s="41">
        <v>8</v>
      </c>
      <c r="D566" s="115" t="s">
        <v>432</v>
      </c>
      <c r="E566" s="41"/>
      <c r="F566" s="70">
        <f t="shared" ref="F566:L566" si="44">SUM(F563:F565)</f>
        <v>231455.91999999998</v>
      </c>
      <c r="G566" s="70">
        <f t="shared" si="44"/>
        <v>141506.84999999998</v>
      </c>
      <c r="H566" s="70">
        <f t="shared" si="44"/>
        <v>2372.5</v>
      </c>
      <c r="I566" s="70">
        <f t="shared" si="44"/>
        <v>1375.22</v>
      </c>
      <c r="J566" s="70">
        <f t="shared" si="44"/>
        <v>249.8</v>
      </c>
      <c r="K566" s="70">
        <f t="shared" si="44"/>
        <v>0</v>
      </c>
      <c r="L566" s="70">
        <f t="shared" si="44"/>
        <v>376960.28999999992</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4"/>
    </row>
    <row r="569" spans="1:14" s="3" customFormat="1" ht="12.2" customHeight="1" x14ac:dyDescent="0.15">
      <c r="A569" s="21" t="s">
        <v>634</v>
      </c>
      <c r="B569" s="22">
        <v>22</v>
      </c>
      <c r="C569" s="22">
        <v>10</v>
      </c>
      <c r="D569" s="2" t="s">
        <v>432</v>
      </c>
      <c r="E569" s="22"/>
      <c r="F569" s="18">
        <v>56674.879999999997</v>
      </c>
      <c r="G569" s="18">
        <v>41566.44</v>
      </c>
      <c r="H569" s="18">
        <v>1980.22</v>
      </c>
      <c r="I569" s="18">
        <v>4056.72</v>
      </c>
      <c r="J569" s="18">
        <v>0</v>
      </c>
      <c r="K569" s="18">
        <v>616</v>
      </c>
      <c r="L569" s="69">
        <f>SUM(F569:K569)</f>
        <v>104894.26000000001</v>
      </c>
      <c r="M569" s="8"/>
      <c r="N569" s="164"/>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4"/>
    </row>
    <row r="571" spans="1:14" s="3" customFormat="1" ht="12.2" customHeight="1" thickTop="1" thickBot="1" x14ac:dyDescent="0.2">
      <c r="A571" s="93" t="s">
        <v>67</v>
      </c>
      <c r="B571" s="63">
        <v>22</v>
      </c>
      <c r="C571" s="63">
        <v>12</v>
      </c>
      <c r="D571" s="139" t="s">
        <v>432</v>
      </c>
      <c r="E571" s="63"/>
      <c r="F571" s="140">
        <f>SUM(F568:F570)</f>
        <v>56674.879999999997</v>
      </c>
      <c r="G571" s="140">
        <f t="shared" ref="G571:L571" si="45">SUM(G568:G570)</f>
        <v>41566.44</v>
      </c>
      <c r="H571" s="140">
        <f t="shared" si="45"/>
        <v>1980.22</v>
      </c>
      <c r="I571" s="140">
        <f t="shared" si="45"/>
        <v>4056.72</v>
      </c>
      <c r="J571" s="140">
        <f t="shared" si="45"/>
        <v>0</v>
      </c>
      <c r="K571" s="140">
        <f t="shared" si="45"/>
        <v>616</v>
      </c>
      <c r="L571" s="140">
        <f t="shared" si="45"/>
        <v>104894.26000000001</v>
      </c>
      <c r="M571" s="8"/>
      <c r="N571" s="164"/>
    </row>
    <row r="572" spans="1:14" s="3" customFormat="1" ht="12.2" customHeight="1" thickTop="1" x14ac:dyDescent="0.15">
      <c r="A572" s="75" t="s">
        <v>88</v>
      </c>
      <c r="B572" s="41">
        <v>22</v>
      </c>
      <c r="C572" s="41">
        <v>13</v>
      </c>
      <c r="D572" s="115" t="s">
        <v>432</v>
      </c>
      <c r="E572" s="41"/>
      <c r="F572" s="70">
        <f>F561+F566+F571</f>
        <v>288130.8</v>
      </c>
      <c r="G572" s="70">
        <f t="shared" ref="G572:L572" si="46">G561+G566+G571</f>
        <v>183073.28999999998</v>
      </c>
      <c r="H572" s="70">
        <f t="shared" si="46"/>
        <v>4352.72</v>
      </c>
      <c r="I572" s="70">
        <f t="shared" si="46"/>
        <v>5431.94</v>
      </c>
      <c r="J572" s="70">
        <f t="shared" si="46"/>
        <v>249.8</v>
      </c>
      <c r="K572" s="70">
        <f t="shared" si="46"/>
        <v>616</v>
      </c>
      <c r="L572" s="70">
        <f t="shared" si="46"/>
        <v>481854.54999999993</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141665.32999999999</v>
      </c>
      <c r="G580" s="18">
        <v>0</v>
      </c>
      <c r="H580" s="18">
        <v>43047.9</v>
      </c>
      <c r="I580" s="69">
        <f t="shared" si="47"/>
        <v>184713.22999999998</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478503.8</v>
      </c>
      <c r="G583" s="18">
        <v>1539034.51</v>
      </c>
      <c r="H583" s="18">
        <v>1591814.45</v>
      </c>
      <c r="I583" s="69">
        <f t="shared" si="47"/>
        <v>3609352.76</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7705.36</v>
      </c>
      <c r="I585" s="69">
        <f t="shared" si="47"/>
        <v>7705.36</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0" t="s">
        <v>677</v>
      </c>
      <c r="B588" s="58">
        <v>22</v>
      </c>
      <c r="C588" s="58">
        <v>26</v>
      </c>
      <c r="D588" s="52" t="s">
        <v>432</v>
      </c>
      <c r="E588" s="58">
        <v>564</v>
      </c>
      <c r="F588" s="53"/>
      <c r="G588" s="53"/>
      <c r="H588" s="53"/>
      <c r="I588" s="311">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620169.13</v>
      </c>
      <c r="G589" s="79">
        <f t="shared" ref="G589:I589" si="48">SUM(G576:G588)</f>
        <v>1539034.51</v>
      </c>
      <c r="H589" s="79">
        <f t="shared" si="48"/>
        <v>1642567.71</v>
      </c>
      <c r="I589" s="79">
        <f t="shared" si="48"/>
        <v>3801771.3499999996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274998.09999999998</v>
      </c>
      <c r="I592" s="18">
        <v>216981.61</v>
      </c>
      <c r="J592" s="18">
        <v>336109.08</v>
      </c>
      <c r="K592" s="80">
        <f t="shared" ref="K592:K598" si="49">SUM(H592:J592)</f>
        <v>828088.79</v>
      </c>
      <c r="L592" s="23" t="s">
        <v>288</v>
      </c>
      <c r="M592" s="8"/>
      <c r="N592" s="164"/>
    </row>
    <row r="593" spans="1:14" s="3" customFormat="1" ht="12.2" customHeight="1" x14ac:dyDescent="0.15">
      <c r="A593" s="3" t="s">
        <v>638</v>
      </c>
      <c r="B593" s="22">
        <v>23</v>
      </c>
      <c r="C593" s="22">
        <v>2</v>
      </c>
      <c r="D593" s="2" t="s">
        <v>432</v>
      </c>
      <c r="E593" s="22"/>
      <c r="F593" s="78">
        <v>2722</v>
      </c>
      <c r="G593" s="79" t="s">
        <v>97</v>
      </c>
      <c r="H593" s="18">
        <v>335676.64</v>
      </c>
      <c r="I593" s="18">
        <f>357202.66+1470.39+317.71</f>
        <v>358990.76</v>
      </c>
      <c r="J593" s="18">
        <v>454374.53</v>
      </c>
      <c r="K593" s="80">
        <f t="shared" si="49"/>
        <v>1149041.9300000002</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15204.3</v>
      </c>
      <c r="K594" s="80">
        <f t="shared" si="49"/>
        <v>15204.3</v>
      </c>
      <c r="L594" s="23" t="s">
        <v>288</v>
      </c>
      <c r="M594" s="8"/>
      <c r="N594" s="164"/>
    </row>
    <row r="595" spans="1:14" s="3" customFormat="1" ht="12.2" customHeight="1" x14ac:dyDescent="0.15">
      <c r="A595" s="21" t="s">
        <v>640</v>
      </c>
      <c r="B595" s="22">
        <v>23</v>
      </c>
      <c r="C595" s="22">
        <v>4</v>
      </c>
      <c r="D595" s="2" t="s">
        <v>432</v>
      </c>
      <c r="E595" s="22"/>
      <c r="F595" s="78">
        <v>2724</v>
      </c>
      <c r="G595" s="79" t="s">
        <v>97</v>
      </c>
      <c r="H595" s="18">
        <v>0</v>
      </c>
      <c r="I595" s="18">
        <v>21546.959999999999</v>
      </c>
      <c r="J595" s="18">
        <v>283636.37</v>
      </c>
      <c r="K595" s="80">
        <f t="shared" si="49"/>
        <v>305183.33</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23453.37</v>
      </c>
      <c r="I596" s="18">
        <v>16715.900000000001</v>
      </c>
      <c r="J596" s="18">
        <v>29754.440000000002</v>
      </c>
      <c r="K596" s="80">
        <f t="shared" si="49"/>
        <v>69923.710000000006</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634128.11</v>
      </c>
      <c r="I599" s="81">
        <f>SUM(I592:I598)</f>
        <v>614235.23</v>
      </c>
      <c r="J599" s="81">
        <f>SUM(J592:J598)</f>
        <v>1119078.7200000002</v>
      </c>
      <c r="K599" s="81">
        <f>SUM(K592:K598)</f>
        <v>2367442.06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296304.15000000002</v>
      </c>
      <c r="I605" s="18">
        <v>226824.90000000002</v>
      </c>
      <c r="J605" s="18">
        <v>798485.1</v>
      </c>
      <c r="K605" s="80">
        <f>SUM(H605:J605)</f>
        <v>1321614.1499999999</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296304.15000000002</v>
      </c>
      <c r="I606" s="81">
        <f>SUM(I603:I605)</f>
        <v>226824.90000000002</v>
      </c>
      <c r="J606" s="81">
        <f>SUM(J603:J605)</f>
        <v>798485.1</v>
      </c>
      <c r="K606" s="81">
        <f>SUM(K603:K605)</f>
        <v>1321614.1499999999</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33264.520000000004</v>
      </c>
      <c r="G612" s="18">
        <v>7238.4699999999993</v>
      </c>
      <c r="H612" s="18">
        <v>17432.080000000002</v>
      </c>
      <c r="I612" s="18">
        <v>2158.9</v>
      </c>
      <c r="J612" s="18">
        <v>0</v>
      </c>
      <c r="K612" s="18">
        <v>1845.22</v>
      </c>
      <c r="L612" s="69">
        <f>SUM(F612:K612)</f>
        <v>61939.19000000001</v>
      </c>
      <c r="M612" s="8"/>
      <c r="N612" s="164"/>
    </row>
    <row r="613" spans="1:14" s="3" customFormat="1" ht="12.2" customHeight="1" x14ac:dyDescent="0.15">
      <c r="A613" s="21" t="s">
        <v>634</v>
      </c>
      <c r="B613" s="22">
        <v>23</v>
      </c>
      <c r="C613" s="22">
        <v>14</v>
      </c>
      <c r="D613" s="2" t="s">
        <v>432</v>
      </c>
      <c r="E613" s="22"/>
      <c r="F613" s="18">
        <v>3450</v>
      </c>
      <c r="G613" s="18">
        <v>956.11</v>
      </c>
      <c r="H613" s="18">
        <v>0</v>
      </c>
      <c r="I613" s="18">
        <v>0</v>
      </c>
      <c r="J613" s="18">
        <v>0</v>
      </c>
      <c r="K613" s="18">
        <v>0</v>
      </c>
      <c r="L613" s="69">
        <f>SUM(F613:K613)</f>
        <v>4406.1099999999997</v>
      </c>
      <c r="M613" s="8"/>
      <c r="N613" s="164"/>
    </row>
    <row r="614" spans="1:14" s="3" customFormat="1" ht="12.2" customHeight="1" thickBot="1" x14ac:dyDescent="0.2">
      <c r="A614" s="21" t="s">
        <v>645</v>
      </c>
      <c r="B614" s="22">
        <v>23</v>
      </c>
      <c r="C614" s="22">
        <v>15</v>
      </c>
      <c r="D614" s="2" t="s">
        <v>432</v>
      </c>
      <c r="E614" s="22"/>
      <c r="F614" s="18">
        <v>0</v>
      </c>
      <c r="G614" s="18">
        <v>0</v>
      </c>
      <c r="H614" s="18">
        <v>0</v>
      </c>
      <c r="I614" s="18">
        <v>19.38</v>
      </c>
      <c r="J614" s="18">
        <v>0</v>
      </c>
      <c r="K614" s="18">
        <v>0</v>
      </c>
      <c r="L614" s="69">
        <f>SUM(F614:K614)</f>
        <v>19.38</v>
      </c>
      <c r="M614" s="8"/>
      <c r="N614" s="164"/>
    </row>
    <row r="615" spans="1:14" s="3" customFormat="1" ht="12.2" customHeight="1" thickTop="1" x14ac:dyDescent="0.15">
      <c r="A615" s="75" t="s">
        <v>340</v>
      </c>
      <c r="B615" s="41">
        <v>23</v>
      </c>
      <c r="C615" s="41">
        <v>16</v>
      </c>
      <c r="D615" s="36" t="s">
        <v>432</v>
      </c>
      <c r="E615" s="41"/>
      <c r="F615" s="81">
        <f t="shared" ref="F615:L615" si="50">SUM(F612:F614)</f>
        <v>36714.520000000004</v>
      </c>
      <c r="G615" s="81">
        <f t="shared" si="50"/>
        <v>8194.58</v>
      </c>
      <c r="H615" s="81">
        <f t="shared" si="50"/>
        <v>17432.080000000002</v>
      </c>
      <c r="I615" s="81">
        <f t="shared" si="50"/>
        <v>2178.2800000000002</v>
      </c>
      <c r="J615" s="81">
        <f t="shared" si="50"/>
        <v>0</v>
      </c>
      <c r="K615" s="81">
        <f t="shared" si="50"/>
        <v>1845.22</v>
      </c>
      <c r="L615" s="70">
        <f t="shared" si="50"/>
        <v>66364.680000000008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10956996.190000001</v>
      </c>
      <c r="H618" s="80">
        <f>SUM(F52)</f>
        <v>10956996.189999999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512111.05999999994</v>
      </c>
      <c r="H619" s="80">
        <f>SUM(G52)</f>
        <v>512111.06</v>
      </c>
      <c r="I619" s="87" t="s">
        <v>872</v>
      </c>
      <c r="J619" s="80">
        <f>G619-H619</f>
        <v>0</v>
      </c>
      <c r="K619" s="80"/>
      <c r="L619" s="80"/>
      <c r="M619" s="8"/>
    </row>
    <row r="620" spans="1:14" s="3" customFormat="1" ht="12.2" customHeight="1" x14ac:dyDescent="0.15">
      <c r="A620" s="74"/>
      <c r="B620" s="22"/>
      <c r="C620" s="22"/>
      <c r="D620" s="22"/>
      <c r="E620" s="22"/>
      <c r="F620" s="87" t="s">
        <v>685</v>
      </c>
      <c r="G620" s="80">
        <f>SUM(H19)</f>
        <v>1465219.47</v>
      </c>
      <c r="H620" s="80">
        <f>SUM(H52)</f>
        <v>1465219.4699999997</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1675108.25</v>
      </c>
      <c r="H622" s="80">
        <f>SUM(J52)</f>
        <v>1675108.25</v>
      </c>
      <c r="I622" s="87" t="s">
        <v>875</v>
      </c>
      <c r="J622" s="80">
        <f>G622-H622</f>
        <v>0</v>
      </c>
      <c r="K622" s="80"/>
      <c r="L622" s="80"/>
      <c r="M622" s="8"/>
    </row>
    <row r="623" spans="1:14" s="3" customFormat="1" ht="12.2" customHeight="1" x14ac:dyDescent="0.15">
      <c r="A623" s="74"/>
      <c r="B623" s="22"/>
      <c r="C623" s="22"/>
      <c r="D623" s="22"/>
      <c r="E623" s="22"/>
      <c r="F623" s="87" t="s">
        <v>861</v>
      </c>
      <c r="G623" s="80">
        <f>F51</f>
        <v>8032263.8399999999</v>
      </c>
      <c r="H623" s="80">
        <f>F477</f>
        <v>8032263.8399999961</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474540.45</v>
      </c>
      <c r="H624" s="80">
        <f>G477</f>
        <v>474540.44999999995</v>
      </c>
      <c r="I624" s="87" t="s">
        <v>102</v>
      </c>
      <c r="J624" s="80">
        <f t="shared" si="51"/>
        <v>0</v>
      </c>
      <c r="K624" s="80"/>
      <c r="L624" s="80"/>
      <c r="M624" s="8"/>
    </row>
    <row r="625" spans="1:13" s="3" customFormat="1" ht="12.2" customHeight="1" x14ac:dyDescent="0.15">
      <c r="A625" s="74"/>
      <c r="B625" s="22"/>
      <c r="C625" s="22"/>
      <c r="D625" s="22"/>
      <c r="E625" s="22"/>
      <c r="F625" s="86" t="s">
        <v>863</v>
      </c>
      <c r="G625" s="80">
        <f>H51</f>
        <v>-16614.95000000007</v>
      </c>
      <c r="H625" s="80">
        <f>H477</f>
        <v>-16614.950000000186</v>
      </c>
      <c r="I625" s="87" t="s">
        <v>103</v>
      </c>
      <c r="J625" s="80">
        <f t="shared" si="51"/>
        <v>1.1641532182693481E-10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1675108.25</v>
      </c>
      <c r="H627" s="80">
        <f>J477</f>
        <v>1675108.25</v>
      </c>
      <c r="I627" s="87" t="s">
        <v>105</v>
      </c>
      <c r="J627" s="80">
        <f t="shared" si="51"/>
        <v>0</v>
      </c>
      <c r="K627" s="67"/>
      <c r="L627" s="69"/>
      <c r="M627" s="8"/>
    </row>
    <row r="628" spans="1:13" s="3" customFormat="1" ht="12.2" customHeight="1" x14ac:dyDescent="0.15">
      <c r="A628" s="21"/>
      <c r="B628" s="22"/>
      <c r="C628" s="22"/>
      <c r="D628" s="22"/>
      <c r="E628" s="22"/>
      <c r="F628" s="86" t="s">
        <v>658</v>
      </c>
      <c r="G628" s="80">
        <f>F194</f>
        <v>66712992.279999994</v>
      </c>
      <c r="H628" s="80">
        <f>SUM(F469)</f>
        <v>66712992.279999994</v>
      </c>
      <c r="I628" s="87" t="s">
        <v>106</v>
      </c>
      <c r="J628" s="80">
        <f>G628-H628</f>
        <v>0</v>
      </c>
      <c r="K628" s="67"/>
      <c r="L628" s="69"/>
      <c r="M628" s="8"/>
    </row>
    <row r="629" spans="1:13" s="3" customFormat="1" ht="12.2" customHeight="1" x14ac:dyDescent="0.15">
      <c r="A629" s="21"/>
      <c r="B629" s="22"/>
      <c r="C629" s="22"/>
      <c r="D629" s="22"/>
      <c r="E629" s="22"/>
      <c r="F629" s="86" t="s">
        <v>659</v>
      </c>
      <c r="G629" s="80">
        <f>G194</f>
        <v>1871764.9700000002</v>
      </c>
      <c r="H629" s="80">
        <f>SUM(G469)</f>
        <v>1871764.9700000002</v>
      </c>
      <c r="I629" s="87" t="s">
        <v>107</v>
      </c>
      <c r="J629" s="80">
        <f>G629-H629</f>
        <v>0</v>
      </c>
      <c r="K629" s="67"/>
      <c r="L629" s="69"/>
      <c r="M629" s="8"/>
    </row>
    <row r="630" spans="1:13" s="3" customFormat="1" ht="12.2" customHeight="1" x14ac:dyDescent="0.15">
      <c r="A630" s="21"/>
      <c r="B630" s="22"/>
      <c r="C630" s="22"/>
      <c r="D630" s="22"/>
      <c r="E630" s="22"/>
      <c r="F630" s="86" t="s">
        <v>660</v>
      </c>
      <c r="G630" s="80">
        <f>H194</f>
        <v>5448349.5599999987</v>
      </c>
      <c r="H630" s="80">
        <f>SUM(H469)</f>
        <v>5448349.5599999996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87761.62</v>
      </c>
      <c r="H632" s="80">
        <f>SUM(J469)</f>
        <v>87761.62</v>
      </c>
      <c r="I632" s="87" t="s">
        <v>110</v>
      </c>
      <c r="J632" s="80">
        <f>G632-H632</f>
        <v>0</v>
      </c>
      <c r="K632" s="67"/>
      <c r="L632" s="69"/>
      <c r="M632" s="8"/>
    </row>
    <row r="633" spans="1:13" s="3" customFormat="1" ht="12.2" customHeight="1" x14ac:dyDescent="0.15">
      <c r="A633" s="21"/>
      <c r="B633" s="22"/>
      <c r="C633" s="22"/>
      <c r="D633" s="22"/>
      <c r="E633" s="22"/>
      <c r="F633" s="86" t="s">
        <v>394</v>
      </c>
      <c r="G633" s="80">
        <f>SUM(L272)</f>
        <v>66578363.869999982</v>
      </c>
      <c r="H633" s="80">
        <f>SUM(F473)</f>
        <v>66578363.869999997</v>
      </c>
      <c r="I633" s="87" t="s">
        <v>111</v>
      </c>
      <c r="J633" s="80">
        <f t="shared" si="51"/>
        <v>0</v>
      </c>
      <c r="K633" s="67"/>
      <c r="L633" s="69"/>
      <c r="M633" s="8"/>
    </row>
    <row r="634" spans="1:13" s="3" customFormat="1" ht="12.2" customHeight="1" x14ac:dyDescent="0.15">
      <c r="A634" s="21"/>
      <c r="B634" s="22"/>
      <c r="C634" s="22"/>
      <c r="D634" s="22"/>
      <c r="E634" s="22"/>
      <c r="F634" s="86" t="s">
        <v>395</v>
      </c>
      <c r="G634" s="80">
        <f>SUM(L353)</f>
        <v>5566054.3300000001</v>
      </c>
      <c r="H634" s="80">
        <f>SUM(H473)</f>
        <v>5566054.3300000001</v>
      </c>
      <c r="I634" s="87" t="s">
        <v>112</v>
      </c>
      <c r="J634" s="80">
        <f>G634-H634</f>
        <v>0</v>
      </c>
      <c r="K634" s="67"/>
      <c r="L634" s="69"/>
      <c r="M634" s="8"/>
    </row>
    <row r="635" spans="1:13" s="124" customFormat="1" ht="12.2" customHeight="1" x14ac:dyDescent="0.15">
      <c r="A635" s="21"/>
      <c r="B635" s="22"/>
      <c r="C635" s="22"/>
      <c r="D635" s="22"/>
      <c r="E635" s="22"/>
      <c r="F635" s="99" t="s">
        <v>247</v>
      </c>
      <c r="G635" s="80">
        <f>I363</f>
        <v>1069836.2200000002</v>
      </c>
      <c r="H635" s="80">
        <f>I370</f>
        <v>1069836.22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2031959.6500000001</v>
      </c>
      <c r="H636" s="80">
        <f>SUM(G473)</f>
        <v>2031959.6500000001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87761.62</v>
      </c>
      <c r="H638" s="108">
        <f>SUM(J469)</f>
        <v>87761.62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1675108.25</v>
      </c>
      <c r="H641" s="80">
        <f>SUM(G462)</f>
        <v>1675108.25</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1675108.25</v>
      </c>
      <c r="H643" s="80">
        <f>SUM(I462)</f>
        <v>1675108.25</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87761.62</v>
      </c>
      <c r="H645" s="80">
        <f>H409</f>
        <v>87761.62</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87761.62</v>
      </c>
      <c r="H647" s="80">
        <f>L409</f>
        <v>87761.62</v>
      </c>
      <c r="I647" s="87" t="s">
        <v>477</v>
      </c>
      <c r="J647" s="80">
        <f t="shared" si="51"/>
        <v>0</v>
      </c>
      <c r="K647" s="67"/>
      <c r="L647" s="69"/>
      <c r="M647" s="8"/>
    </row>
    <row r="648" spans="1:13" s="3" customFormat="1" ht="12.2" customHeight="1" x14ac:dyDescent="0.15">
      <c r="A648" s="21"/>
      <c r="B648" s="22"/>
      <c r="C648" s="22"/>
      <c r="D648" s="22"/>
      <c r="E648" s="22"/>
      <c r="F648" s="86" t="s">
        <v>51</v>
      </c>
      <c r="G648" s="80">
        <f>K599</f>
        <v>2367442.06</v>
      </c>
      <c r="H648" s="80">
        <f>L209+L227+L245</f>
        <v>2367442.06</v>
      </c>
      <c r="I648" s="87" t="s">
        <v>396</v>
      </c>
      <c r="J648" s="80">
        <f t="shared" si="51"/>
        <v>0</v>
      </c>
      <c r="K648" s="67"/>
      <c r="L648" s="69"/>
      <c r="M648" s="8"/>
    </row>
    <row r="649" spans="1:13" s="3" customFormat="1" ht="12.2" customHeight="1" x14ac:dyDescent="0.15">
      <c r="A649" s="21"/>
      <c r="B649" s="22"/>
      <c r="C649" s="22"/>
      <c r="D649" s="22"/>
      <c r="E649" s="22"/>
      <c r="F649" s="86" t="s">
        <v>52</v>
      </c>
      <c r="G649" s="80">
        <f>K606</f>
        <v>1321614.1499999999</v>
      </c>
      <c r="H649" s="80">
        <f>(J258+J339)-(J256+J337)</f>
        <v>1321614.1499999999</v>
      </c>
      <c r="I649" s="87" t="s">
        <v>699</v>
      </c>
      <c r="J649" s="80">
        <f t="shared" si="51"/>
        <v>0</v>
      </c>
      <c r="K649" s="67"/>
      <c r="L649" s="69"/>
      <c r="M649" s="8"/>
    </row>
    <row r="650" spans="1:13" s="3" customFormat="1" ht="12.2" customHeight="1" x14ac:dyDescent="0.15">
      <c r="A650" s="21"/>
      <c r="B650" s="22"/>
      <c r="C650" s="22"/>
      <c r="D650" s="22"/>
      <c r="E650" s="22"/>
      <c r="F650" s="86" t="s">
        <v>387</v>
      </c>
      <c r="G650" s="80">
        <f>L209</f>
        <v>634128.11</v>
      </c>
      <c r="H650" s="80">
        <f>H599</f>
        <v>634128.11</v>
      </c>
      <c r="I650" s="87" t="s">
        <v>388</v>
      </c>
      <c r="J650" s="80">
        <f t="shared" si="51"/>
        <v>0</v>
      </c>
      <c r="K650" s="67"/>
      <c r="L650" s="69"/>
      <c r="M650" s="8"/>
    </row>
    <row r="651" spans="1:13" s="3" customFormat="1" ht="12.2" customHeight="1" x14ac:dyDescent="0.15">
      <c r="A651" s="21"/>
      <c r="B651" s="22"/>
      <c r="C651" s="22"/>
      <c r="D651" s="22"/>
      <c r="E651" s="22"/>
      <c r="F651" s="86" t="s">
        <v>392</v>
      </c>
      <c r="G651" s="80">
        <f>L227</f>
        <v>614235.23</v>
      </c>
      <c r="H651" s="80">
        <f>I599</f>
        <v>614235.23</v>
      </c>
      <c r="I651" s="87" t="s">
        <v>389</v>
      </c>
      <c r="J651" s="80">
        <f t="shared" si="51"/>
        <v>0</v>
      </c>
      <c r="K651" s="67"/>
      <c r="L651" s="69"/>
      <c r="M651" s="8"/>
    </row>
    <row r="652" spans="1:13" s="3" customFormat="1" ht="12.2" customHeight="1" x14ac:dyDescent="0.15">
      <c r="A652" s="21"/>
      <c r="B652" s="22"/>
      <c r="C652" s="22"/>
      <c r="D652" s="22"/>
      <c r="E652" s="22"/>
      <c r="F652" s="86" t="s">
        <v>393</v>
      </c>
      <c r="G652" s="80">
        <f>L245</f>
        <v>1119078.7200000002</v>
      </c>
      <c r="H652" s="80">
        <f>J599</f>
        <v>1119078.7200000002</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25780564.191199992</v>
      </c>
      <c r="G661" s="13">
        <f>(L230+L310+L360)</f>
        <v>13858966.571999999</v>
      </c>
      <c r="H661" s="13">
        <f>(L248+L329+L361)</f>
        <v>26254197.366799995</v>
      </c>
      <c r="I661" s="13">
        <f>SUM(F661:H661)</f>
        <v>65893728.129999988</v>
      </c>
      <c r="J661" s="13"/>
      <c r="K661" s="13"/>
      <c r="L661" s="13"/>
      <c r="M661" s="9"/>
    </row>
    <row r="662" spans="1:13" s="3" customFormat="1" ht="12.2" customHeight="1" x14ac:dyDescent="0.2">
      <c r="A662" s="1" t="s">
        <v>127</v>
      </c>
      <c r="F662" s="13">
        <f>(L359/IF(SUM(L359:L361)=0,1,SUM(L359:L361))*(SUM(G97:G110)))</f>
        <v>257933.40581226815</v>
      </c>
      <c r="G662" s="13">
        <f>(L360/IF(SUM(L359:L361)=0,1,SUM(L359:L361))*(SUM(G97:G110)))</f>
        <v>210041.47237800335</v>
      </c>
      <c r="H662" s="13">
        <f>(L361/IF(SUM(L359:L361)=0,1,SUM(L359:L361))*(SUM(G97:G110)))</f>
        <v>524317.15180972847</v>
      </c>
      <c r="I662" s="13">
        <f>SUM(F662:H662)</f>
        <v>992292.03</v>
      </c>
      <c r="J662"/>
      <c r="K662" s="13"/>
      <c r="L662" s="13"/>
      <c r="M662" s="8"/>
    </row>
    <row r="663" spans="1:13" s="3" customFormat="1" ht="12.2" customHeight="1" x14ac:dyDescent="0.2">
      <c r="A663" s="1" t="s">
        <v>128</v>
      </c>
      <c r="F663" s="13">
        <f>(L209+L288)-(J209+J288)</f>
        <v>640733.54</v>
      </c>
      <c r="G663" s="13">
        <f>(L227+L307)-(J227+J307)</f>
        <v>614235.23</v>
      </c>
      <c r="H663" s="13">
        <f>(L245+L326)-(J245+J326)</f>
        <v>1119078.7200000002</v>
      </c>
      <c r="I663" s="13">
        <f>SUM(F663:H663)</f>
        <v>2374047.4900000002</v>
      </c>
      <c r="J663"/>
      <c r="K663" s="13"/>
      <c r="L663" s="13"/>
      <c r="M663" s="9"/>
    </row>
    <row r="664" spans="1:13" s="3" customFormat="1" ht="12.2" customHeight="1" x14ac:dyDescent="0.15">
      <c r="A664" s="141" t="s">
        <v>129</v>
      </c>
      <c r="B664" s="124"/>
      <c r="C664" s="124"/>
      <c r="D664" s="124"/>
      <c r="E664" s="124"/>
      <c r="F664" s="142">
        <f>SUM(F576:F588)+SUM(H603:H605)+SUM(L612)</f>
        <v>978412.47000000009</v>
      </c>
      <c r="G664" s="142">
        <f>SUM(G576:G588)+SUM(I603:I605)+L613</f>
        <v>1770265.5200000003</v>
      </c>
      <c r="H664" s="142">
        <f>SUM(H576:H588)+SUM(J603:J605)+L614</f>
        <v>2441072.19</v>
      </c>
      <c r="I664" s="13">
        <f>SUM(F664:H664)</f>
        <v>5189750.18</v>
      </c>
      <c r="J664" s="13"/>
      <c r="K664" s="13"/>
      <c r="L664" s="13"/>
      <c r="M664" s="9"/>
    </row>
    <row r="665" spans="1:13" s="3" customFormat="1" ht="12.2" customHeight="1" x14ac:dyDescent="0.15">
      <c r="A665" s="1" t="s">
        <v>130</v>
      </c>
      <c r="F665" s="13">
        <f>F661-SUM(F662:F664)</f>
        <v>23903484.775387723</v>
      </c>
      <c r="G665" s="13">
        <f>G661-SUM(G662:G664)</f>
        <v>11264424.349621996</v>
      </c>
      <c r="H665" s="13">
        <f>H661-SUM(H662:H664)</f>
        <v>22169729.304990266</v>
      </c>
      <c r="I665" s="13">
        <f>I661-SUM(I662:I664)</f>
        <v>57337638.429999992</v>
      </c>
      <c r="J665" s="13"/>
      <c r="K665" s="13"/>
      <c r="L665" s="13"/>
      <c r="M665" s="8"/>
    </row>
    <row r="666" spans="1:13" s="3" customFormat="1" ht="12.2" customHeight="1" x14ac:dyDescent="0.2">
      <c r="A666" s="1" t="s">
        <v>131</v>
      </c>
      <c r="F666" s="182">
        <v>1044.9100000000001</v>
      </c>
      <c r="G666" s="183">
        <v>600.36</v>
      </c>
      <c r="H666" s="183">
        <v>1299.49</v>
      </c>
      <c r="I666" s="13">
        <f>SUM(F666:H666)</f>
        <v>2944.76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22876.12</v>
      </c>
      <c r="G668" s="13">
        <f>ROUND(G665/G666,2)</f>
        <v>18762.78</v>
      </c>
      <c r="H668" s="13">
        <f>ROUND(H665/H666,2)</f>
        <v>17060.330000000002</v>
      </c>
      <c r="I668" s="13">
        <f>ROUND(I665/I666,2)</f>
        <v>19471.07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14.22</v>
      </c>
      <c r="I671" s="13">
        <f>SUM(F671:H671)</f>
        <v>14.22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22876.12</v>
      </c>
      <c r="G673" s="13">
        <f>ROUND((G665+G670)/(G666+G671),2)</f>
        <v>18762.78</v>
      </c>
      <c r="H673" s="13">
        <f>ROUND((H665+H670)/(H666+H671),2)</f>
        <v>16875.66</v>
      </c>
      <c r="I673" s="13">
        <f>ROUND((I665+I670)/(I666+I671),2)</f>
        <v>19377.5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RV9eNr9mWLcc7xWH88DPrCEWBumEdh9aErRB7V2w0gJJYR9WGUZcQiCIDLywkl4dfpB5j348GQrRquzfooLIpQ==" saltValue="QCXScnqS50v3AnX9feD5Q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264298.64999999997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134674.76999999999</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76978.98</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52644.9</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Keene</v>
      </c>
      <c r="C5" s="321"/>
      <c r="D5" s="321"/>
      <c r="E5" s="321"/>
      <c r="F5" s="321"/>
    </row>
    <row r="8" spans="1:9" ht="18" x14ac:dyDescent="0.25">
      <c r="A8" s="239" t="s">
        <v>1548</v>
      </c>
      <c r="F8" s="246" t="s">
        <v>1566</v>
      </c>
    </row>
    <row r="9" spans="1:9" ht="15" x14ac:dyDescent="0.2">
      <c r="A9" s="237" t="s">
        <v>1549</v>
      </c>
      <c r="B9" s="240">
        <f>'DOE25'!G97</f>
        <v>968967.03</v>
      </c>
      <c r="F9" s="237" t="s">
        <v>1562</v>
      </c>
    </row>
    <row r="10" spans="1:9" ht="15" x14ac:dyDescent="0.2">
      <c r="A10" s="237" t="s">
        <v>1550</v>
      </c>
      <c r="B10" s="240">
        <f>'DOE25'!G112-'DOE25'!G97</f>
        <v>23325</v>
      </c>
      <c r="F10" s="237" t="s">
        <v>1563</v>
      </c>
    </row>
    <row r="11" spans="1:9" ht="15" x14ac:dyDescent="0.2">
      <c r="A11" s="237" t="s">
        <v>1551</v>
      </c>
      <c r="B11" s="240">
        <f>'DOE25'!G140</f>
        <v>14405.89</v>
      </c>
      <c r="F11" s="237" t="s">
        <v>1564</v>
      </c>
    </row>
    <row r="12" spans="1:9" ht="15" x14ac:dyDescent="0.2">
      <c r="A12" s="237" t="s">
        <v>1552</v>
      </c>
      <c r="B12" s="240">
        <f>'DOE25'!G170</f>
        <v>865067.05</v>
      </c>
      <c r="F12" s="237" t="s">
        <v>1565</v>
      </c>
    </row>
    <row r="13" spans="1:9" ht="15" x14ac:dyDescent="0.2">
      <c r="A13" s="237" t="s">
        <v>1553</v>
      </c>
      <c r="B13" s="240">
        <f>'DOE25'!G193-'DOE25'!G180</f>
        <v>0</v>
      </c>
      <c r="F13" s="237" t="s">
        <v>1575</v>
      </c>
    </row>
    <row r="14" spans="1:9" ht="18" x14ac:dyDescent="0.25">
      <c r="A14" s="239" t="s">
        <v>732</v>
      </c>
      <c r="B14" s="241">
        <f>SUM(B9:B13)</f>
        <v>1871764.9700000002</v>
      </c>
    </row>
    <row r="16" spans="1:9" ht="18" x14ac:dyDescent="0.25">
      <c r="A16" s="239" t="s">
        <v>783</v>
      </c>
      <c r="F16" s="246" t="s">
        <v>1567</v>
      </c>
    </row>
    <row r="17" spans="1:6" ht="15" x14ac:dyDescent="0.2">
      <c r="A17" s="237" t="s">
        <v>1554</v>
      </c>
      <c r="B17" s="240">
        <f>'DOE25'!L363-'DOE25'!L362</f>
        <v>2031959.6500000001</v>
      </c>
      <c r="F17" s="237" t="s">
        <v>1568</v>
      </c>
    </row>
    <row r="18" spans="1:6" ht="15" x14ac:dyDescent="0.2">
      <c r="A18" s="237" t="s">
        <v>1555</v>
      </c>
      <c r="B18" s="250"/>
      <c r="F18" s="246" t="s">
        <v>1592</v>
      </c>
    </row>
    <row r="19" spans="1:6" ht="18" x14ac:dyDescent="0.25">
      <c r="A19" s="239" t="s">
        <v>725</v>
      </c>
      <c r="B19" s="241">
        <f>SUM(B17:B18)</f>
        <v>2031959.6500000001</v>
      </c>
    </row>
    <row r="21" spans="1:6" ht="18.75" thickBot="1" x14ac:dyDescent="0.3">
      <c r="A21" s="239" t="s">
        <v>1556</v>
      </c>
    </row>
    <row r="22" spans="1:6" ht="18.75" thickTop="1" x14ac:dyDescent="0.25">
      <c r="A22" s="239" t="s">
        <v>1557</v>
      </c>
      <c r="B22" s="245">
        <f>B14-B19</f>
        <v>-160194.67999999993</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634735.13</v>
      </c>
      <c r="F31" s="237" t="s">
        <v>1572</v>
      </c>
    </row>
    <row r="33" spans="1:6" ht="15" x14ac:dyDescent="0.2">
      <c r="A33" s="237" t="s">
        <v>1790</v>
      </c>
      <c r="B33" s="240">
        <f>'DOE25'!G477</f>
        <v>474540.44999999995</v>
      </c>
      <c r="F33" s="237" t="s">
        <v>1573</v>
      </c>
    </row>
    <row r="36" spans="1:6" ht="15" x14ac:dyDescent="0.2">
      <c r="A36" s="237" t="s">
        <v>1559</v>
      </c>
      <c r="B36" s="251">
        <f>81120.25+41627.2</f>
        <v>122747.45</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0" zoomScaleNormal="100"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Keene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14547157.020000001</v>
      </c>
      <c r="C9" s="166">
        <f>'DOE25'!G198+'DOE25'!G216+'DOE25'!G234+'DOE25'!G277+'DOE25'!G296+'DOE25'!G315</f>
        <v>7516104.1100000013</v>
      </c>
    </row>
    <row r="10" spans="1:3" x14ac:dyDescent="0.2">
      <c r="A10" t="s">
        <v>772</v>
      </c>
      <c r="B10" s="176">
        <v>12961274.109999999</v>
      </c>
      <c r="C10" s="176">
        <v>7228632.7385906801</v>
      </c>
    </row>
    <row r="11" spans="1:3" x14ac:dyDescent="0.2">
      <c r="A11" t="s">
        <v>773</v>
      </c>
      <c r="B11" s="176">
        <v>556390.80000000005</v>
      </c>
      <c r="C11" s="176">
        <v>287471.3714093251</v>
      </c>
    </row>
    <row r="12" spans="1:3" x14ac:dyDescent="0.2">
      <c r="A12" t="s">
        <v>774</v>
      </c>
      <c r="B12" s="176">
        <v>1029492.11</v>
      </c>
      <c r="C12" s="176"/>
    </row>
    <row r="13" spans="1:3" x14ac:dyDescent="0.2">
      <c r="A13" t="str">
        <f>IF(B9=B13,IF(C9=C13,"Check Total OK","Check Total Error"),"Check Total Error")</f>
        <v>Check Total OK</v>
      </c>
      <c r="B13" s="168">
        <f>SUM(B10:B12)</f>
        <v>14547157.02</v>
      </c>
      <c r="C13" s="168">
        <f>SUM(C10:C12)</f>
        <v>7516104.110000005</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5511308.5200000005</v>
      </c>
      <c r="C18" s="166">
        <f>'DOE25'!G199+'DOE25'!G217+'DOE25'!G235+'DOE25'!G278+'DOE25'!G297+'DOE25'!G316</f>
        <v>2676019.6600000006</v>
      </c>
    </row>
    <row r="19" spans="1:3" x14ac:dyDescent="0.2">
      <c r="A19" t="s">
        <v>772</v>
      </c>
      <c r="B19" s="176">
        <v>3364932.2899999996</v>
      </c>
      <c r="C19" s="176">
        <v>2015477.3254491882</v>
      </c>
    </row>
    <row r="20" spans="1:3" x14ac:dyDescent="0.2">
      <c r="A20" t="s">
        <v>773</v>
      </c>
      <c r="B20" s="176">
        <v>1360398.3000000003</v>
      </c>
      <c r="C20" s="176">
        <v>660542.33455081156</v>
      </c>
    </row>
    <row r="21" spans="1:3" x14ac:dyDescent="0.2">
      <c r="A21" t="s">
        <v>774</v>
      </c>
      <c r="B21" s="176">
        <v>785977.93</v>
      </c>
      <c r="C21" s="176"/>
    </row>
    <row r="22" spans="1:3" x14ac:dyDescent="0.2">
      <c r="A22" t="str">
        <f>IF(B18=B22,IF(C18=C22,"Check Total OK","Check Total Error"),"Check Total Error")</f>
        <v>Check Total OK</v>
      </c>
      <c r="B22" s="168">
        <f>SUM(B19:B21)</f>
        <v>5511308.5199999996</v>
      </c>
      <c r="C22" s="168">
        <f>SUM(C19:C21)</f>
        <v>2676019.6599999997</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840377.83000000007</v>
      </c>
      <c r="C27" s="171">
        <f>'DOE25'!G200+'DOE25'!G218+'DOE25'!G236+'DOE25'!G279+'DOE25'!G298+'DOE25'!G317</f>
        <v>410282.6</v>
      </c>
    </row>
    <row r="28" spans="1:3" x14ac:dyDescent="0.2">
      <c r="A28" t="s">
        <v>772</v>
      </c>
      <c r="B28" s="176">
        <v>777629.54</v>
      </c>
      <c r="C28" s="176">
        <v>379648.12744763144</v>
      </c>
    </row>
    <row r="29" spans="1:3" x14ac:dyDescent="0.2">
      <c r="A29" t="s">
        <v>773</v>
      </c>
      <c r="B29" s="176">
        <v>62748.29</v>
      </c>
      <c r="C29" s="176">
        <v>30634.472552368494</v>
      </c>
    </row>
    <row r="30" spans="1:3" x14ac:dyDescent="0.2">
      <c r="A30" t="s">
        <v>774</v>
      </c>
      <c r="B30" s="176">
        <v>0</v>
      </c>
      <c r="C30" s="176"/>
    </row>
    <row r="31" spans="1:3" x14ac:dyDescent="0.2">
      <c r="A31" t="str">
        <f>IF(B27=B31,IF(C27=C31,"Check Total OK","Check Total Error"),"Check Total Error")</f>
        <v>Check Total OK</v>
      </c>
      <c r="B31" s="168">
        <f>SUM(B28:B30)</f>
        <v>840377.83000000007</v>
      </c>
      <c r="C31" s="168">
        <f>SUM(C28:C30)</f>
        <v>410282.59999999992</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533259.65</v>
      </c>
      <c r="C36" s="172">
        <f>'DOE25'!G201+'DOE25'!G219+'DOE25'!G237+'DOE25'!G280+'DOE25'!G299+'DOE25'!G318</f>
        <v>119909.28</v>
      </c>
    </row>
    <row r="37" spans="1:3" x14ac:dyDescent="0.2">
      <c r="A37" t="s">
        <v>772</v>
      </c>
      <c r="B37" s="176">
        <v>367573.07</v>
      </c>
      <c r="C37" s="176">
        <v>116566.27</v>
      </c>
    </row>
    <row r="38" spans="1:3" x14ac:dyDescent="0.2">
      <c r="A38" t="s">
        <v>773</v>
      </c>
      <c r="B38" s="176">
        <v>14867.02</v>
      </c>
      <c r="C38" s="176">
        <v>3343.01</v>
      </c>
    </row>
    <row r="39" spans="1:3" x14ac:dyDescent="0.2">
      <c r="A39" t="s">
        <v>774</v>
      </c>
      <c r="B39" s="176">
        <v>150819.56</v>
      </c>
      <c r="C39" s="176"/>
    </row>
    <row r="40" spans="1:3" x14ac:dyDescent="0.2">
      <c r="A40" t="str">
        <f>IF(B36=B40,IF(C36=C40,"Check Total OK","Check Total Error"),"Check Total Error")</f>
        <v>Check Total OK</v>
      </c>
      <c r="B40" s="168">
        <f>SUM(B37:B39)</f>
        <v>533259.65</v>
      </c>
      <c r="C40" s="168">
        <f>SUM(C37:C39)</f>
        <v>119909.28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Keene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36561949.32</v>
      </c>
      <c r="D5" s="19">
        <f>SUM('DOE25'!L198:L201)+SUM('DOE25'!L216:L219)+SUM('DOE25'!L234:L237)-F5-G5-H5</f>
        <v>36350808.390000001</v>
      </c>
      <c r="E5" s="179"/>
      <c r="F5" s="180"/>
      <c r="G5" s="19">
        <f>SUM('DOE25'!J198:J201)+SUM('DOE25'!J216:J219)+SUM('DOE25'!J234:J237)</f>
        <v>148403.73000000001</v>
      </c>
      <c r="H5" s="19">
        <f>SUM('DOE25'!K198:K201)+SUM('DOE25'!K216:K219)+SUM('DOE25'!K234:K237)</f>
        <v>62737.2</v>
      </c>
      <c r="I5" s="191"/>
    </row>
    <row r="6" spans="1:9" x14ac:dyDescent="0.2">
      <c r="A6" s="31">
        <v>2100</v>
      </c>
      <c r="B6" t="s">
        <v>793</v>
      </c>
      <c r="C6" s="205">
        <f t="shared" si="0"/>
        <v>5994741.4099999992</v>
      </c>
      <c r="D6" s="19">
        <f>'DOE25'!L203+'DOE25'!L221+'DOE25'!L239-F6-G6-H6</f>
        <v>5666664.5999999987</v>
      </c>
      <c r="E6" s="179"/>
      <c r="F6" s="180">
        <f>63874.35+145280+71169.95+43880.48</f>
        <v>324204.77999999997</v>
      </c>
      <c r="G6" s="19">
        <f>'DOE25'!J203+'DOE25'!J221+'DOE25'!J239</f>
        <v>2022.23</v>
      </c>
      <c r="H6" s="19">
        <f>'DOE25'!K203+'DOE25'!K221+'DOE25'!K239</f>
        <v>1849.8</v>
      </c>
      <c r="I6" s="191"/>
    </row>
    <row r="7" spans="1:9" x14ac:dyDescent="0.2">
      <c r="A7" s="31">
        <v>2200</v>
      </c>
      <c r="B7" t="s">
        <v>817</v>
      </c>
      <c r="C7" s="205">
        <f t="shared" si="0"/>
        <v>1318928.8900000001</v>
      </c>
      <c r="D7" s="19">
        <f>'DOE25'!L204+'DOE25'!L222+'DOE25'!L240-F7-G7-H7</f>
        <v>1307321.2200000002</v>
      </c>
      <c r="E7" s="179"/>
      <c r="F7" s="180"/>
      <c r="G7" s="19">
        <f>'DOE25'!J204+'DOE25'!J222+'DOE25'!J240</f>
        <v>6438.6699999999992</v>
      </c>
      <c r="H7" s="19">
        <f>'DOE25'!K204+'DOE25'!K222+'DOE25'!K240</f>
        <v>5169</v>
      </c>
      <c r="I7" s="191"/>
    </row>
    <row r="8" spans="1:9" x14ac:dyDescent="0.2">
      <c r="A8" s="31">
        <v>2300</v>
      </c>
      <c r="B8" t="s">
        <v>794</v>
      </c>
      <c r="C8" s="205">
        <f t="shared" si="0"/>
        <v>2713473.2485000002</v>
      </c>
      <c r="D8" s="179"/>
      <c r="E8" s="19">
        <f>'DOE25'!L205+'DOE25'!L223+'DOE25'!L241-F8-G8-H8-D9-D11</f>
        <v>2674065.2785</v>
      </c>
      <c r="F8" s="180"/>
      <c r="G8" s="19">
        <f>'DOE25'!J205+'DOE25'!J223+'DOE25'!J241</f>
        <v>0</v>
      </c>
      <c r="H8" s="19">
        <f>'DOE25'!K205+'DOE25'!K223+'DOE25'!K241</f>
        <v>39407.97</v>
      </c>
      <c r="I8" s="191"/>
    </row>
    <row r="9" spans="1:9" ht="14.25" x14ac:dyDescent="0.2">
      <c r="A9" s="31">
        <v>2310</v>
      </c>
      <c r="B9" s="71" t="s">
        <v>884</v>
      </c>
      <c r="C9" s="205">
        <f t="shared" si="0"/>
        <v>229877.51</v>
      </c>
      <c r="D9" s="180">
        <v>229877.51</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479338.96149999998</v>
      </c>
      <c r="D11" s="180">
        <f>(243550*0.6985)+((186.163+180251)/2)+(103853*0.6985)+(209677*0.6985)</f>
        <v>479338.96149999998</v>
      </c>
      <c r="E11" s="179"/>
      <c r="F11" s="179"/>
      <c r="G11" s="179"/>
      <c r="H11" s="179"/>
      <c r="I11" s="191"/>
    </row>
    <row r="12" spans="1:9" x14ac:dyDescent="0.2">
      <c r="A12" s="31">
        <v>2400</v>
      </c>
      <c r="B12" t="s">
        <v>711</v>
      </c>
      <c r="C12" s="205">
        <f t="shared" si="0"/>
        <v>3141527.1100000003</v>
      </c>
      <c r="D12" s="19">
        <f>'DOE25'!L206+'DOE25'!L224+'DOE25'!L242-F12-G12-H12</f>
        <v>3037475.6</v>
      </c>
      <c r="E12" s="179"/>
      <c r="F12" s="180">
        <v>75585.77</v>
      </c>
      <c r="G12" s="19">
        <f>'DOE25'!J206+'DOE25'!J224+'DOE25'!J242</f>
        <v>7049.25</v>
      </c>
      <c r="H12" s="19">
        <f>'DOE25'!K206+'DOE25'!K224+'DOE25'!K242</f>
        <v>21416.489999999998</v>
      </c>
      <c r="I12" s="191"/>
    </row>
    <row r="13" spans="1:9" x14ac:dyDescent="0.2">
      <c r="A13" s="31">
        <v>2500</v>
      </c>
      <c r="B13" t="s">
        <v>795</v>
      </c>
      <c r="C13" s="205">
        <f t="shared" si="0"/>
        <v>9677.24</v>
      </c>
      <c r="D13" s="179"/>
      <c r="E13" s="19">
        <f>'DOE25'!L207+'DOE25'!L225+'DOE25'!L243-F13-G13-H13</f>
        <v>9000</v>
      </c>
      <c r="F13" s="180"/>
      <c r="G13" s="19">
        <f>'DOE25'!J207+'DOE25'!J225+'DOE25'!J243</f>
        <v>0</v>
      </c>
      <c r="H13" s="19">
        <f>'DOE25'!K207+'DOE25'!K225+'DOE25'!K243</f>
        <v>677.24</v>
      </c>
      <c r="I13" s="191"/>
    </row>
    <row r="14" spans="1:9" x14ac:dyDescent="0.2">
      <c r="A14" s="31">
        <v>2600</v>
      </c>
      <c r="B14" t="s">
        <v>815</v>
      </c>
      <c r="C14" s="205">
        <f t="shared" si="0"/>
        <v>5401880.75</v>
      </c>
      <c r="D14" s="19">
        <f>'DOE25'!L208+'DOE25'!L226+'DOE25'!L244-F14-G14-H14</f>
        <v>3591960.87</v>
      </c>
      <c r="E14" s="179"/>
      <c r="F14" s="180">
        <f>1178616.46+105983.38+121290+74177.89</f>
        <v>1480067.7299999997</v>
      </c>
      <c r="G14" s="19">
        <f>'DOE25'!J208+'DOE25'!J226+'DOE25'!J244</f>
        <v>305939.03000000003</v>
      </c>
      <c r="H14" s="19">
        <f>'DOE25'!K208+'DOE25'!K226+'DOE25'!K244</f>
        <v>23913.119999999999</v>
      </c>
      <c r="I14" s="191"/>
    </row>
    <row r="15" spans="1:9" x14ac:dyDescent="0.2">
      <c r="A15" s="31">
        <v>2700</v>
      </c>
      <c r="B15" t="s">
        <v>796</v>
      </c>
      <c r="C15" s="205">
        <f t="shared" si="0"/>
        <v>2367442.06</v>
      </c>
      <c r="D15" s="19">
        <f>'DOE25'!L209+'DOE25'!L227+'DOE25'!L245-F15-G15-H15</f>
        <v>720424.2100000002</v>
      </c>
      <c r="E15" s="179"/>
      <c r="F15" s="180">
        <f>31486+1573437.7+42050.19</f>
        <v>1646973.89</v>
      </c>
      <c r="G15" s="19">
        <f>'DOE25'!J209+'DOE25'!J227+'DOE25'!J245</f>
        <v>0</v>
      </c>
      <c r="H15" s="19">
        <f>'DOE25'!K209+'DOE25'!K227+'DOE25'!K245</f>
        <v>43.96</v>
      </c>
      <c r="I15" s="191"/>
    </row>
    <row r="16" spans="1:9" x14ac:dyDescent="0.2">
      <c r="A16" s="31">
        <v>2800</v>
      </c>
      <c r="B16" t="s">
        <v>797</v>
      </c>
      <c r="C16" s="205">
        <f t="shared" si="0"/>
        <v>1149650.23</v>
      </c>
      <c r="D16" s="179"/>
      <c r="E16" s="19">
        <f>'DOE25'!L210+'DOE25'!L228+'DOE25'!L246-F16-G16-H16</f>
        <v>479020.3899999999</v>
      </c>
      <c r="F16" s="180">
        <v>35431.360000000001</v>
      </c>
      <c r="G16" s="19">
        <f>'DOE25'!J210+'DOE25'!J228+'DOE25'!J246</f>
        <v>635198.48</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5607560.0199999996</v>
      </c>
      <c r="D22" s="179"/>
      <c r="E22" s="179"/>
      <c r="F22" s="179"/>
      <c r="G22" s="19">
        <f>'DOE25'!L256+'DOE25'!L337</f>
        <v>5607560.0199999996</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2296135.5</v>
      </c>
      <c r="D25" s="179"/>
      <c r="E25" s="179"/>
      <c r="F25" s="190"/>
      <c r="G25" s="179"/>
      <c r="H25" s="179"/>
      <c r="I25" s="189">
        <f>'DOE25'!L261+'DOE25'!L262+'DOE25'!L342+'DOE25'!L343</f>
        <v>2296135.5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1016216.9600000002</v>
      </c>
      <c r="D29" s="211">
        <f>'DOE25'!L359+'DOE25'!L360+'DOE25'!L361-'DOE25'!I368-F29-G29-H29-F39</f>
        <v>1007251.9500000002</v>
      </c>
      <c r="E29" s="179"/>
      <c r="F29" s="179"/>
      <c r="G29" s="19">
        <f>'DOE25'!J359+'DOE25'!J360+'DOE25'!J361</f>
        <v>4030</v>
      </c>
      <c r="H29" s="19">
        <f>'DOE25'!K359+'DOE25'!K360+'DOE25'!K361</f>
        <v>4935.01</v>
      </c>
      <c r="I29" s="191"/>
    </row>
    <row r="30" spans="1:9" x14ac:dyDescent="0.2">
      <c r="A30" s="31"/>
      <c r="C30" s="206"/>
      <c r="D30" s="19"/>
      <c r="F30" s="200"/>
      <c r="G30" s="19"/>
      <c r="H30" s="19"/>
      <c r="I30" s="191"/>
    </row>
    <row r="31" spans="1:9" x14ac:dyDescent="0.2">
      <c r="A31" s="31" t="s">
        <v>814</v>
      </c>
      <c r="B31" t="s">
        <v>813</v>
      </c>
      <c r="C31" s="205">
        <f>SUM(D31:I31)</f>
        <v>4872235.95</v>
      </c>
      <c r="D31" s="19">
        <f>'DOE25'!L291+'DOE25'!L310+'DOE25'!L329+'DOE25'!L334+'DOE25'!L335+'DOE25'!L336-F31-G31-H31</f>
        <v>4263494.91</v>
      </c>
      <c r="E31" s="179"/>
      <c r="F31" s="180">
        <f>48812.5+66455.03</f>
        <v>115267.53</v>
      </c>
      <c r="G31" s="19">
        <f>'DOE25'!J291+'DOE25'!J310+'DOE25'!J329+'DOE25'!J334+'DOE25'!J335+'DOE25'!J336</f>
        <v>216562.76</v>
      </c>
      <c r="H31" s="19">
        <f>'DOE25'!K291+'DOE25'!K310+'DOE25'!K329+'DOE25'!K334+'DOE25'!K335+'DOE25'!K336</f>
        <v>276910.75</v>
      </c>
      <c r="I31" s="191"/>
    </row>
    <row r="32" spans="1:9" ht="12" thickBot="1" x14ac:dyDescent="0.25">
      <c r="C32" s="206"/>
      <c r="G32" s="187"/>
      <c r="H32" s="187"/>
      <c r="I32" s="193"/>
    </row>
    <row r="33" spans="1:9" ht="12" thickTop="1" x14ac:dyDescent="0.2">
      <c r="B33" t="s">
        <v>806</v>
      </c>
      <c r="D33" s="181">
        <f t="shared" ref="D33:I33" si="1">SUM(D5:D31)</f>
        <v>56654618.221499994</v>
      </c>
      <c r="E33" s="181">
        <f t="shared" si="1"/>
        <v>3162085.6684999997</v>
      </c>
      <c r="F33" s="181">
        <f t="shared" si="1"/>
        <v>3677531.0599999996</v>
      </c>
      <c r="G33" s="181">
        <f t="shared" si="1"/>
        <v>6933204.1699999999</v>
      </c>
      <c r="H33" s="181">
        <f t="shared" si="1"/>
        <v>437060.54</v>
      </c>
      <c r="I33" s="181">
        <f t="shared" si="1"/>
        <v>2296135.5</v>
      </c>
    </row>
    <row r="34" spans="1:9" ht="12" thickBot="1" x14ac:dyDescent="0.25"/>
    <row r="35" spans="1:9" ht="12" thickBot="1" x14ac:dyDescent="0.25">
      <c r="B35" s="187" t="s">
        <v>827</v>
      </c>
      <c r="D35" s="188">
        <f>E33</f>
        <v>3162085.6684999997</v>
      </c>
      <c r="E35" s="184"/>
      <c r="F35" s="294" t="s">
        <v>1596</v>
      </c>
      <c r="G35" s="295"/>
      <c r="H35" s="295"/>
      <c r="I35" s="296"/>
    </row>
    <row r="36" spans="1:9" ht="12" thickTop="1" x14ac:dyDescent="0.2">
      <c r="B36" t="s">
        <v>807</v>
      </c>
      <c r="D36" s="19">
        <f>D33</f>
        <v>56654618.221499994</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17">
        <v>5000</v>
      </c>
      <c r="G42" s="303"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E3" zoomScale="90" zoomScaleNormal="90" workbookViewId="0">
      <selection activeCell="J12" sqref="J12"/>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3" t="s">
        <v>1797</v>
      </c>
      <c r="K1" s="313"/>
      <c r="L1" s="313"/>
      <c r="M1" s="313"/>
      <c r="N1" s="313"/>
      <c r="O1" s="329" t="s">
        <v>1802</v>
      </c>
      <c r="P1" s="330"/>
      <c r="Q1" s="330"/>
      <c r="R1" s="330"/>
      <c r="S1" s="330"/>
      <c r="T1" s="330"/>
      <c r="U1" s="330"/>
      <c r="V1" s="330"/>
    </row>
    <row r="2" spans="1:22" ht="15.75" customHeight="1" thickBot="1" x14ac:dyDescent="0.25">
      <c r="A2" s="220" t="str">
        <f>'DOE25'!A2</f>
        <v>Keene</v>
      </c>
      <c r="B2">
        <f>'DOE25'!B2</f>
        <v>279</v>
      </c>
      <c r="J2" s="223" t="s">
        <v>1799</v>
      </c>
      <c r="K2" s="307">
        <f>SUM('DOE25'!L198:L201)+SUM('DOE25'!L277:L280)</f>
        <v>14802080.909999998</v>
      </c>
      <c r="L2" s="307">
        <f>'DOE25'!L203+'DOE25'!L282</f>
        <v>2963896.6453999993</v>
      </c>
      <c r="M2" s="307">
        <f>'DOE25'!L204+'DOE25'!L283</f>
        <v>930553.72290000005</v>
      </c>
      <c r="N2" s="307">
        <f>'DOE25'!L206+'DOE25'!L285</f>
        <v>1078109.4512</v>
      </c>
      <c r="O2" s="315">
        <f>'Salaries-Benefits'!B10+'Salaries-Benefits'!B12+'Salaries-Benefits'!B19+'Salaries-Benefits'!B21+'Salaries-Benefits'!B28+'Salaries-Benefits'!B30+'Salaries-Benefits'!B37+'Salaries-Benefits'!B39</f>
        <v>19437698.609999996</v>
      </c>
      <c r="P2" s="315">
        <f>'Salaries-Benefits'!B11+'Salaries-Benefits'!B20+'Salaries-Benefits'!B29+'Salaries-Benefits'!B38</f>
        <v>1994404.4100000004</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2" t="str">
        <f>IF(SUM('DOE25'!F576:F588)&lt;=(SUM('School Level Expenditures'!D5:E5)),"","ERROR!! Other District Expenditures Line Less Than Page 22 Elementary Tuition Total")</f>
        <v/>
      </c>
      <c r="J3" s="223" t="s">
        <v>1516</v>
      </c>
      <c r="K3" s="309">
        <f>K21-K2</f>
        <v>0</v>
      </c>
      <c r="L3" s="309">
        <f t="shared" ref="L3:N3" si="0">L21-L2</f>
        <v>4.6000010333955288E-3</v>
      </c>
      <c r="M3" s="309">
        <f t="shared" si="0"/>
        <v>-2.899999963119626E-3</v>
      </c>
      <c r="N3" s="309">
        <f t="shared" si="0"/>
        <v>-1.1999998241662979E-3</v>
      </c>
      <c r="O3" s="309">
        <f t="shared" ref="O3:P3" si="1">O21+O34+O45-O2</f>
        <v>0</v>
      </c>
      <c r="P3" s="309">
        <f t="shared" si="1"/>
        <v>0</v>
      </c>
      <c r="Q3" s="308"/>
      <c r="R3" s="304"/>
      <c r="S3" s="214"/>
      <c r="T3" s="214"/>
      <c r="U3" s="215"/>
    </row>
    <row r="4" spans="1:22" ht="85.5" customHeight="1" thickBot="1" x14ac:dyDescent="0.25">
      <c r="A4" s="223" t="s">
        <v>1514</v>
      </c>
      <c r="B4" s="223" t="s">
        <v>1515</v>
      </c>
      <c r="C4" s="223" t="s">
        <v>893</v>
      </c>
      <c r="D4" s="223" t="s">
        <v>783</v>
      </c>
      <c r="E4" s="223" t="s">
        <v>783</v>
      </c>
      <c r="F4" s="227">
        <f>SUM(F5:F20)</f>
        <v>25252382.711199991</v>
      </c>
      <c r="G4" s="228">
        <f>'DOE25'!L212+'DOE25'!L291</f>
        <v>25252382.711199991</v>
      </c>
      <c r="H4" s="263">
        <f>F4-G4</f>
        <v>0</v>
      </c>
      <c r="I4" s="312" t="str">
        <f>IF(H4=0,"","ERROR!! Please review pages 7 and 11 totals in comparison with total on this page")</f>
        <v/>
      </c>
      <c r="J4" s="223" t="s">
        <v>1514</v>
      </c>
      <c r="K4" s="305" t="s">
        <v>1776</v>
      </c>
      <c r="L4" s="305" t="s">
        <v>1775</v>
      </c>
      <c r="M4" s="305" t="s">
        <v>1779</v>
      </c>
      <c r="N4" s="305" t="s">
        <v>1780</v>
      </c>
      <c r="O4" s="305" t="s">
        <v>1803</v>
      </c>
      <c r="P4" s="305" t="s">
        <v>1804</v>
      </c>
      <c r="Q4" s="305" t="s">
        <v>1781</v>
      </c>
    </row>
    <row r="5" spans="1:22" x14ac:dyDescent="0.2">
      <c r="A5" s="71" t="s">
        <v>1798</v>
      </c>
      <c r="B5" s="229">
        <v>99991</v>
      </c>
      <c r="C5" s="222" t="s">
        <v>1531</v>
      </c>
      <c r="D5" s="219">
        <v>1295207.55</v>
      </c>
      <c r="E5" s="219"/>
      <c r="F5" s="231">
        <f>D5+E5</f>
        <v>1295207.55</v>
      </c>
      <c r="G5" s="222"/>
      <c r="H5" s="222"/>
      <c r="J5" s="71" t="s">
        <v>1840</v>
      </c>
      <c r="K5" s="20">
        <v>815941.94</v>
      </c>
      <c r="L5" s="20">
        <v>135502.61000000002</v>
      </c>
      <c r="M5" s="20">
        <v>6790</v>
      </c>
      <c r="N5" s="20">
        <v>0</v>
      </c>
      <c r="O5" s="20">
        <v>0</v>
      </c>
      <c r="P5" s="20">
        <v>0</v>
      </c>
      <c r="Q5" s="20">
        <v>0</v>
      </c>
    </row>
    <row r="6" spans="1:22" x14ac:dyDescent="0.2">
      <c r="A6" t="str" cm="1">
        <f t="array" ref="A6">IFERROR(INDEX('School Tables'!$A$4:$G$365,'School Tables'!$J4,3),"")</f>
        <v>Franklin Elementary School</v>
      </c>
      <c r="B6" s="229">
        <f>IFERROR(VLOOKUP(A6,'School Tables'!$C$3:$D$365,2,FALSE),"")</f>
        <v>21190</v>
      </c>
      <c r="C6" s="222" t="str">
        <f>IFERROR(INDEX('School Tables'!$B$3:$B$365,MATCH('School Level Expenditures'!B6,'School Tables'!$D$3:$D$365,0)),"")</f>
        <v>Keene</v>
      </c>
      <c r="D6" s="219">
        <v>4327378.3660770245</v>
      </c>
      <c r="E6" s="219">
        <v>722194.93882968125</v>
      </c>
      <c r="F6" s="231">
        <f t="shared" ref="F6:F20" si="2">D6+E6</f>
        <v>5049573.3049067054</v>
      </c>
      <c r="G6" s="222"/>
      <c r="H6" s="222"/>
      <c r="J6" t="str">
        <f t="shared" ref="J6:J20" si="3">A6</f>
        <v>Franklin Elementary School</v>
      </c>
      <c r="K6" s="20">
        <v>2745051.8700314816</v>
      </c>
      <c r="L6" s="20">
        <v>548175.53125350457</v>
      </c>
      <c r="M6" s="306">
        <v>198595.55878716259</v>
      </c>
      <c r="N6" s="20">
        <v>259187.08316902045</v>
      </c>
      <c r="O6" s="20">
        <v>1407690.094462239</v>
      </c>
      <c r="P6" s="20">
        <v>199282.9638611002</v>
      </c>
      <c r="Q6" s="20">
        <v>26653.010000000002</v>
      </c>
    </row>
    <row r="7" spans="1:22" x14ac:dyDescent="0.2">
      <c r="A7" t="str" cm="1">
        <f t="array" ref="A7">IFERROR(INDEX('School Tables'!$A$4:$G$365,'School Tables'!$J5,3),"")</f>
        <v>Fuller Elementary School</v>
      </c>
      <c r="B7" s="229">
        <f>IFERROR(VLOOKUP(A7,'School Tables'!$C$3:$D$365,2,FALSE),"")</f>
        <v>21165</v>
      </c>
      <c r="C7" s="222" t="str">
        <f>IFERROR(INDEX('School Tables'!$B$3:$B$365,MATCH('School Level Expenditures'!B7,'School Tables'!$D$3:$D$365,0)),"")</f>
        <v>Keene</v>
      </c>
      <c r="D7" s="219">
        <v>5597007.6800199244</v>
      </c>
      <c r="E7" s="219">
        <v>1122885.1819579208</v>
      </c>
      <c r="F7" s="231">
        <f t="shared" si="2"/>
        <v>6719892.8619778454</v>
      </c>
      <c r="G7" s="222"/>
      <c r="H7" s="222"/>
      <c r="J7" t="str">
        <f t="shared" si="3"/>
        <v>Fuller Elementary School</v>
      </c>
      <c r="K7" s="20">
        <v>3802296.3621155526</v>
      </c>
      <c r="L7" s="20">
        <v>626430.1166678787</v>
      </c>
      <c r="M7" s="306">
        <v>217376.3821743998</v>
      </c>
      <c r="N7" s="20">
        <v>264586.23496060655</v>
      </c>
      <c r="O7" s="20">
        <v>2015588.7660888745</v>
      </c>
      <c r="P7" s="20">
        <v>312351.92216129065</v>
      </c>
      <c r="Q7" s="20">
        <v>37999.81</v>
      </c>
    </row>
    <row r="8" spans="1:22" x14ac:dyDescent="0.2">
      <c r="A8" t="str" cm="1">
        <f t="array" ref="A8">IFERROR(INDEX('School Tables'!$A$4:$G$365,'School Tables'!$J6,3),"")</f>
        <v>Jonathan Daniels School</v>
      </c>
      <c r="B8" s="229">
        <f>IFERROR(VLOOKUP(A8,'School Tables'!$C$3:$D$365,2,FALSE),"")</f>
        <v>29180</v>
      </c>
      <c r="C8" s="222" t="str">
        <f>IFERROR(INDEX('School Tables'!$B$3:$B$365,MATCH('School Level Expenditures'!B8,'School Tables'!$D$3:$D$365,0)),"")</f>
        <v>Keene</v>
      </c>
      <c r="D8" s="219">
        <v>701842.35555898235</v>
      </c>
      <c r="E8" s="219">
        <v>75311.568670280249</v>
      </c>
      <c r="F8" s="231">
        <f t="shared" si="2"/>
        <v>777153.92422926263</v>
      </c>
      <c r="G8" s="222"/>
      <c r="H8" s="222"/>
      <c r="J8" t="str">
        <f t="shared" si="3"/>
        <v>Jonathan Daniels School</v>
      </c>
      <c r="K8" s="20">
        <v>829973.40546145232</v>
      </c>
      <c r="L8" s="20">
        <v>697210.99059278308</v>
      </c>
      <c r="M8" s="306">
        <v>45863.283453165815</v>
      </c>
      <c r="N8" s="20">
        <v>0</v>
      </c>
      <c r="O8" s="20">
        <v>309038.03637187555</v>
      </c>
      <c r="P8" s="20">
        <v>101564.26477858899</v>
      </c>
      <c r="Q8" s="20">
        <v>0</v>
      </c>
    </row>
    <row r="9" spans="1:22" x14ac:dyDescent="0.2">
      <c r="A9" t="str" cm="1">
        <f t="array" ref="A9">IFERROR(INDEX('School Tables'!$A$4:$G$365,'School Tables'!$J7,3),"")</f>
        <v>Symonds Elementary School</v>
      </c>
      <c r="B9" s="229">
        <f>IFERROR(VLOOKUP(A9,'School Tables'!$C$3:$D$365,2,FALSE),"")</f>
        <v>21170</v>
      </c>
      <c r="C9" s="222" t="str">
        <f>IFERROR(INDEX('School Tables'!$B$3:$B$365,MATCH('School Level Expenditures'!B9,'School Tables'!$D$3:$D$365,0)),"")</f>
        <v>Keene</v>
      </c>
      <c r="D9" s="219">
        <v>5858493.6436957037</v>
      </c>
      <c r="E9" s="219">
        <v>1043486.3879940672</v>
      </c>
      <c r="F9" s="231">
        <f t="shared" si="2"/>
        <v>6901980.0316897705</v>
      </c>
      <c r="G9" s="222"/>
      <c r="H9" s="222"/>
      <c r="J9" t="str">
        <f t="shared" si="3"/>
        <v>Symonds Elementary School</v>
      </c>
      <c r="K9" s="20">
        <v>3987122.7145889755</v>
      </c>
      <c r="L9" s="20">
        <v>619997.06870994298</v>
      </c>
      <c r="M9" s="306">
        <v>262780.56563751714</v>
      </c>
      <c r="N9" s="20">
        <v>268287.94653892278</v>
      </c>
      <c r="O9" s="20">
        <v>2039044.4270469691</v>
      </c>
      <c r="P9" s="20">
        <v>275666.34548524022</v>
      </c>
      <c r="Q9" s="20">
        <v>37417.292467968655</v>
      </c>
    </row>
    <row r="10" spans="1:22" x14ac:dyDescent="0.2">
      <c r="A10" t="str" cm="1">
        <f t="array" ref="A10">IFERROR(INDEX('School Tables'!$A$4:$G$365,'School Tables'!$J8,3),"")</f>
        <v>Wheelock Elementary School</v>
      </c>
      <c r="B10" s="229">
        <f>IFERROR(VLOOKUP(A10,'School Tables'!$C$3:$D$365,2,FALSE),"")</f>
        <v>21200</v>
      </c>
      <c r="C10" s="222" t="str">
        <f>IFERROR(INDEX('School Tables'!$B$3:$B$365,MATCH('School Level Expenditures'!B10,'School Tables'!$D$3:$D$365,0)),"")</f>
        <v>Keene</v>
      </c>
      <c r="D10" s="219">
        <v>3878253.8159483578</v>
      </c>
      <c r="E10" s="219">
        <v>630321.22244805109</v>
      </c>
      <c r="F10" s="231">
        <f t="shared" si="2"/>
        <v>4508575.0383964088</v>
      </c>
      <c r="G10" s="222"/>
      <c r="H10" s="222"/>
      <c r="J10" t="str">
        <f t="shared" si="3"/>
        <v>Wheelock Elementary School</v>
      </c>
      <c r="K10" s="20">
        <v>2621694.6178025398</v>
      </c>
      <c r="L10" s="20">
        <v>336580.33277589083</v>
      </c>
      <c r="M10" s="20">
        <v>199147.92994775472</v>
      </c>
      <c r="N10" s="20">
        <v>286048.18533145025</v>
      </c>
      <c r="O10" s="20">
        <v>1372804.208830042</v>
      </c>
      <c r="P10" s="20">
        <v>160795.51171377994</v>
      </c>
      <c r="Q10" s="20">
        <v>17254.47</v>
      </c>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21658183.411299989</v>
      </c>
      <c r="E21" s="261">
        <f>SUM(E5:E20)</f>
        <v>3594199.2999000004</v>
      </c>
      <c r="F21" s="216"/>
      <c r="G21" s="216"/>
      <c r="H21" s="216"/>
      <c r="K21" s="262">
        <f t="shared" ref="K21:Q21" si="4">SUM(K5:K20)</f>
        <v>14802080.910000002</v>
      </c>
      <c r="L21" s="262">
        <f t="shared" si="4"/>
        <v>2963896.6500000004</v>
      </c>
      <c r="M21" s="262">
        <f t="shared" si="4"/>
        <v>930553.72000000009</v>
      </c>
      <c r="N21" s="262">
        <f t="shared" si="4"/>
        <v>1078109.4500000002</v>
      </c>
      <c r="O21" s="262">
        <f t="shared" si="4"/>
        <v>7144165.5328000002</v>
      </c>
      <c r="P21" s="262">
        <f t="shared" si="4"/>
        <v>1049661.0079999999</v>
      </c>
      <c r="Q21" s="262">
        <f t="shared" si="4"/>
        <v>119324.58246796866</v>
      </c>
    </row>
    <row r="22" spans="1:17" ht="12" thickTop="1" x14ac:dyDescent="0.2">
      <c r="B22" s="230"/>
      <c r="C22" s="216"/>
      <c r="D22" s="219"/>
      <c r="E22" s="219"/>
      <c r="F22" s="216"/>
      <c r="G22" s="216"/>
      <c r="H22" s="216"/>
      <c r="K22" s="308"/>
      <c r="L22" s="308"/>
      <c r="M22" s="308"/>
      <c r="N22" s="308"/>
      <c r="O22" s="308"/>
      <c r="P22" s="308"/>
      <c r="Q22" s="308"/>
    </row>
    <row r="23" spans="1:17" ht="27.75" customHeight="1" thickBot="1" x14ac:dyDescent="0.25">
      <c r="B23" s="230"/>
      <c r="C23" s="216"/>
      <c r="D23" s="219"/>
      <c r="E23" s="219"/>
      <c r="F23" s="216"/>
      <c r="G23" s="216"/>
      <c r="H23" s="216"/>
      <c r="J23" s="223" t="s">
        <v>1800</v>
      </c>
      <c r="K23" s="19">
        <f>SUM('DOE25'!L216:L219)+SUM('DOE25'!L296:L299)</f>
        <v>8460848.0700000003</v>
      </c>
      <c r="L23" s="19">
        <f>'DOE25'!L221+'DOE25'!L301</f>
        <v>1420445.3439999998</v>
      </c>
      <c r="M23" s="19">
        <f>'DOE25'!L222+'DOE25'!L302</f>
        <v>418706.56400000001</v>
      </c>
      <c r="N23" s="19">
        <f>'DOE25'!L224+'DOE25'!L304</f>
        <v>565920.86199999996</v>
      </c>
    </row>
    <row r="24" spans="1:17" ht="63" customHeight="1" x14ac:dyDescent="0.25">
      <c r="A24" s="221" t="s">
        <v>1526</v>
      </c>
      <c r="B24" s="222"/>
      <c r="C24" s="222"/>
      <c r="D24" s="223" t="s">
        <v>1524</v>
      </c>
      <c r="E24" s="223" t="s">
        <v>1525</v>
      </c>
      <c r="F24" s="224" t="s">
        <v>1532</v>
      </c>
      <c r="G24" s="225" t="s">
        <v>1534</v>
      </c>
      <c r="H24" s="226" t="s">
        <v>1516</v>
      </c>
      <c r="I24" s="312" t="str">
        <f>IF(SUM('DOE25'!G576:G588)&lt;=(SUM('School Level Expenditures'!D26:E26)),"","ERROR!! Other District Expenditures Line Less Than Page 22 Middle School Tuition Total")</f>
        <v/>
      </c>
      <c r="J24" s="223" t="s">
        <v>1516</v>
      </c>
      <c r="K24" s="309">
        <f>K34-K23</f>
        <v>0</v>
      </c>
      <c r="L24" s="309">
        <f t="shared" ref="L24:N24" si="5">L34-L23</f>
        <v>-3.9999997243285179E-3</v>
      </c>
      <c r="M24" s="309">
        <f t="shared" si="5"/>
        <v>-4.0000000153668225E-3</v>
      </c>
      <c r="N24" s="309">
        <f t="shared" si="5"/>
        <v>-1.999999862164259E-3</v>
      </c>
    </row>
    <row r="25" spans="1:17" ht="61.5" customHeight="1" thickBot="1" x14ac:dyDescent="0.25">
      <c r="A25" s="223" t="s">
        <v>1527</v>
      </c>
      <c r="B25" s="223" t="s">
        <v>1528</v>
      </c>
      <c r="C25" s="223" t="s">
        <v>893</v>
      </c>
      <c r="D25" s="223" t="s">
        <v>783</v>
      </c>
      <c r="E25" s="223" t="s">
        <v>783</v>
      </c>
      <c r="F25" s="232">
        <f>SUM(F26:F33)</f>
        <v>13428855.491999999</v>
      </c>
      <c r="G25" s="228">
        <f>'DOE25'!L230+'DOE25'!L310</f>
        <v>13428855.491999999</v>
      </c>
      <c r="H25" s="263">
        <f>F25-G25</f>
        <v>0</v>
      </c>
      <c r="I25" s="312" t="str">
        <f>IF(H25=0,"","ERROR!! Please review pages 8 and 12 totals in comparison with total on this page")</f>
        <v/>
      </c>
      <c r="J25" s="223" t="s">
        <v>1527</v>
      </c>
      <c r="K25" s="305" t="s">
        <v>1776</v>
      </c>
      <c r="L25" s="305" t="s">
        <v>1775</v>
      </c>
      <c r="M25" s="305" t="s">
        <v>1779</v>
      </c>
      <c r="N25" s="305" t="s">
        <v>1780</v>
      </c>
      <c r="O25" s="305" t="s">
        <v>1778</v>
      </c>
      <c r="P25" s="305" t="s">
        <v>1777</v>
      </c>
      <c r="Q25" s="305" t="s">
        <v>1781</v>
      </c>
    </row>
    <row r="26" spans="1:17" x14ac:dyDescent="0.2">
      <c r="A26" s="71" t="s">
        <v>1798</v>
      </c>
      <c r="B26" s="229">
        <v>99992</v>
      </c>
      <c r="C26" s="222" t="s">
        <v>1531</v>
      </c>
      <c r="D26" s="219">
        <v>2098594.64</v>
      </c>
      <c r="E26" s="219"/>
      <c r="F26" s="231">
        <f>D26+E26</f>
        <v>2098594.64</v>
      </c>
      <c r="G26" s="222"/>
      <c r="H26" s="222"/>
      <c r="J26" s="71" t="s">
        <v>1840</v>
      </c>
      <c r="K26" s="314">
        <v>1708232.12</v>
      </c>
      <c r="L26" s="314">
        <v>31759.86</v>
      </c>
      <c r="M26" s="314">
        <v>1400</v>
      </c>
      <c r="N26" s="314">
        <v>0</v>
      </c>
      <c r="O26" s="314"/>
      <c r="P26" s="314"/>
      <c r="Q26" s="314"/>
    </row>
    <row r="27" spans="1:17" x14ac:dyDescent="0.2">
      <c r="A27" t="str" cm="1">
        <f t="array" ref="A27">IFERROR(INDEX('School Tables'!$L$4:$R$100,'School Tables'!$U4,3),"")</f>
        <v>Keene Middle School</v>
      </c>
      <c r="B27" s="229">
        <f>IFERROR(VLOOKUP(A27,'School Tables'!$N$4:$O$100,2,FALSE),"")</f>
        <v>21185</v>
      </c>
      <c r="C27" s="222" t="str">
        <f>IFERROR(INDEX('School Tables'!$M$4:$M$100,MATCH('School Level Expenditures'!A27,'School Tables'!$N$4:$N$100,0)),"")</f>
        <v>Keene</v>
      </c>
      <c r="D27" s="219">
        <v>11059238.007999998</v>
      </c>
      <c r="E27" s="219">
        <v>271022.84400000004</v>
      </c>
      <c r="F27" s="231">
        <f t="shared" ref="F27:F33" si="6">D27+E27</f>
        <v>11330260.851999998</v>
      </c>
      <c r="G27" s="222"/>
      <c r="H27" s="222"/>
      <c r="J27" t="str">
        <f t="shared" ref="J27:J33" si="7">A27</f>
        <v>Keene Middle School</v>
      </c>
      <c r="K27" s="20">
        <v>6752615.9500000002</v>
      </c>
      <c r="L27" s="20">
        <v>1388685.48</v>
      </c>
      <c r="M27" s="306">
        <v>417306.56</v>
      </c>
      <c r="N27" s="20">
        <v>565920.8600000001</v>
      </c>
      <c r="O27" s="20">
        <v>4283061.3760000002</v>
      </c>
      <c r="P27" s="20">
        <v>379799.41000000003</v>
      </c>
      <c r="Q27" s="20">
        <v>26169.65</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13157832.647999998</v>
      </c>
      <c r="E34" s="261">
        <f>SUM(E26:E33)</f>
        <v>271022.84400000004</v>
      </c>
      <c r="F34" s="216"/>
      <c r="G34" s="216"/>
      <c r="H34" s="216"/>
      <c r="K34" s="262">
        <f t="shared" ref="K34:Q34" si="8">SUM(K26:K33)</f>
        <v>8460848.0700000003</v>
      </c>
      <c r="L34" s="262">
        <f t="shared" si="8"/>
        <v>1420445.34</v>
      </c>
      <c r="M34" s="262">
        <f t="shared" si="8"/>
        <v>418706.56</v>
      </c>
      <c r="N34" s="262">
        <f t="shared" si="8"/>
        <v>565920.8600000001</v>
      </c>
      <c r="O34" s="262">
        <f t="shared" si="8"/>
        <v>4283061.3760000002</v>
      </c>
      <c r="P34" s="262">
        <f t="shared" si="8"/>
        <v>379799.41000000003</v>
      </c>
      <c r="Q34" s="262">
        <f t="shared" si="8"/>
        <v>26169.65</v>
      </c>
    </row>
    <row r="35" spans="1:17" ht="12" thickTop="1" x14ac:dyDescent="0.2">
      <c r="B35" s="230"/>
      <c r="C35" s="216"/>
      <c r="D35" s="219"/>
      <c r="E35" s="219"/>
      <c r="F35" s="216"/>
      <c r="G35" s="216"/>
      <c r="H35" s="216"/>
      <c r="K35" s="308"/>
      <c r="L35" s="308"/>
      <c r="M35" s="308"/>
      <c r="N35" s="308"/>
      <c r="O35" s="308"/>
      <c r="P35" s="308"/>
      <c r="Q35" s="308"/>
    </row>
    <row r="36" spans="1:17" ht="26.25" customHeight="1" thickBot="1" x14ac:dyDescent="0.25">
      <c r="B36" s="230"/>
      <c r="C36" s="216"/>
      <c r="D36" s="219"/>
      <c r="E36" s="219"/>
      <c r="F36" s="216"/>
      <c r="G36" s="216"/>
      <c r="H36" s="216"/>
      <c r="J36" s="223" t="s">
        <v>1801</v>
      </c>
      <c r="K36" s="19">
        <f>SUM('DOE25'!L234:L237)+SUM('DOE25'!L315:L318)</f>
        <v>14698390.559999999</v>
      </c>
      <c r="L36" s="19">
        <f>'DOE25'!L239+'DOE25'!L320</f>
        <v>2130570.1006</v>
      </c>
      <c r="M36" s="19">
        <f>'DOE25'!L240+'DOE25'!L321</f>
        <v>760868.13309999998</v>
      </c>
      <c r="N36" s="19">
        <f>'DOE25'!L242+'DOE25'!L323</f>
        <v>1547632.5568000001</v>
      </c>
    </row>
    <row r="37" spans="1:17" ht="65.25" customHeight="1" x14ac:dyDescent="0.25">
      <c r="A37" s="217" t="s">
        <v>367</v>
      </c>
      <c r="B37" s="222"/>
      <c r="C37" s="222"/>
      <c r="D37" s="223" t="s">
        <v>1524</v>
      </c>
      <c r="E37" s="223" t="s">
        <v>1525</v>
      </c>
      <c r="F37" s="224" t="s">
        <v>1532</v>
      </c>
      <c r="G37" s="225" t="s">
        <v>1535</v>
      </c>
      <c r="H37" s="226" t="s">
        <v>1516</v>
      </c>
      <c r="I37" s="312" t="str">
        <f>IF(SUM('DOE25'!H576:H588)&lt;=(SUM('School Level Expenditures'!D39:E39)),"","ERROR!! Other District Expenditures Line Less Than Page 22 High School Tuition Total")</f>
        <v/>
      </c>
      <c r="J37" s="223" t="s">
        <v>1516</v>
      </c>
      <c r="K37" s="309">
        <f>K45-K36</f>
        <v>0</v>
      </c>
      <c r="L37" s="309">
        <f t="shared" ref="L37:N37" si="9">L45-L36</f>
        <v>-5.9999991208314896E-4</v>
      </c>
      <c r="M37" s="309">
        <f t="shared" si="9"/>
        <v>-3.0999999726191163E-3</v>
      </c>
      <c r="N37" s="309">
        <f t="shared" si="9"/>
        <v>3.1999999191612005E-3</v>
      </c>
    </row>
    <row r="38" spans="1:17" ht="63.75" customHeight="1" thickBot="1" x14ac:dyDescent="0.25">
      <c r="A38" s="218" t="s">
        <v>1529</v>
      </c>
      <c r="B38" s="223" t="s">
        <v>1530</v>
      </c>
      <c r="C38" s="223" t="s">
        <v>893</v>
      </c>
      <c r="D38" s="223" t="s">
        <v>783</v>
      </c>
      <c r="E38" s="223" t="s">
        <v>783</v>
      </c>
      <c r="F38" s="232">
        <f>SUM(F39:F44)</f>
        <v>25180530.276799995</v>
      </c>
      <c r="G38" s="228">
        <f>'DOE25'!L248+'DOE25'!L329</f>
        <v>25180530.276799995</v>
      </c>
      <c r="H38" s="263">
        <f>F38-G38</f>
        <v>0</v>
      </c>
      <c r="I38" s="312" t="str">
        <f>IF(H38=0,"","ERROR!! Please review pages 9 and 13 totals in comparison with total on this page")</f>
        <v/>
      </c>
      <c r="J38" s="223" t="s">
        <v>1529</v>
      </c>
      <c r="K38" s="305" t="s">
        <v>1776</v>
      </c>
      <c r="L38" s="305" t="s">
        <v>1775</v>
      </c>
      <c r="M38" s="305" t="s">
        <v>1779</v>
      </c>
      <c r="N38" s="305" t="s">
        <v>1780</v>
      </c>
      <c r="O38" s="305" t="s">
        <v>1778</v>
      </c>
      <c r="P38" s="305" t="s">
        <v>1777</v>
      </c>
      <c r="Q38" s="305" t="s">
        <v>1781</v>
      </c>
    </row>
    <row r="39" spans="1:17" x14ac:dyDescent="0.2">
      <c r="A39" s="71" t="s">
        <v>1798</v>
      </c>
      <c r="B39" s="229">
        <v>99993</v>
      </c>
      <c r="C39" s="222" t="s">
        <v>1531</v>
      </c>
      <c r="D39" s="219">
        <v>2240744.89</v>
      </c>
      <c r="E39" s="219"/>
      <c r="F39" s="231">
        <f t="shared" ref="F39:F44" si="10">D39+E39</f>
        <v>2240744.89</v>
      </c>
      <c r="G39" s="222"/>
      <c r="H39" s="222"/>
      <c r="J39" s="71" t="s">
        <v>1840</v>
      </c>
      <c r="K39" s="314">
        <v>1745436.81</v>
      </c>
      <c r="L39" s="314">
        <v>31759.86</v>
      </c>
      <c r="M39" s="314">
        <v>1400</v>
      </c>
      <c r="N39" s="314">
        <v>0</v>
      </c>
      <c r="O39" s="314"/>
      <c r="P39" s="314"/>
      <c r="Q39" s="314"/>
    </row>
    <row r="40" spans="1:17" x14ac:dyDescent="0.2">
      <c r="A40" t="str" cm="1">
        <f t="array" ref="A40">IFERROR(INDEX('School Tables'!$W$4:$AC$120,'School Tables'!$AF4,3),"")</f>
        <v>Keene High School</v>
      </c>
      <c r="B40" s="229">
        <f>IFERROR(VLOOKUP(A40,'School Tables'!$Y$4:$Z$120,2,FALSE),"")</f>
        <v>21195</v>
      </c>
      <c r="C40" s="222" t="str">
        <f>IFERROR(INDEX('School Tables'!$X$4:$X$120,MATCH('School Level Expenditures'!A40,'School Tables'!$Y$4:$Y$120,0)),"")</f>
        <v>Keene</v>
      </c>
      <c r="D40" s="219">
        <v>21738796.630699996</v>
      </c>
      <c r="E40" s="219">
        <v>1200988.7561000001</v>
      </c>
      <c r="F40" s="231">
        <f t="shared" si="10"/>
        <v>22939785.386799995</v>
      </c>
      <c r="G40" s="222"/>
      <c r="H40" s="222"/>
      <c r="J40" t="str">
        <f>A40</f>
        <v>Keene High School</v>
      </c>
      <c r="K40" s="20">
        <v>12952953.75</v>
      </c>
      <c r="L40" s="20">
        <v>2098810.2400000002</v>
      </c>
      <c r="M40" s="306">
        <v>759468.13</v>
      </c>
      <c r="N40" s="20">
        <v>1547632.56</v>
      </c>
      <c r="O40" s="20">
        <v>8010471.7012</v>
      </c>
      <c r="P40" s="20">
        <v>564943.99199999997</v>
      </c>
      <c r="Q40" s="20">
        <v>68872.61</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23979541.520699997</v>
      </c>
      <c r="E45" s="262">
        <f>SUM(E39:E44)</f>
        <v>1200988.7561000001</v>
      </c>
      <c r="K45" s="262">
        <f t="shared" ref="K45:Q45" si="11">SUM(K39:K44)</f>
        <v>14698390.560000001</v>
      </c>
      <c r="L45" s="262">
        <f t="shared" si="11"/>
        <v>2130570.1</v>
      </c>
      <c r="M45" s="262">
        <f t="shared" si="11"/>
        <v>760868.13</v>
      </c>
      <c r="N45" s="262">
        <f t="shared" si="11"/>
        <v>1547632.56</v>
      </c>
      <c r="O45" s="262">
        <f t="shared" si="11"/>
        <v>8010471.7012</v>
      </c>
      <c r="P45" s="262">
        <f t="shared" si="11"/>
        <v>564943.99199999997</v>
      </c>
      <c r="Q45" s="262">
        <f t="shared" si="11"/>
        <v>68872.61</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R25" sqref="R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Keene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7755021.9000000004</v>
      </c>
      <c r="D8" s="73">
        <f>'DOE25'!G9</f>
        <v>359210.91</v>
      </c>
      <c r="E8" s="73">
        <f>'DOE25'!H9</f>
        <v>98729.44</v>
      </c>
      <c r="F8" s="73">
        <f>'DOE25'!I9</f>
        <v>0</v>
      </c>
      <c r="G8" s="73">
        <f>'DOE25'!J9</f>
        <v>0</v>
      </c>
      <c r="H8" s="13">
        <f>SUM(C8:G8)</f>
        <v>8212962.2500000009</v>
      </c>
      <c r="I8" s="90"/>
    </row>
    <row r="9" spans="1:9" x14ac:dyDescent="0.2">
      <c r="A9" s="1" t="s">
        <v>140</v>
      </c>
      <c r="B9" s="6">
        <v>110</v>
      </c>
      <c r="C9" s="73">
        <f>'DOE25'!F10</f>
        <v>1600843.24</v>
      </c>
      <c r="D9" s="73">
        <f>'DOE25'!G10</f>
        <v>0</v>
      </c>
      <c r="E9" s="73">
        <f>'DOE25'!H10</f>
        <v>0</v>
      </c>
      <c r="F9" s="73">
        <f>'DOE25'!I10</f>
        <v>0</v>
      </c>
      <c r="G9" s="73">
        <f>'DOE25'!J10</f>
        <v>1675108.25</v>
      </c>
      <c r="H9" s="13">
        <f t="shared" ref="H9:H18" si="0">SUM(C9:G9)</f>
        <v>3275951.49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732918.33000000007</v>
      </c>
      <c r="D11" s="73">
        <f>'DOE25'!G12</f>
        <v>0</v>
      </c>
      <c r="E11" s="73">
        <f>'DOE25'!H12</f>
        <v>18183.810000000001</v>
      </c>
      <c r="F11" s="73">
        <f>'DOE25'!I12</f>
        <v>0</v>
      </c>
      <c r="G11" s="73">
        <f>'DOE25'!J12</f>
        <v>0</v>
      </c>
      <c r="H11" s="13">
        <f t="shared" si="0"/>
        <v>751102.14000000013</v>
      </c>
      <c r="I11" s="90"/>
    </row>
    <row r="12" spans="1:9" x14ac:dyDescent="0.2">
      <c r="A12" s="1" t="s">
        <v>143</v>
      </c>
      <c r="B12" s="6">
        <v>140</v>
      </c>
      <c r="C12" s="73">
        <f>'DOE25'!F13</f>
        <v>243657.71</v>
      </c>
      <c r="D12" s="73">
        <f>'DOE25'!G13</f>
        <v>149437.60999999999</v>
      </c>
      <c r="E12" s="73">
        <f>'DOE25'!H13</f>
        <v>1290145.55</v>
      </c>
      <c r="F12" s="73">
        <f>'DOE25'!I13</f>
        <v>0</v>
      </c>
      <c r="G12" s="73">
        <f>'DOE25'!J13</f>
        <v>0</v>
      </c>
      <c r="H12" s="13">
        <f t="shared" si="0"/>
        <v>1683240.87</v>
      </c>
      <c r="I12" s="90"/>
    </row>
    <row r="13" spans="1:9" x14ac:dyDescent="0.2">
      <c r="A13" s="1" t="s">
        <v>144</v>
      </c>
      <c r="B13" s="6">
        <v>150</v>
      </c>
      <c r="C13" s="73">
        <f>'DOE25'!F14</f>
        <v>623255.01</v>
      </c>
      <c r="D13" s="73">
        <f>'DOE25'!G14</f>
        <v>3462.54</v>
      </c>
      <c r="E13" s="73">
        <f>'DOE25'!H14</f>
        <v>58160.670000000006</v>
      </c>
      <c r="F13" s="73">
        <f>'DOE25'!I14</f>
        <v>0</v>
      </c>
      <c r="G13" s="73">
        <f>'DOE25'!J14</f>
        <v>0</v>
      </c>
      <c r="H13" s="13">
        <f t="shared" si="0"/>
        <v>684878.22000000009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1300</v>
      </c>
      <c r="D16" s="73">
        <f>'DOE25'!G17</f>
        <v>0</v>
      </c>
      <c r="E16" s="73">
        <f>'DOE25'!H17</f>
        <v>0</v>
      </c>
      <c r="F16" s="73">
        <f>'DOE25'!I17</f>
        <v>0</v>
      </c>
      <c r="G16" s="73">
        <f>'DOE25'!J17</f>
        <v>0</v>
      </c>
      <c r="H16" s="13">
        <f t="shared" si="0"/>
        <v>1300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10956996.190000001</v>
      </c>
      <c r="D18" s="38">
        <f>SUM(D8:D17)</f>
        <v>512111.05999999994</v>
      </c>
      <c r="E18" s="38">
        <f>SUM(E8:E17)</f>
        <v>1465219.47</v>
      </c>
      <c r="F18" s="38">
        <f>SUM(F8:F17)</f>
        <v>0</v>
      </c>
      <c r="G18" s="38">
        <f>SUM(G8:G17)</f>
        <v>1675108.25</v>
      </c>
      <c r="H18" s="38">
        <f t="shared" si="0"/>
        <v>14609434.970000003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749688.14</v>
      </c>
      <c r="F21" s="73">
        <f>'DOE25'!I22</f>
        <v>0</v>
      </c>
      <c r="G21" s="73">
        <f>'DOE25'!J22</f>
        <v>0</v>
      </c>
      <c r="H21" s="13">
        <f t="shared" ref="H21:H31" si="1">SUM(C21:G21)</f>
        <v>749688.14</v>
      </c>
      <c r="I21" s="90"/>
    </row>
    <row r="22" spans="1:9" x14ac:dyDescent="0.2">
      <c r="A22" s="1" t="s">
        <v>151</v>
      </c>
      <c r="B22" s="6">
        <v>410</v>
      </c>
      <c r="C22" s="73">
        <f>'DOE25'!F23</f>
        <v>25129.919999999998</v>
      </c>
      <c r="D22" s="73">
        <f>'DOE25'!G23</f>
        <v>0</v>
      </c>
      <c r="E22" s="73">
        <f>'DOE25'!H23</f>
        <v>14905.81</v>
      </c>
      <c r="F22" s="73">
        <f>'DOE25'!I23</f>
        <v>0</v>
      </c>
      <c r="G22" s="73">
        <f>'DOE25'!J23</f>
        <v>0</v>
      </c>
      <c r="H22" s="13">
        <f t="shared" si="1"/>
        <v>40035.729999999996</v>
      </c>
      <c r="I22" s="90"/>
    </row>
    <row r="23" spans="1:9" x14ac:dyDescent="0.2">
      <c r="A23" s="1" t="s">
        <v>152</v>
      </c>
      <c r="B23" s="6">
        <v>420</v>
      </c>
      <c r="C23" s="73">
        <f>'DOE25'!F24</f>
        <v>1629520.91</v>
      </c>
      <c r="D23" s="73">
        <f>'DOE25'!G24</f>
        <v>0</v>
      </c>
      <c r="E23" s="73">
        <f>'DOE25'!H24</f>
        <v>706309.7</v>
      </c>
      <c r="F23" s="73">
        <f>'DOE25'!I24</f>
        <v>0</v>
      </c>
      <c r="G23" s="73">
        <f>'DOE25'!J24</f>
        <v>0</v>
      </c>
      <c r="H23" s="13">
        <f t="shared" si="1"/>
        <v>2335830.61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55346</v>
      </c>
      <c r="D27" s="73">
        <f>'DOE25'!G28</f>
        <v>0</v>
      </c>
      <c r="E27" s="73">
        <f>'DOE25'!H28</f>
        <v>4036.0899999999997</v>
      </c>
      <c r="F27" s="73">
        <f>'DOE25'!I28</f>
        <v>0</v>
      </c>
      <c r="G27" s="23" t="s">
        <v>288</v>
      </c>
      <c r="H27" s="13">
        <f t="shared" si="1"/>
        <v>59382.09</v>
      </c>
      <c r="I27" s="90"/>
    </row>
    <row r="28" spans="1:9" x14ac:dyDescent="0.2">
      <c r="A28" s="1" t="s">
        <v>157</v>
      </c>
      <c r="B28" s="6">
        <v>470</v>
      </c>
      <c r="C28" s="73">
        <f>'DOE25'!F29</f>
        <v>1214735.52</v>
      </c>
      <c r="D28" s="73">
        <f>'DOE25'!G29</f>
        <v>0</v>
      </c>
      <c r="E28" s="73">
        <f>'DOE25'!H29</f>
        <v>0</v>
      </c>
      <c r="F28" s="73">
        <f>'DOE25'!I29</f>
        <v>0</v>
      </c>
      <c r="G28" s="23" t="s">
        <v>288</v>
      </c>
      <c r="H28" s="13">
        <f t="shared" si="1"/>
        <v>1214735.52</v>
      </c>
      <c r="I28" s="90"/>
    </row>
    <row r="29" spans="1:9" x14ac:dyDescent="0.2">
      <c r="A29" s="1" t="s">
        <v>158</v>
      </c>
      <c r="B29" s="6">
        <v>480</v>
      </c>
      <c r="C29" s="73">
        <f>'DOE25'!F30</f>
        <v>0</v>
      </c>
      <c r="D29" s="73">
        <f>'DOE25'!G30</f>
        <v>37570.61</v>
      </c>
      <c r="E29" s="73">
        <f>'DOE25'!H30</f>
        <v>6894.68</v>
      </c>
      <c r="F29" s="73">
        <f>'DOE25'!I30</f>
        <v>0</v>
      </c>
      <c r="G29" s="23" t="s">
        <v>288</v>
      </c>
      <c r="H29" s="13">
        <f t="shared" si="1"/>
        <v>44465.29</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2924732.3499999996</v>
      </c>
      <c r="D31" s="38">
        <f>SUM(D21:D30)</f>
        <v>37570.61</v>
      </c>
      <c r="E31" s="38">
        <f>SUM(E21:E30)</f>
        <v>1481834.42</v>
      </c>
      <c r="F31" s="38">
        <f>SUM(F21:F30)</f>
        <v>0</v>
      </c>
      <c r="G31" s="38">
        <f>SUM(G21:G30)</f>
        <v>0</v>
      </c>
      <c r="H31" s="38">
        <f t="shared" si="1"/>
        <v>4444137.379999999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1300</v>
      </c>
      <c r="D35" s="73">
        <f>'DOE25'!G36</f>
        <v>0</v>
      </c>
      <c r="E35" s="73">
        <f>'DOE25'!H36</f>
        <v>0</v>
      </c>
      <c r="F35" s="73">
        <f>'DOE25'!I36</f>
        <v>0</v>
      </c>
      <c r="G35" s="23" t="s">
        <v>288</v>
      </c>
      <c r="H35" s="13">
        <f t="shared" si="2"/>
        <v>1300</v>
      </c>
      <c r="I35" s="90"/>
    </row>
    <row r="36" spans="1:9" x14ac:dyDescent="0.2">
      <c r="A36" s="1" t="s">
        <v>852</v>
      </c>
      <c r="B36" s="6">
        <v>756</v>
      </c>
      <c r="C36" s="73">
        <f>'DOE25'!F37</f>
        <v>0</v>
      </c>
      <c r="D36" s="73">
        <f>'DOE25'!G37</f>
        <v>474540.45</v>
      </c>
      <c r="E36" s="73">
        <f>'DOE25'!H37</f>
        <v>57924.37</v>
      </c>
      <c r="F36" s="73">
        <f>'DOE25'!I37</f>
        <v>0</v>
      </c>
      <c r="G36" s="73">
        <f>'DOE25'!J37</f>
        <v>0</v>
      </c>
      <c r="H36" s="13">
        <f t="shared" si="2"/>
        <v>532464.82000000007</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-164632.44</v>
      </c>
      <c r="F42" s="73">
        <f>'DOE25'!I43</f>
        <v>0</v>
      </c>
      <c r="G42" s="73">
        <f>'DOE25'!J43</f>
        <v>0</v>
      </c>
      <c r="H42" s="13">
        <f t="shared" si="2"/>
        <v>-164632.44</v>
      </c>
      <c r="I42" s="90"/>
    </row>
    <row r="43" spans="1:9" x14ac:dyDescent="0.2">
      <c r="A43" s="1" t="s">
        <v>859</v>
      </c>
      <c r="B43" s="6">
        <v>755</v>
      </c>
      <c r="C43" s="73">
        <f>'DOE25'!F44</f>
        <v>250000</v>
      </c>
      <c r="D43" s="73">
        <f>'DOE25'!G44</f>
        <v>0</v>
      </c>
      <c r="E43" s="73">
        <f>'DOE25'!H44</f>
        <v>0</v>
      </c>
      <c r="F43" s="73">
        <f>'DOE25'!I44</f>
        <v>0</v>
      </c>
      <c r="G43" s="23" t="s">
        <v>288</v>
      </c>
      <c r="H43" s="13">
        <f t="shared" si="2"/>
        <v>250000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903886</v>
      </c>
      <c r="D45" s="23" t="s">
        <v>288</v>
      </c>
      <c r="E45" s="23" t="s">
        <v>288</v>
      </c>
      <c r="F45" s="23" t="s">
        <v>288</v>
      </c>
      <c r="G45" s="23" t="s">
        <v>288</v>
      </c>
      <c r="H45" s="13">
        <f t="shared" si="2"/>
        <v>903886</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-811148.73</v>
      </c>
      <c r="F47" s="73">
        <f>'DOE25'!I48</f>
        <v>0</v>
      </c>
      <c r="G47" s="73">
        <f>'DOE25'!J48</f>
        <v>1675108.25</v>
      </c>
      <c r="H47" s="13">
        <f t="shared" si="2"/>
        <v>863959.52</v>
      </c>
      <c r="I47" s="90"/>
    </row>
    <row r="48" spans="1:9" x14ac:dyDescent="0.2">
      <c r="A48" s="1" t="s">
        <v>878</v>
      </c>
      <c r="B48" s="6">
        <v>753</v>
      </c>
      <c r="C48" s="73">
        <f>'DOE25'!F49</f>
        <v>1448500.77</v>
      </c>
      <c r="D48" s="73">
        <f>'DOE25'!G49</f>
        <v>0</v>
      </c>
      <c r="E48" s="73">
        <f>'DOE25'!H49</f>
        <v>901241.85</v>
      </c>
      <c r="F48" s="73">
        <f>'DOE25'!I49</f>
        <v>0</v>
      </c>
      <c r="G48" s="73">
        <f>'DOE25'!J49</f>
        <v>0</v>
      </c>
      <c r="H48" s="13">
        <f t="shared" si="2"/>
        <v>2349742.62</v>
      </c>
      <c r="I48" s="90"/>
    </row>
    <row r="49" spans="1:9" ht="12" thickBot="1" x14ac:dyDescent="0.25">
      <c r="A49" s="28" t="s">
        <v>879</v>
      </c>
      <c r="B49" s="56">
        <v>770</v>
      </c>
      <c r="C49" s="73">
        <f>'DOE25'!F50</f>
        <v>5428577.0700000003</v>
      </c>
      <c r="D49" s="23" t="s">
        <v>288</v>
      </c>
      <c r="E49" s="23" t="s">
        <v>288</v>
      </c>
      <c r="F49" s="23" t="s">
        <v>288</v>
      </c>
      <c r="G49" s="23" t="s">
        <v>288</v>
      </c>
      <c r="H49" s="13">
        <f t="shared" si="2"/>
        <v>5428577.0700000003</v>
      </c>
      <c r="I49" s="90"/>
    </row>
    <row r="50" spans="1:9" ht="12.75" thickTop="1" thickBot="1" x14ac:dyDescent="0.25">
      <c r="A50" s="35" t="s">
        <v>880</v>
      </c>
      <c r="B50" s="44"/>
      <c r="C50" s="38">
        <f>SUM(C34:C49)</f>
        <v>8032263.8399999999</v>
      </c>
      <c r="D50" s="38">
        <f>SUM(D34:D49)</f>
        <v>474540.45</v>
      </c>
      <c r="E50" s="38">
        <f>SUM(E34:E49)</f>
        <v>-16614.95000000007</v>
      </c>
      <c r="F50" s="38">
        <f>SUM(F34:F49)</f>
        <v>0</v>
      </c>
      <c r="G50" s="38">
        <f>SUM(G34:G49)</f>
        <v>1675108.25</v>
      </c>
      <c r="H50" s="38">
        <f t="shared" si="2"/>
        <v>10165297.59</v>
      </c>
      <c r="I50" s="90"/>
    </row>
    <row r="51" spans="1:9" ht="12" thickTop="1" x14ac:dyDescent="0.2">
      <c r="A51" s="35" t="s">
        <v>881</v>
      </c>
      <c r="B51" s="2"/>
      <c r="C51" s="38">
        <f>C50+C31</f>
        <v>10956996.189999999</v>
      </c>
      <c r="D51" s="38">
        <f>D50+D31</f>
        <v>512111.06</v>
      </c>
      <c r="E51" s="38">
        <f>E50+E31</f>
        <v>1465219.4699999997</v>
      </c>
      <c r="F51" s="38">
        <f>F50+F31</f>
        <v>0</v>
      </c>
      <c r="G51" s="38">
        <f>G50+G31</f>
        <v>1675108.25</v>
      </c>
      <c r="H51" s="38">
        <f t="shared" si="2"/>
        <v>14609434.969999999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32824979</v>
      </c>
      <c r="D56" s="73">
        <f>'DOE25'!G60</f>
        <v>0</v>
      </c>
      <c r="E56" s="73">
        <f>'DOE25'!H60</f>
        <v>0</v>
      </c>
      <c r="F56" s="73">
        <f>'DOE25'!I60</f>
        <v>0</v>
      </c>
      <c r="G56" s="73">
        <f>'DOE25'!J60</f>
        <v>0</v>
      </c>
      <c r="H56" s="13">
        <f t="shared" ref="H56:H63" si="3">SUM(C56:G56)</f>
        <v>32824979</v>
      </c>
      <c r="I56"/>
    </row>
    <row r="57" spans="1:9" x14ac:dyDescent="0.2">
      <c r="A57" s="1" t="s">
        <v>164</v>
      </c>
      <c r="B57" s="6" t="s">
        <v>165</v>
      </c>
      <c r="C57" s="73">
        <f>'DOE25'!F79</f>
        <v>13278538.369999999</v>
      </c>
      <c r="D57" s="23" t="s">
        <v>288</v>
      </c>
      <c r="E57" s="73">
        <f>'DOE25'!H79</f>
        <v>244902</v>
      </c>
      <c r="F57" s="23" t="s">
        <v>288</v>
      </c>
      <c r="G57" s="23" t="s">
        <v>288</v>
      </c>
      <c r="H57" s="13">
        <f t="shared" si="3"/>
        <v>13523440.369999999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644414.35</v>
      </c>
      <c r="D59" s="73">
        <f>'DOE25'!G96</f>
        <v>0</v>
      </c>
      <c r="E59" s="73">
        <f>'DOE25'!H96</f>
        <v>0</v>
      </c>
      <c r="F59" s="73">
        <f>'DOE25'!I96</f>
        <v>0</v>
      </c>
      <c r="G59" s="73">
        <f>'DOE25'!J96</f>
        <v>87761.62</v>
      </c>
      <c r="H59" s="13">
        <f t="shared" si="3"/>
        <v>732175.97</v>
      </c>
      <c r="I59"/>
    </row>
    <row r="60" spans="1:9" x14ac:dyDescent="0.2">
      <c r="A60" s="1" t="s">
        <v>170</v>
      </c>
      <c r="B60" s="22" t="s">
        <v>171</v>
      </c>
      <c r="C60" s="23" t="s">
        <v>288</v>
      </c>
      <c r="D60" s="73">
        <f>'DOE25'!G97</f>
        <v>968967.03</v>
      </c>
      <c r="E60" s="23" t="s">
        <v>288</v>
      </c>
      <c r="F60" s="23" t="s">
        <v>288</v>
      </c>
      <c r="G60" s="23" t="s">
        <v>288</v>
      </c>
      <c r="H60" s="13">
        <f t="shared" si="3"/>
        <v>968967.03</v>
      </c>
      <c r="I60"/>
    </row>
    <row r="61" spans="1:9" ht="12" thickBot="1" x14ac:dyDescent="0.25">
      <c r="A61" s="1" t="s">
        <v>172</v>
      </c>
      <c r="B61" s="22" t="s">
        <v>173</v>
      </c>
      <c r="C61" s="73">
        <f>SUM('DOE25'!F98:F110)</f>
        <v>373711.62</v>
      </c>
      <c r="D61" s="73">
        <f>SUM('DOE25'!G98:G110)</f>
        <v>23325</v>
      </c>
      <c r="E61" s="73">
        <f>SUM('DOE25'!H98:H110)</f>
        <v>136512.47999999998</v>
      </c>
      <c r="F61" s="73">
        <f>SUM('DOE25'!I98:I110)</f>
        <v>0</v>
      </c>
      <c r="G61" s="73">
        <f>SUM('DOE25'!J98:J110)</f>
        <v>0</v>
      </c>
      <c r="H61" s="13">
        <f t="shared" si="3"/>
        <v>533549.1</v>
      </c>
      <c r="I61"/>
    </row>
    <row r="62" spans="1:9" ht="12.75" thickTop="1" thickBot="1" x14ac:dyDescent="0.25">
      <c r="A62" s="28" t="s">
        <v>174</v>
      </c>
      <c r="B62" s="6"/>
      <c r="C62" s="93">
        <f>SUM(C57:C61)</f>
        <v>14296664.339999998</v>
      </c>
      <c r="D62" s="93">
        <f>SUM(D57:D61)</f>
        <v>992292.03</v>
      </c>
      <c r="E62" s="93">
        <f>SUM(E57:E61)</f>
        <v>381414.48</v>
      </c>
      <c r="F62" s="93">
        <f>SUM(F57:F61)</f>
        <v>0</v>
      </c>
      <c r="G62" s="93">
        <f>SUM(G57:G61)</f>
        <v>87761.62</v>
      </c>
      <c r="H62" s="13">
        <f t="shared" si="3"/>
        <v>15758132.469999997</v>
      </c>
      <c r="I62"/>
    </row>
    <row r="63" spans="1:9" ht="12" thickTop="1" x14ac:dyDescent="0.2">
      <c r="A63" s="28" t="s">
        <v>175</v>
      </c>
      <c r="B63" s="6"/>
      <c r="C63" s="21">
        <f>C56+C62</f>
        <v>47121643.339999996</v>
      </c>
      <c r="D63" s="21">
        <f>D56+D62</f>
        <v>992292.03</v>
      </c>
      <c r="E63" s="21">
        <f>E56+E62</f>
        <v>381414.48</v>
      </c>
      <c r="F63" s="21">
        <f>F56+F62</f>
        <v>0</v>
      </c>
      <c r="G63" s="21">
        <f>G56+G62</f>
        <v>87761.62</v>
      </c>
      <c r="H63" s="13">
        <f t="shared" si="3"/>
        <v>48583111.469999991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14510681.439999999</v>
      </c>
      <c r="D66" s="23" t="s">
        <v>288</v>
      </c>
      <c r="E66" s="23" t="s">
        <v>288</v>
      </c>
      <c r="F66" s="23" t="s">
        <v>288</v>
      </c>
      <c r="G66" s="23" t="s">
        <v>288</v>
      </c>
      <c r="H66" s="13">
        <f t="shared" ref="H66:H81" si="4">SUM(C66:G66)</f>
        <v>14510681.439999999</v>
      </c>
      <c r="I66"/>
    </row>
    <row r="67" spans="1:9" x14ac:dyDescent="0.2">
      <c r="A67" s="1" t="s">
        <v>767</v>
      </c>
      <c r="B67" s="6">
        <v>3112</v>
      </c>
      <c r="C67" s="73">
        <f>'DOE25'!F118</f>
        <v>3330484</v>
      </c>
      <c r="D67" s="23"/>
      <c r="E67" s="23"/>
      <c r="F67" s="23"/>
      <c r="G67" s="23"/>
      <c r="H67" s="13">
        <f t="shared" si="4"/>
        <v>3330484</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154580.31</v>
      </c>
      <c r="D69" s="73">
        <f>'DOE25'!G120</f>
        <v>0</v>
      </c>
      <c r="E69" s="73">
        <f>'DOE25'!H120</f>
        <v>1500</v>
      </c>
      <c r="F69" s="73">
        <f>'DOE25'!I120</f>
        <v>0</v>
      </c>
      <c r="G69" s="73">
        <f>'DOE25'!J120</f>
        <v>0</v>
      </c>
      <c r="H69" s="13">
        <f t="shared" si="4"/>
        <v>156080.31</v>
      </c>
      <c r="I69"/>
    </row>
    <row r="70" spans="1:9" ht="12" thickTop="1" x14ac:dyDescent="0.2">
      <c r="A70" s="28" t="s">
        <v>252</v>
      </c>
      <c r="B70" s="2"/>
      <c r="C70" s="97">
        <f>SUM(C66:C69)</f>
        <v>17995745.749999996</v>
      </c>
      <c r="D70" s="97">
        <f>D69</f>
        <v>0</v>
      </c>
      <c r="E70" s="97">
        <f>E69</f>
        <v>1500</v>
      </c>
      <c r="F70" s="97">
        <f>F69</f>
        <v>0</v>
      </c>
      <c r="G70" s="97">
        <f>G69</f>
        <v>0</v>
      </c>
      <c r="H70" s="13">
        <f t="shared" si="4"/>
        <v>17997245.749999996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679187.54</v>
      </c>
      <c r="D72" s="23" t="s">
        <v>288</v>
      </c>
      <c r="E72" s="23" t="s">
        <v>288</v>
      </c>
      <c r="F72" s="73">
        <f>'DOE25'!I123</f>
        <v>0</v>
      </c>
      <c r="G72" s="23" t="s">
        <v>288</v>
      </c>
      <c r="H72" s="13">
        <f t="shared" si="4"/>
        <v>679187.54</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581387.64</v>
      </c>
      <c r="D75" s="23" t="s">
        <v>288</v>
      </c>
      <c r="E75" s="23" t="s">
        <v>288</v>
      </c>
      <c r="F75" s="23" t="s">
        <v>288</v>
      </c>
      <c r="G75" s="23" t="s">
        <v>288</v>
      </c>
      <c r="H75" s="13">
        <f t="shared" si="4"/>
        <v>581387.64</v>
      </c>
      <c r="I75"/>
    </row>
    <row r="76" spans="1:9" x14ac:dyDescent="0.2">
      <c r="A76" s="1" t="s">
        <v>257</v>
      </c>
      <c r="B76" s="6" t="s">
        <v>179</v>
      </c>
      <c r="C76" s="73">
        <f>SUM('DOE25'!F127:F130)</f>
        <v>270638.98</v>
      </c>
      <c r="D76" s="23" t="s">
        <v>288</v>
      </c>
      <c r="E76" s="73">
        <f>SUM('DOE25'!H127:H130)</f>
        <v>0</v>
      </c>
      <c r="F76" s="73">
        <f>SUM('DOE25'!I127:I130)</f>
        <v>0</v>
      </c>
      <c r="G76" s="23" t="s">
        <v>288</v>
      </c>
      <c r="H76" s="13">
        <f t="shared" si="4"/>
        <v>270638.98</v>
      </c>
      <c r="I76"/>
    </row>
    <row r="77" spans="1:9" ht="12" thickBot="1" x14ac:dyDescent="0.25">
      <c r="A77" s="1" t="s">
        <v>258</v>
      </c>
      <c r="B77" s="6" t="s">
        <v>180</v>
      </c>
      <c r="C77" s="73">
        <f>SUM('DOE25'!F131:F135)</f>
        <v>0</v>
      </c>
      <c r="D77" s="73">
        <f>SUM('DOE25'!G131:G135)</f>
        <v>14405.89</v>
      </c>
      <c r="E77" s="73">
        <f>SUM('DOE25'!H131:H135)</f>
        <v>0</v>
      </c>
      <c r="F77" s="73">
        <f>SUM('DOE25'!I131:I135)</f>
        <v>0</v>
      </c>
      <c r="G77" s="73">
        <f>SUM('DOE25'!J131:J135)</f>
        <v>0</v>
      </c>
      <c r="H77" s="13">
        <f t="shared" si="4"/>
        <v>14405.89</v>
      </c>
      <c r="I77"/>
    </row>
    <row r="78" spans="1:9" ht="12.75" thickTop="1" thickBot="1" x14ac:dyDescent="0.25">
      <c r="A78" s="28" t="s">
        <v>259</v>
      </c>
      <c r="B78" s="6"/>
      <c r="C78" s="93">
        <f>SUM(C72:C77)</f>
        <v>1531214.1600000001</v>
      </c>
      <c r="D78" s="93">
        <f>SUM(D72:D77)</f>
        <v>14405.89</v>
      </c>
      <c r="E78" s="93">
        <f>SUM(E72:E77)</f>
        <v>0</v>
      </c>
      <c r="F78" s="93">
        <f>SUM(F72:F77)</f>
        <v>0</v>
      </c>
      <c r="G78" s="93">
        <f>SUM(G72:G77)</f>
        <v>0</v>
      </c>
      <c r="H78" s="13">
        <f t="shared" si="4"/>
        <v>1545620.05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19526959.909999996</v>
      </c>
      <c r="D81" s="93">
        <f>SUM(D79:D80)+D78+D70</f>
        <v>14405.89</v>
      </c>
      <c r="E81" s="93">
        <f>SUM(E79:E80)+E78+E70</f>
        <v>1500</v>
      </c>
      <c r="F81" s="93">
        <f>SUM(F79:F80)+F78+F70</f>
        <v>0</v>
      </c>
      <c r="G81" s="93">
        <f>SUM(G79:G80)+G78+G70</f>
        <v>0</v>
      </c>
      <c r="H81" s="93">
        <f t="shared" si="4"/>
        <v>19542865.799999997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54389.03</v>
      </c>
      <c r="D88" s="252">
        <f>SUM('DOE25'!G153:G162)</f>
        <v>865067.05</v>
      </c>
      <c r="E88" s="252">
        <f>SUM('DOE25'!H153:H162)</f>
        <v>5065435.0799999991</v>
      </c>
      <c r="F88" s="252">
        <f>SUM('DOE25'!I153:I162)</f>
        <v>0</v>
      </c>
      <c r="G88" s="23" t="s">
        <v>288</v>
      </c>
      <c r="H88" s="13">
        <f t="shared" si="5"/>
        <v>5984891.1599999992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54389.03</v>
      </c>
      <c r="D91" s="94">
        <f>SUM(D85:D90)</f>
        <v>865067.05</v>
      </c>
      <c r="E91" s="94">
        <f>SUM(E85:E90)</f>
        <v>5065435.0799999991</v>
      </c>
      <c r="F91" s="94">
        <f>SUM(F85:F90)</f>
        <v>0</v>
      </c>
      <c r="G91" s="23" t="s">
        <v>288</v>
      </c>
      <c r="H91" s="13">
        <f t="shared" si="5"/>
        <v>5984891.1599999992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10000</v>
      </c>
      <c r="D101" s="73">
        <f>'DOE25'!G190</f>
        <v>0</v>
      </c>
      <c r="E101" s="73">
        <f>'DOE25'!H190</f>
        <v>0</v>
      </c>
      <c r="F101" s="73">
        <f>'DOE25'!I190</f>
        <v>0</v>
      </c>
      <c r="G101" s="23" t="s">
        <v>288</v>
      </c>
      <c r="H101" s="13">
        <f t="shared" si="5"/>
        <v>10000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10000</v>
      </c>
      <c r="D103" s="68">
        <f>SUM(D93:D102)</f>
        <v>0</v>
      </c>
      <c r="E103" s="68">
        <f>SUM(E93:E102)</f>
        <v>0</v>
      </c>
      <c r="F103" s="68">
        <f>SUM(F93:F102)</f>
        <v>0</v>
      </c>
      <c r="G103" s="68">
        <f>SUM(G93:G102)</f>
        <v>0</v>
      </c>
      <c r="H103" s="68">
        <f t="shared" si="5"/>
        <v>10000</v>
      </c>
    </row>
    <row r="104" spans="1:8" ht="12.75" thickTop="1" thickBot="1" x14ac:dyDescent="0.25">
      <c r="A104" s="32" t="s">
        <v>758</v>
      </c>
      <c r="C104" s="68">
        <f>C63+C81+C91+C103</f>
        <v>66712992.279999994</v>
      </c>
      <c r="D104" s="68">
        <f>D63+D81+D91+D103</f>
        <v>1871764.9700000002</v>
      </c>
      <c r="E104" s="68">
        <f>E63+E81+E91+E103</f>
        <v>5448349.5599999987</v>
      </c>
      <c r="F104" s="68">
        <f>F63+F81+F91+F103</f>
        <v>0</v>
      </c>
      <c r="G104" s="68">
        <f>G63+G81+G103</f>
        <v>87761.62</v>
      </c>
      <c r="H104" s="68">
        <f t="shared" si="5"/>
        <v>74120868.430000007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21993488.919999998</v>
      </c>
      <c r="D109" s="23" t="s">
        <v>288</v>
      </c>
      <c r="E109" s="73">
        <f>('DOE25'!L277)+('DOE25'!L296)+('DOE25'!L315)</f>
        <v>880865.72</v>
      </c>
      <c r="F109" s="23" t="s">
        <v>288</v>
      </c>
      <c r="G109" s="23" t="s">
        <v>288</v>
      </c>
      <c r="H109" s="13">
        <f t="shared" ref="H109:H115" si="6">SUM(C109:G109)</f>
        <v>22874354.639999997</v>
      </c>
    </row>
    <row r="110" spans="1:8" x14ac:dyDescent="0.2">
      <c r="A110" t="s">
        <v>198</v>
      </c>
      <c r="B110" s="31" t="s">
        <v>199</v>
      </c>
      <c r="C110" s="73">
        <f>('DOE25'!L199)+('DOE25'!L217)+('DOE25'!L235)</f>
        <v>12305632.550000001</v>
      </c>
      <c r="D110" s="23" t="s">
        <v>288</v>
      </c>
      <c r="E110" s="73">
        <f>('DOE25'!L278)+('DOE25'!L297)+('DOE25'!L316)</f>
        <v>246569.49</v>
      </c>
      <c r="F110" s="23" t="s">
        <v>288</v>
      </c>
      <c r="G110" s="23" t="s">
        <v>288</v>
      </c>
      <c r="H110" s="13">
        <f t="shared" si="6"/>
        <v>12552202.040000001</v>
      </c>
    </row>
    <row r="111" spans="1:8" x14ac:dyDescent="0.2">
      <c r="A111" t="s">
        <v>200</v>
      </c>
      <c r="B111" s="31" t="s">
        <v>165</v>
      </c>
      <c r="C111" s="73">
        <f>('DOE25'!L200)+('DOE25'!L218)+('DOE25'!L236)</f>
        <v>1344575.3000000003</v>
      </c>
      <c r="D111" s="23" t="s">
        <v>288</v>
      </c>
      <c r="E111" s="73">
        <f>('DOE25'!L279)+('DOE25'!L298)+('DOE25'!L317)</f>
        <v>212421.56</v>
      </c>
      <c r="F111" s="23" t="s">
        <v>288</v>
      </c>
      <c r="G111" s="23" t="s">
        <v>288</v>
      </c>
      <c r="H111" s="13">
        <f t="shared" si="6"/>
        <v>1556996.8600000003</v>
      </c>
    </row>
    <row r="112" spans="1:8" x14ac:dyDescent="0.2">
      <c r="A112" t="s">
        <v>201</v>
      </c>
      <c r="B112" s="31" t="s">
        <v>167</v>
      </c>
      <c r="C112" s="73">
        <f>('DOE25'!L201)+('DOE25'!L219)+('DOE25'!L237)</f>
        <v>918252.55</v>
      </c>
      <c r="D112" s="23" t="s">
        <v>288</v>
      </c>
      <c r="E112" s="73">
        <f>+('DOE25'!L280)+('DOE25'!L299)+('DOE25'!L318)</f>
        <v>59513.45</v>
      </c>
      <c r="F112" s="23" t="s">
        <v>288</v>
      </c>
      <c r="G112" s="23" t="s">
        <v>288</v>
      </c>
      <c r="H112" s="13">
        <f t="shared" si="6"/>
        <v>977766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378954.2</v>
      </c>
      <c r="F114" s="23" t="s">
        <v>288</v>
      </c>
      <c r="G114" s="23" t="s">
        <v>288</v>
      </c>
      <c r="H114" s="13">
        <f t="shared" si="6"/>
        <v>378954.2</v>
      </c>
    </row>
    <row r="115" spans="1:8" ht="12.75" thickTop="1" thickBot="1" x14ac:dyDescent="0.25">
      <c r="A115" s="32" t="s">
        <v>205</v>
      </c>
      <c r="C115" s="68">
        <f>SUM(C109:C114)</f>
        <v>36561949.319999993</v>
      </c>
      <c r="D115" s="68">
        <f>SUM(D109:D114)</f>
        <v>0</v>
      </c>
      <c r="E115" s="68">
        <f>SUM(E109:E114)</f>
        <v>1778324.42</v>
      </c>
      <c r="F115" s="68">
        <f>SUM(F109:F114)</f>
        <v>0</v>
      </c>
      <c r="G115" s="68">
        <f>SUM(G109:G114)</f>
        <v>0</v>
      </c>
      <c r="H115" s="68">
        <f t="shared" si="6"/>
        <v>38340273.739999995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5994741.4099999992</v>
      </c>
      <c r="D118" s="23" t="s">
        <v>288</v>
      </c>
      <c r="E118" s="73">
        <f>+('DOE25'!L282)+('DOE25'!L301)+('DOE25'!L320)</f>
        <v>520170.68</v>
      </c>
      <c r="F118" s="23" t="s">
        <v>288</v>
      </c>
      <c r="G118" s="23" t="s">
        <v>288</v>
      </c>
      <c r="H118" s="13">
        <f t="shared" ref="H118:H145" si="7">SUM(C118:G118)</f>
        <v>6514912.0899999989</v>
      </c>
    </row>
    <row r="119" spans="1:8" x14ac:dyDescent="0.2">
      <c r="A119" t="s">
        <v>208</v>
      </c>
      <c r="B119" s="31" t="s">
        <v>209</v>
      </c>
      <c r="C119" s="73">
        <f>('DOE25'!L204)+('DOE25'!L222)+('DOE25'!L240)</f>
        <v>1318928.8900000001</v>
      </c>
      <c r="D119" s="23" t="s">
        <v>288</v>
      </c>
      <c r="E119" s="73">
        <f>+('DOE25'!L283)+('DOE25'!L302)+('DOE25'!L321)</f>
        <v>791199.53</v>
      </c>
      <c r="F119" s="23" t="s">
        <v>288</v>
      </c>
      <c r="G119" s="23" t="s">
        <v>288</v>
      </c>
      <c r="H119" s="13">
        <f t="shared" si="7"/>
        <v>2110128.42</v>
      </c>
    </row>
    <row r="120" spans="1:8" x14ac:dyDescent="0.2">
      <c r="A120" t="s">
        <v>210</v>
      </c>
      <c r="B120" s="31" t="s">
        <v>211</v>
      </c>
      <c r="C120" s="73">
        <f>('DOE25'!L205)+('DOE25'!L223)+('DOE25'!L241)</f>
        <v>3422689.72</v>
      </c>
      <c r="D120" s="23" t="s">
        <v>288</v>
      </c>
      <c r="E120" s="73">
        <f>+('DOE25'!L284)+('DOE25'!L303)+('DOE25'!L322)</f>
        <v>127290.59000000001</v>
      </c>
      <c r="F120" s="23" t="s">
        <v>288</v>
      </c>
      <c r="G120" s="23" t="s">
        <v>288</v>
      </c>
      <c r="H120" s="13">
        <f t="shared" si="7"/>
        <v>3549980.31</v>
      </c>
    </row>
    <row r="121" spans="1:8" x14ac:dyDescent="0.2">
      <c r="A121" t="s">
        <v>212</v>
      </c>
      <c r="B121" s="31" t="s">
        <v>213</v>
      </c>
      <c r="C121" s="73">
        <f>('DOE25'!L206)+('DOE25'!L224)+('DOE25'!L242)</f>
        <v>3141527.1100000003</v>
      </c>
      <c r="D121" s="23" t="s">
        <v>288</v>
      </c>
      <c r="E121" s="73">
        <f>+('DOE25'!L285)+('DOE25'!L304)+('DOE25'!L323)</f>
        <v>50135.76</v>
      </c>
      <c r="F121" s="23" t="s">
        <v>288</v>
      </c>
      <c r="G121" s="23" t="s">
        <v>288</v>
      </c>
      <c r="H121" s="13">
        <f t="shared" si="7"/>
        <v>3191662.87</v>
      </c>
    </row>
    <row r="122" spans="1:8" x14ac:dyDescent="0.2">
      <c r="A122" t="s">
        <v>214</v>
      </c>
      <c r="B122" s="31" t="s">
        <v>215</v>
      </c>
      <c r="C122" s="73">
        <f>('DOE25'!L207)+('DOE25'!L225)+('DOE25'!L243)</f>
        <v>9677.24</v>
      </c>
      <c r="D122" s="23" t="s">
        <v>288</v>
      </c>
      <c r="E122" s="73">
        <f>+('DOE25'!L286)+('DOE25'!L305)+('DOE25'!L324)</f>
        <v>220113.77000000002</v>
      </c>
      <c r="F122" s="23" t="s">
        <v>288</v>
      </c>
      <c r="G122" s="23" t="s">
        <v>288</v>
      </c>
      <c r="H122" s="13">
        <f t="shared" si="7"/>
        <v>229791.01</v>
      </c>
    </row>
    <row r="123" spans="1:8" x14ac:dyDescent="0.2">
      <c r="A123" t="s">
        <v>216</v>
      </c>
      <c r="B123" s="31" t="s">
        <v>217</v>
      </c>
      <c r="C123" s="73">
        <f>('DOE25'!L208)+('DOE25'!L226)+('DOE25'!L244)</f>
        <v>5401880.75</v>
      </c>
      <c r="D123" s="23" t="s">
        <v>288</v>
      </c>
      <c r="E123" s="73">
        <f>+('DOE25'!L287)+('DOE25'!L306)+('DOE25'!L325)</f>
        <v>1323610.9099999999</v>
      </c>
      <c r="F123" s="23" t="s">
        <v>288</v>
      </c>
      <c r="G123" s="23" t="s">
        <v>288</v>
      </c>
      <c r="H123" s="13">
        <f t="shared" si="7"/>
        <v>6725491.6600000001</v>
      </c>
    </row>
    <row r="124" spans="1:8" x14ac:dyDescent="0.2">
      <c r="A124" t="s">
        <v>218</v>
      </c>
      <c r="B124" s="31" t="s">
        <v>219</v>
      </c>
      <c r="C124" s="73">
        <f>('DOE25'!L209)+('DOE25'!L227)+('DOE25'!L245+'DOE25'!L255)</f>
        <v>2367442.06</v>
      </c>
      <c r="D124" s="23" t="s">
        <v>288</v>
      </c>
      <c r="E124" s="73">
        <f>+('DOE25'!L288)+('DOE25'!L307)+('DOE25'!L326)</f>
        <v>6605.43</v>
      </c>
      <c r="F124" s="23" t="s">
        <v>288</v>
      </c>
      <c r="G124" s="23" t="s">
        <v>288</v>
      </c>
      <c r="H124" s="13">
        <f t="shared" si="7"/>
        <v>2374047.4900000002</v>
      </c>
    </row>
    <row r="125" spans="1:8" x14ac:dyDescent="0.2">
      <c r="A125" t="s">
        <v>220</v>
      </c>
      <c r="B125" s="31" t="s">
        <v>221</v>
      </c>
      <c r="C125" s="73">
        <f>('DOE25'!L210)+('DOE25'!L228)+('DOE25'!L246)</f>
        <v>1149650.23</v>
      </c>
      <c r="D125" s="23" t="s">
        <v>288</v>
      </c>
      <c r="E125" s="73">
        <f>+('DOE25'!L289)+('DOE25'!L308)+('DOE25'!L327)</f>
        <v>54784.86</v>
      </c>
      <c r="F125" s="23" t="s">
        <v>288</v>
      </c>
      <c r="G125" s="23" t="s">
        <v>288</v>
      </c>
      <c r="H125" s="13">
        <f t="shared" si="7"/>
        <v>1204435.0900000001</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2031959.6500000001</v>
      </c>
      <c r="E127" s="23" t="s">
        <v>288</v>
      </c>
      <c r="F127" s="23" t="s">
        <v>288</v>
      </c>
      <c r="G127" s="23" t="s">
        <v>288</v>
      </c>
      <c r="H127" s="13">
        <f t="shared" si="7"/>
        <v>2031959.6500000001</v>
      </c>
    </row>
    <row r="128" spans="1:8" ht="12.75" thickTop="1" thickBot="1" x14ac:dyDescent="0.25">
      <c r="A128" s="32" t="s">
        <v>226</v>
      </c>
      <c r="C128" s="68">
        <f>SUM(C118:C127)</f>
        <v>22806537.409999996</v>
      </c>
      <c r="D128" s="68">
        <f>SUM(D118:D127)</f>
        <v>2031959.6500000001</v>
      </c>
      <c r="E128" s="68">
        <f>SUM(E118:E127)</f>
        <v>3093911.5300000003</v>
      </c>
      <c r="F128" s="68">
        <f>SUM(F118:F127)</f>
        <v>0</v>
      </c>
      <c r="G128" s="68">
        <f>SUM(G118:G127)</f>
        <v>0</v>
      </c>
      <c r="H128" s="68">
        <f t="shared" si="7"/>
        <v>27932408.589999996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4913741.6399999997</v>
      </c>
      <c r="D130" s="23" t="s">
        <v>288</v>
      </c>
      <c r="E130" s="92">
        <f>'DOE25'!L337</f>
        <v>693818.38</v>
      </c>
      <c r="F130" s="92">
        <f>SUM('DOE25'!L375:'DOE25'!L381)</f>
        <v>0</v>
      </c>
      <c r="G130" s="23" t="s">
        <v>288</v>
      </c>
      <c r="H130" s="13">
        <f t="shared" si="7"/>
        <v>5607560.0199999996</v>
      </c>
    </row>
    <row r="131" spans="1:8" x14ac:dyDescent="0.2">
      <c r="A131" t="s">
        <v>229</v>
      </c>
      <c r="B131" s="31">
        <v>5110</v>
      </c>
      <c r="C131" s="73">
        <f>'DOE25'!L261</f>
        <v>1265064.8400000001</v>
      </c>
      <c r="D131" s="23" t="s">
        <v>288</v>
      </c>
      <c r="E131" s="92">
        <f>'DOE25'!L342</f>
        <v>0</v>
      </c>
      <c r="F131" s="23" t="s">
        <v>288</v>
      </c>
      <c r="G131" s="23" t="s">
        <v>288</v>
      </c>
      <c r="H131" s="13">
        <f t="shared" si="7"/>
        <v>1265064.8400000001</v>
      </c>
    </row>
    <row r="132" spans="1:8" x14ac:dyDescent="0.2">
      <c r="A132" t="s">
        <v>230</v>
      </c>
      <c r="B132" s="31">
        <v>5120</v>
      </c>
      <c r="C132" s="73">
        <f>'DOE25'!L262</f>
        <v>1031070.66</v>
      </c>
      <c r="D132" s="23" t="s">
        <v>288</v>
      </c>
      <c r="E132" s="92">
        <f>'DOE25'!L343</f>
        <v>0</v>
      </c>
      <c r="F132" s="23" t="s">
        <v>288</v>
      </c>
      <c r="G132" s="23" t="s">
        <v>288</v>
      </c>
      <c r="H132" s="13">
        <f t="shared" si="7"/>
        <v>1031070.66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66923.839999999997</v>
      </c>
      <c r="D138" s="23" t="s">
        <v>288</v>
      </c>
      <c r="E138" s="23" t="s">
        <v>288</v>
      </c>
      <c r="F138" s="23" t="s">
        <v>288</v>
      </c>
      <c r="G138" s="23" t="s">
        <v>288</v>
      </c>
      <c r="H138" s="13">
        <f t="shared" si="7"/>
        <v>66923.839999999997</v>
      </c>
    </row>
    <row r="139" spans="1:8" x14ac:dyDescent="0.2">
      <c r="A139" t="s">
        <v>239</v>
      </c>
      <c r="B139" s="31">
        <v>5252</v>
      </c>
      <c r="C139" s="73">
        <f>'DOE25'!L402</f>
        <v>20837.78</v>
      </c>
      <c r="D139" s="23" t="s">
        <v>288</v>
      </c>
      <c r="E139" s="23" t="s">
        <v>288</v>
      </c>
      <c r="F139" s="23" t="s">
        <v>288</v>
      </c>
      <c r="G139" s="23" t="s">
        <v>288</v>
      </c>
      <c r="H139" s="13">
        <f t="shared" si="7"/>
        <v>20837.78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-87761.62</v>
      </c>
      <c r="D141" s="23" t="s">
        <v>288</v>
      </c>
      <c r="E141" s="23" t="s">
        <v>288</v>
      </c>
      <c r="F141" s="23" t="s">
        <v>288</v>
      </c>
      <c r="G141" s="23" t="s">
        <v>288</v>
      </c>
      <c r="H141" s="13">
        <f t="shared" si="7"/>
        <v>-87761.62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7209877.1399999997</v>
      </c>
      <c r="D144" s="98">
        <f>SUM(D130:D143)</f>
        <v>0</v>
      </c>
      <c r="E144" s="98">
        <f>SUM(E130:E143)</f>
        <v>693818.38</v>
      </c>
      <c r="F144" s="98">
        <f>SUM(F130:F143)</f>
        <v>0</v>
      </c>
      <c r="G144" s="98">
        <f>SUM(G130:G143)</f>
        <v>0</v>
      </c>
      <c r="H144" s="98">
        <f t="shared" si="7"/>
        <v>7903695.5199999996</v>
      </c>
    </row>
    <row r="145" spans="1:9" ht="12.75" thickTop="1" thickBot="1" x14ac:dyDescent="0.25">
      <c r="A145" s="32" t="s">
        <v>244</v>
      </c>
      <c r="C145" s="68">
        <f>(C115+C128+C144)</f>
        <v>66578363.86999999</v>
      </c>
      <c r="D145" s="68">
        <f>(D115+D128+D144)</f>
        <v>2031959.6500000001</v>
      </c>
      <c r="E145" s="68">
        <f>(E115+E128+E144)</f>
        <v>5566054.3300000001</v>
      </c>
      <c r="F145" s="68">
        <f>(F115+F128+F144)</f>
        <v>0</v>
      </c>
      <c r="G145" s="68">
        <f>(G115+G128+G144)</f>
        <v>0</v>
      </c>
      <c r="H145" s="68">
        <f t="shared" si="7"/>
        <v>74176377.849999994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29</v>
      </c>
      <c r="C151" s="110">
        <f>'DOE25'!G491</f>
        <v>29</v>
      </c>
      <c r="D151" s="110">
        <f>'DOE25'!H491</f>
        <v>0</v>
      </c>
      <c r="E151" s="110">
        <f>'DOE25'!I491</f>
        <v>0</v>
      </c>
      <c r="F151" s="110">
        <f>'DOE25'!J491</f>
        <v>0</v>
      </c>
      <c r="G151" s="23" t="s">
        <v>288</v>
      </c>
    </row>
    <row r="152" spans="1:9" x14ac:dyDescent="0.2">
      <c r="A152" s="21" t="s">
        <v>28</v>
      </c>
      <c r="B152" s="109" t="str">
        <f>'DOE25'!F492</f>
        <v>07/10</v>
      </c>
      <c r="C152" s="109" t="str">
        <f>'DOE25'!G492</f>
        <v>7/10</v>
      </c>
      <c r="D152" s="109">
        <f>'DOE25'!H492</f>
        <v>0</v>
      </c>
      <c r="E152" s="109">
        <f>'DOE25'!I492</f>
        <v>0</v>
      </c>
      <c r="F152" s="109">
        <f>'DOE25'!J492</f>
        <v>0</v>
      </c>
      <c r="G152" s="23" t="s">
        <v>288</v>
      </c>
    </row>
    <row r="153" spans="1:9" x14ac:dyDescent="0.2">
      <c r="A153" s="21" t="s">
        <v>29</v>
      </c>
      <c r="B153" s="109" t="str">
        <f>'DOE25'!F493</f>
        <v>08/39</v>
      </c>
      <c r="C153" s="109" t="str">
        <f>'DOE25'!G493</f>
        <v>08/39</v>
      </c>
      <c r="D153" s="109">
        <f>'DOE25'!H493</f>
        <v>0</v>
      </c>
      <c r="E153" s="109">
        <f>'DOE25'!I493</f>
        <v>0</v>
      </c>
      <c r="F153" s="109">
        <f>'DOE25'!J493</f>
        <v>0</v>
      </c>
      <c r="G153" s="23" t="s">
        <v>288</v>
      </c>
    </row>
    <row r="154" spans="1:9" x14ac:dyDescent="0.2">
      <c r="A154" s="21" t="s">
        <v>30</v>
      </c>
      <c r="B154" s="19">
        <f>'DOE25'!F494</f>
        <v>35115529.659999996</v>
      </c>
      <c r="C154" s="19">
        <f>'DOE25'!G494</f>
        <v>1817970.34</v>
      </c>
      <c r="D154" s="19">
        <f>'DOE25'!H494</f>
        <v>0</v>
      </c>
      <c r="E154" s="19">
        <f>'DOE25'!I494</f>
        <v>0</v>
      </c>
      <c r="F154" s="19">
        <f>'DOE25'!J494</f>
        <v>0</v>
      </c>
      <c r="G154" s="23" t="s">
        <v>288</v>
      </c>
    </row>
    <row r="155" spans="1:9" x14ac:dyDescent="0.2">
      <c r="A155" s="21" t="s">
        <v>31</v>
      </c>
      <c r="B155" s="19">
        <f>'DOE25'!F495</f>
        <v>4.4400000000000004</v>
      </c>
      <c r="C155" s="19">
        <f>'DOE25'!G495</f>
        <v>4.4400000000000004</v>
      </c>
      <c r="D155" s="19">
        <f>'DOE25'!H495</f>
        <v>0</v>
      </c>
      <c r="E155" s="19">
        <f>'DOE25'!I495</f>
        <v>0</v>
      </c>
      <c r="F155" s="19">
        <f>'DOE25'!J495</f>
        <v>0</v>
      </c>
      <c r="G155" s="23" t="s">
        <v>288</v>
      </c>
    </row>
    <row r="156" spans="1:9" x14ac:dyDescent="0.2">
      <c r="A156" s="21" t="s">
        <v>32</v>
      </c>
      <c r="B156" s="19">
        <f>'DOE25'!F496</f>
        <v>14309442.279999999</v>
      </c>
      <c r="C156" s="19">
        <f>'DOE25'!G496</f>
        <v>740815.87</v>
      </c>
      <c r="D156" s="19">
        <f>'DOE25'!H496</f>
        <v>0</v>
      </c>
      <c r="E156" s="19">
        <f>'DOE25'!I496</f>
        <v>0</v>
      </c>
      <c r="F156" s="19">
        <f>'DOE25'!J496</f>
        <v>0</v>
      </c>
      <c r="G156" s="96">
        <f>SUM(B156:F156)</f>
        <v>15050258.149999999</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1202794.8</v>
      </c>
      <c r="C158" s="19">
        <f>'DOE25'!G498</f>
        <v>62270.04</v>
      </c>
      <c r="D158" s="19">
        <f>'DOE25'!H498</f>
        <v>0</v>
      </c>
      <c r="E158" s="19">
        <f>'DOE25'!I498</f>
        <v>0</v>
      </c>
      <c r="F158" s="19">
        <f>'DOE25'!J498</f>
        <v>0</v>
      </c>
      <c r="G158" s="96">
        <f t="shared" si="8"/>
        <v>1265064.8400000001</v>
      </c>
    </row>
    <row r="159" spans="1:9" x14ac:dyDescent="0.2">
      <c r="A159" s="21" t="s">
        <v>35</v>
      </c>
      <c r="B159" s="19">
        <f>'DOE25'!F499</f>
        <v>13106647.48</v>
      </c>
      <c r="C159" s="19">
        <f>'DOE25'!G499</f>
        <v>678545.83</v>
      </c>
      <c r="D159" s="19">
        <f>'DOE25'!H499</f>
        <v>0</v>
      </c>
      <c r="E159" s="19">
        <f>'DOE25'!I499</f>
        <v>0</v>
      </c>
      <c r="F159" s="19">
        <f>'DOE25'!J499</f>
        <v>0</v>
      </c>
      <c r="G159" s="96">
        <f t="shared" si="8"/>
        <v>13785193.310000001</v>
      </c>
    </row>
    <row r="160" spans="1:9" x14ac:dyDescent="0.2">
      <c r="A160" s="21" t="s">
        <v>36</v>
      </c>
      <c r="B160" s="19">
        <f>'DOE25'!F500</f>
        <v>21503500.649999999</v>
      </c>
      <c r="C160" s="19">
        <f>'DOE25'!G500</f>
        <v>1113260.33</v>
      </c>
      <c r="D160" s="19">
        <f>'DOE25'!H500</f>
        <v>0</v>
      </c>
      <c r="E160" s="19">
        <f>'DOE25'!I500</f>
        <v>0</v>
      </c>
      <c r="F160" s="19">
        <f>'DOE25'!J500</f>
        <v>0</v>
      </c>
      <c r="G160" s="96">
        <f t="shared" si="8"/>
        <v>22616760.979999997</v>
      </c>
    </row>
    <row r="161" spans="1:7" x14ac:dyDescent="0.2">
      <c r="A161" s="21" t="s">
        <v>37</v>
      </c>
      <c r="B161" s="19">
        <f>'DOE25'!F501</f>
        <v>34610148.129999995</v>
      </c>
      <c r="C161" s="19">
        <f>'DOE25'!G501</f>
        <v>1791806.1600000001</v>
      </c>
      <c r="D161" s="19">
        <f>'DOE25'!H501</f>
        <v>0</v>
      </c>
      <c r="E161" s="19">
        <f>'DOE25'!I501</f>
        <v>0</v>
      </c>
      <c r="F161" s="19">
        <f>'DOE25'!J501</f>
        <v>0</v>
      </c>
      <c r="G161" s="96">
        <f t="shared" si="8"/>
        <v>36401954.289999992</v>
      </c>
    </row>
    <row r="162" spans="1:7" x14ac:dyDescent="0.2">
      <c r="A162" s="21" t="s">
        <v>38</v>
      </c>
      <c r="B162" s="19">
        <f>'DOE25'!F502</f>
        <v>1148770.97</v>
      </c>
      <c r="C162" s="19">
        <f>'DOE25'!G502</f>
        <v>59473.16</v>
      </c>
      <c r="D162" s="19">
        <f>'DOE25'!H502</f>
        <v>0</v>
      </c>
      <c r="E162" s="19">
        <f>'DOE25'!I502</f>
        <v>0</v>
      </c>
      <c r="F162" s="19">
        <f>'DOE25'!J502</f>
        <v>0</v>
      </c>
      <c r="G162" s="96">
        <f t="shared" si="8"/>
        <v>1208244.1299999999</v>
      </c>
    </row>
    <row r="163" spans="1:7" x14ac:dyDescent="0.2">
      <c r="A163" s="21" t="s">
        <v>39</v>
      </c>
      <c r="B163" s="19">
        <f>'DOE25'!F503</f>
        <v>1033633.98</v>
      </c>
      <c r="C163" s="19">
        <f>'DOE25'!G503</f>
        <v>53512.39</v>
      </c>
      <c r="D163" s="19">
        <f>'DOE25'!H503</f>
        <v>0</v>
      </c>
      <c r="E163" s="19">
        <f>'DOE25'!I503</f>
        <v>0</v>
      </c>
      <c r="F163" s="19">
        <f>'DOE25'!J503</f>
        <v>0</v>
      </c>
      <c r="G163" s="96">
        <f t="shared" si="8"/>
        <v>1087146.3699999999</v>
      </c>
    </row>
    <row r="164" spans="1:7" x14ac:dyDescent="0.2">
      <c r="A164" s="21" t="s">
        <v>246</v>
      </c>
      <c r="B164" s="19">
        <f>'DOE25'!F504</f>
        <v>2182404.9500000002</v>
      </c>
      <c r="C164" s="19">
        <f>'DOE25'!G504</f>
        <v>112985.55</v>
      </c>
      <c r="D164" s="19">
        <f>'DOE25'!H504</f>
        <v>0</v>
      </c>
      <c r="E164" s="19">
        <f>'DOE25'!I504</f>
        <v>0</v>
      </c>
      <c r="F164" s="19">
        <f>'DOE25'!J504</f>
        <v>0</v>
      </c>
      <c r="G164" s="96">
        <f t="shared" si="8"/>
        <v>2295390.5</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portrait"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Keene</v>
      </c>
    </row>
    <row r="3" spans="1:4" x14ac:dyDescent="0.2">
      <c r="B3" s="136" t="s">
        <v>1792</v>
      </c>
    </row>
    <row r="4" spans="1:4" x14ac:dyDescent="0.2">
      <c r="B4" t="s">
        <v>61</v>
      </c>
      <c r="C4" s="128">
        <f>IF('DOE25'!F666+'DOE25'!F671=0,0,ROUND('DOE25'!F673,0))</f>
        <v>22876</v>
      </c>
    </row>
    <row r="5" spans="1:4" x14ac:dyDescent="0.2">
      <c r="B5" t="s">
        <v>700</v>
      </c>
      <c r="C5" s="128">
        <f>IF('DOE25'!G666+'DOE25'!G671=0,0,ROUND('DOE25'!G673,0))</f>
        <v>18763</v>
      </c>
    </row>
    <row r="6" spans="1:4" x14ac:dyDescent="0.2">
      <c r="B6" t="s">
        <v>62</v>
      </c>
      <c r="C6" s="128">
        <f>IF('DOE25'!H666+'DOE25'!H671=0,0,ROUND('DOE25'!H673,0))</f>
        <v>16876</v>
      </c>
    </row>
    <row r="7" spans="1:4" x14ac:dyDescent="0.2">
      <c r="B7" t="s">
        <v>701</v>
      </c>
      <c r="C7" s="128">
        <f>IF('DOE25'!I666+'DOE25'!I671=0,0,ROUND('DOE25'!I673,0))</f>
        <v>19378</v>
      </c>
    </row>
    <row r="9" spans="1:4" x14ac:dyDescent="0.2">
      <c r="A9" s="135" t="s">
        <v>94</v>
      </c>
      <c r="B9" s="136" t="s">
        <v>1793</v>
      </c>
      <c r="C9" s="130" t="s">
        <v>720</v>
      </c>
      <c r="D9" s="130" t="s">
        <v>721</v>
      </c>
    </row>
    <row r="10" spans="1:4" x14ac:dyDescent="0.2">
      <c r="A10">
        <v>1100</v>
      </c>
      <c r="B10" t="s">
        <v>702</v>
      </c>
      <c r="C10" s="128">
        <f>ROUND('DOE25'!L198+'DOE25'!L216+'DOE25'!L234+'DOE25'!L277+'DOE25'!L296+'DOE25'!L315,0)</f>
        <v>22874355</v>
      </c>
      <c r="D10" s="131">
        <f>ROUND((C10/$C$28)*100,1)</f>
        <v>34.5</v>
      </c>
    </row>
    <row r="11" spans="1:4" x14ac:dyDescent="0.2">
      <c r="A11">
        <v>1200</v>
      </c>
      <c r="B11" t="s">
        <v>703</v>
      </c>
      <c r="C11" s="128">
        <f>ROUND('DOE25'!L199+'DOE25'!L217+'DOE25'!L235+'DOE25'!L278+'DOE25'!L297+'DOE25'!L316,0)</f>
        <v>12552202</v>
      </c>
      <c r="D11" s="131">
        <f>ROUND((C11/$C$28)*100,1)</f>
        <v>18.899999999999999</v>
      </c>
    </row>
    <row r="12" spans="1:4" x14ac:dyDescent="0.2">
      <c r="A12">
        <v>1300</v>
      </c>
      <c r="B12" t="s">
        <v>704</v>
      </c>
      <c r="C12" s="128">
        <f>ROUND('DOE25'!L200+'DOE25'!L218+'DOE25'!L236+'DOE25'!L279+'DOE25'!L298+'DOE25'!L317,0)</f>
        <v>1556997</v>
      </c>
      <c r="D12" s="131">
        <f>ROUND((C12/$C$28)*100,1)</f>
        <v>2.2999999999999998</v>
      </c>
    </row>
    <row r="13" spans="1:4" x14ac:dyDescent="0.2">
      <c r="A13">
        <v>1400</v>
      </c>
      <c r="B13" t="s">
        <v>705</v>
      </c>
      <c r="C13" s="128">
        <f>ROUND('DOE25'!L201+'DOE25'!L219+'DOE25'!L237+'DOE25'!L280+'DOE25'!L299+'DOE25'!L318,0)</f>
        <v>977766</v>
      </c>
      <c r="D13" s="131">
        <f>ROUND((C13/$C$28)*100,1)</f>
        <v>1.5</v>
      </c>
    </row>
    <row r="14" spans="1:4" x14ac:dyDescent="0.2">
      <c r="D14" s="131"/>
    </row>
    <row r="15" spans="1:4" x14ac:dyDescent="0.2">
      <c r="A15">
        <v>2100</v>
      </c>
      <c r="B15" t="s">
        <v>706</v>
      </c>
      <c r="C15" s="128">
        <f>ROUND('DOE25'!L203+'DOE25'!L221+'DOE25'!L239+'DOE25'!L282+'DOE25'!L301+'DOE25'!L320,0)</f>
        <v>6514912</v>
      </c>
      <c r="D15" s="131">
        <f t="shared" ref="D15:D27" si="0">ROUND((C15/$C$28)*100,1)</f>
        <v>9.8000000000000007</v>
      </c>
    </row>
    <row r="16" spans="1:4" x14ac:dyDescent="0.2">
      <c r="A16">
        <v>2200</v>
      </c>
      <c r="B16" t="s">
        <v>707</v>
      </c>
      <c r="C16" s="128">
        <f>ROUND('DOE25'!L204+'DOE25'!L222+'DOE25'!L240+'DOE25'!L283+'DOE25'!L302+'DOE25'!L321,0)</f>
        <v>2110128</v>
      </c>
      <c r="D16" s="131">
        <f t="shared" si="0"/>
        <v>3.2</v>
      </c>
    </row>
    <row r="17" spans="1:4" x14ac:dyDescent="0.2">
      <c r="A17" s="132" t="s">
        <v>723</v>
      </c>
      <c r="B17" t="s">
        <v>738</v>
      </c>
      <c r="C17" s="128">
        <f>ROUND('DOE25'!L205+'DOE25'!L210+'DOE25'!L223+'DOE25'!L228+'DOE25'!L241+'DOE25'!L246+'DOE25'!L284+'DOE25'!L289+'DOE25'!L303+'DOE25'!L308+'DOE25'!L322+'DOE25'!L327,0)</f>
        <v>4754415</v>
      </c>
      <c r="D17" s="131">
        <f t="shared" si="0"/>
        <v>7.2</v>
      </c>
    </row>
    <row r="18" spans="1:4" x14ac:dyDescent="0.2">
      <c r="A18">
        <v>2400</v>
      </c>
      <c r="B18" t="s">
        <v>711</v>
      </c>
      <c r="C18" s="128">
        <f>ROUND('DOE25'!L206+'DOE25'!L224+'DOE25'!L242+'DOE25'!L285+'DOE25'!L304+'DOE25'!L323,0)</f>
        <v>3191663</v>
      </c>
      <c r="D18" s="131">
        <f t="shared" si="0"/>
        <v>4.8</v>
      </c>
    </row>
    <row r="19" spans="1:4" x14ac:dyDescent="0.2">
      <c r="A19">
        <v>2500</v>
      </c>
      <c r="B19" t="s">
        <v>708</v>
      </c>
      <c r="C19" s="128">
        <f>ROUND('DOE25'!L207+'DOE25'!L225+'DOE25'!L243+'DOE25'!L286+'DOE25'!L305+'DOE25'!L324,0)</f>
        <v>229791</v>
      </c>
      <c r="D19" s="131">
        <f t="shared" si="0"/>
        <v>0.3</v>
      </c>
    </row>
    <row r="20" spans="1:4" x14ac:dyDescent="0.2">
      <c r="A20">
        <v>2600</v>
      </c>
      <c r="B20" t="s">
        <v>709</v>
      </c>
      <c r="C20" s="128">
        <f>ROUND('DOE25'!L208+'DOE25'!L226+'DOE25'!L244+'DOE25'!L287+'DOE25'!L306+'DOE25'!L325,0)</f>
        <v>6725492</v>
      </c>
      <c r="D20" s="131">
        <f t="shared" si="0"/>
        <v>10.1</v>
      </c>
    </row>
    <row r="21" spans="1:4" x14ac:dyDescent="0.2">
      <c r="A21">
        <v>2700</v>
      </c>
      <c r="B21" t="s">
        <v>710</v>
      </c>
      <c r="C21" s="128">
        <f>ROUND('DOE25'!L209+'DOE25'!L227+'DOE25'!L245+'DOE25'!L288+'DOE25'!L307+'DOE25'!L326,0)</f>
        <v>2374047</v>
      </c>
      <c r="D21" s="131">
        <f t="shared" si="0"/>
        <v>3.6</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378954</v>
      </c>
      <c r="D24" s="131">
        <f t="shared" si="0"/>
        <v>0.6</v>
      </c>
    </row>
    <row r="25" spans="1:4" x14ac:dyDescent="0.2">
      <c r="A25">
        <v>5120</v>
      </c>
      <c r="B25" t="s">
        <v>716</v>
      </c>
      <c r="C25" s="128">
        <f>ROUND('DOE25'!L262+'DOE25'!L343,0)</f>
        <v>1031071</v>
      </c>
      <c r="D25" s="131">
        <f t="shared" si="0"/>
        <v>1.6</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1039667.97</v>
      </c>
      <c r="D27" s="131">
        <f t="shared" si="0"/>
        <v>1.6</v>
      </c>
    </row>
    <row r="28" spans="1:4" x14ac:dyDescent="0.2">
      <c r="B28" s="135" t="s">
        <v>719</v>
      </c>
      <c r="C28" s="129">
        <f>SUM(C10:C27)</f>
        <v>66311460.969999999</v>
      </c>
      <c r="D28" s="133">
        <f>ROUND(SUM(D10:D27),0)</f>
        <v>100</v>
      </c>
    </row>
    <row r="29" spans="1:4" x14ac:dyDescent="0.2">
      <c r="A29">
        <v>4000</v>
      </c>
      <c r="B29" t="s">
        <v>724</v>
      </c>
      <c r="C29" s="128">
        <f>ROUND('DOE25'!L256+'DOE25'!L337+'DOE25'!L375+'DOE25'!L376+'DOE25'!L377+'DOE25'!L378+'DOE25'!L379+'DOE25'!L380+'DOE25'!L381,0)</f>
        <v>5607560</v>
      </c>
    </row>
    <row r="30" spans="1:4" x14ac:dyDescent="0.2">
      <c r="B30" s="135" t="s">
        <v>725</v>
      </c>
      <c r="C30" s="129">
        <f>SUM(C28:C29)</f>
        <v>71919020.969999999</v>
      </c>
    </row>
    <row r="31" spans="1:4" x14ac:dyDescent="0.2">
      <c r="B31" s="32"/>
      <c r="C31" s="129"/>
    </row>
    <row r="32" spans="1:4" x14ac:dyDescent="0.2">
      <c r="A32">
        <v>5100</v>
      </c>
      <c r="B32" s="32" t="s">
        <v>726</v>
      </c>
      <c r="C32" s="129">
        <f>ROUND('DOE25'!L261+'DOE25'!L342,0)</f>
        <v>1265065</v>
      </c>
    </row>
    <row r="34" spans="1:4" x14ac:dyDescent="0.2">
      <c r="A34" s="135" t="s">
        <v>94</v>
      </c>
      <c r="B34" s="136" t="s">
        <v>1794</v>
      </c>
      <c r="C34" s="130" t="s">
        <v>720</v>
      </c>
      <c r="D34" s="130" t="s">
        <v>721</v>
      </c>
    </row>
    <row r="35" spans="1:4" x14ac:dyDescent="0.2">
      <c r="A35">
        <v>1100</v>
      </c>
      <c r="B35" s="71" t="s">
        <v>727</v>
      </c>
      <c r="C35" s="128">
        <f>ROUND('DOE25'!F60+'DOE25'!G60+'DOE25'!H60+'DOE25'!I60+'DOE25'!J60,0)</f>
        <v>32824979</v>
      </c>
      <c r="D35" s="131">
        <f t="shared" ref="D35:D40" si="1">ROUND((C35/$C$41)*100,1)</f>
        <v>44.9</v>
      </c>
    </row>
    <row r="36" spans="1:4" x14ac:dyDescent="0.2">
      <c r="B36" s="71" t="s">
        <v>739</v>
      </c>
      <c r="C36" s="128">
        <f>SUM('DOE25'!F112:J112)-SUM('DOE25'!G97:G110)+('DOE25'!F175+'DOE25'!F176+'DOE25'!I175+'DOE25'!I176)-C35</f>
        <v>14765840.43999999</v>
      </c>
      <c r="D36" s="131">
        <f t="shared" si="1"/>
        <v>20.2</v>
      </c>
    </row>
    <row r="37" spans="1:4" x14ac:dyDescent="0.2">
      <c r="A37" s="132" t="s">
        <v>831</v>
      </c>
      <c r="B37" s="71" t="s">
        <v>728</v>
      </c>
      <c r="C37" s="128">
        <f>ROUND('DOE25'!F117+'DOE25'!F118,0)</f>
        <v>17841165</v>
      </c>
      <c r="D37" s="131">
        <f t="shared" si="1"/>
        <v>24.4</v>
      </c>
    </row>
    <row r="38" spans="1:4" x14ac:dyDescent="0.2">
      <c r="A38" s="132" t="s">
        <v>734</v>
      </c>
      <c r="B38" s="71" t="s">
        <v>729</v>
      </c>
      <c r="C38" s="128">
        <f>ROUND(SUM('DOE25'!F140:J140)-SUM('DOE25'!F117:F119),0)</f>
        <v>1701700</v>
      </c>
      <c r="D38" s="131">
        <f t="shared" si="1"/>
        <v>2.2999999999999998</v>
      </c>
    </row>
    <row r="39" spans="1:4" x14ac:dyDescent="0.2">
      <c r="A39">
        <v>4000</v>
      </c>
      <c r="B39" s="71" t="s">
        <v>730</v>
      </c>
      <c r="C39" s="128">
        <f>ROUND('DOE25'!F170+'DOE25'!G170+'DOE25'!H170+'DOE25'!I170,0)</f>
        <v>5984891</v>
      </c>
      <c r="D39" s="131">
        <f t="shared" si="1"/>
        <v>8.1999999999999993</v>
      </c>
    </row>
    <row r="40" spans="1:4" x14ac:dyDescent="0.2">
      <c r="A40" s="132" t="s">
        <v>735</v>
      </c>
      <c r="B40" s="71" t="s">
        <v>731</v>
      </c>
      <c r="C40" s="128">
        <f>ROUND(SUM('DOE25'!F190:F192)+SUM('DOE25'!G190:G192)+SUM('DOE25'!H190:H192)+SUM('DOE25'!I190:I192),0)</f>
        <v>10000</v>
      </c>
      <c r="D40" s="131">
        <f t="shared" si="1"/>
        <v>0</v>
      </c>
    </row>
    <row r="41" spans="1:4" x14ac:dyDescent="0.2">
      <c r="B41" s="135" t="s">
        <v>732</v>
      </c>
      <c r="C41" s="129">
        <f>SUM(C35:C40)</f>
        <v>73128575.439999998</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Keene</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6"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91</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35</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39</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IFERROR(SMALL($I$4:$I$385,ROWS($I$4:I5)),"")</f>
        <v>96</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IFERROR(SMALL($I$4:$I$385,ROWS($I$4:I6)),"")</f>
        <v>150</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f>IFERROR(SMALL($I$4:$I$385,ROWS($I$4:I7)),"")</f>
        <v>296</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f>IFERROR(SMALL($I$4:$I$385,ROWS($I$4:I8)),"")</f>
        <v>320</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f>IF('School Level Expenditures'!$B$2='School Tables'!L38,'School Tables'!S38,"")</f>
        <v>35</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f>IF('School Level Expenditures'!$B$2='School Tables'!W42,'School Tables'!AD42,"")</f>
        <v>39</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f>IF('School Level Expenditures'!$B$2=A94,'School Tables'!H94,"")</f>
        <v>91</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f>IF('School Level Expenditures'!$B$2=A99,'School Tables'!H99,"")</f>
        <v>96</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f>IF('School Level Expenditures'!$B$2=A153,'School Tables'!H153,"")</f>
        <v>150</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f>IF('School Level Expenditures'!$B$2=A299,'School Tables'!H299,"")</f>
        <v>296</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f>IF('School Level Expenditures'!$B$2=A323,'School Tables'!H323,"")</f>
        <v>320</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2024-11-19T18:25:49Z</cp:lastPrinted>
  <dcterms:created xsi:type="dcterms:W3CDTF">1997-12-04T19:04:30Z</dcterms:created>
  <dcterms:modified xsi:type="dcterms:W3CDTF">2024-12-20T18:59:21Z</dcterms:modified>
</cp:coreProperties>
</file>