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5EBCA3E0-9295-4BBD-9A75-86C6C0835056}"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24" i="1" l="1"/>
  <c r="J523" i="1"/>
  <c r="J522" i="1"/>
  <c r="I524" i="1"/>
  <c r="I523" i="1"/>
  <c r="I522" i="1"/>
  <c r="H524" i="1"/>
  <c r="H523" i="1"/>
  <c r="G523" i="1"/>
  <c r="G524" i="1"/>
  <c r="G522" i="1"/>
  <c r="H208" i="1" l="1"/>
  <c r="H199" i="1"/>
  <c r="H522" i="1" s="1"/>
  <c r="H256" i="1"/>
  <c r="F199"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L613" i="1"/>
  <c r="L612" i="1"/>
  <c r="C40" i="10"/>
  <c r="F60" i="1"/>
  <c r="G60" i="1"/>
  <c r="D56" i="2" s="1"/>
  <c r="H60" i="1"/>
  <c r="E56" i="2" s="1"/>
  <c r="I60" i="1"/>
  <c r="F79" i="1"/>
  <c r="C57" i="2" s="1"/>
  <c r="F94" i="1"/>
  <c r="F111" i="1"/>
  <c r="G111" i="1"/>
  <c r="H79" i="1"/>
  <c r="H94" i="1"/>
  <c r="E58" i="2" s="1"/>
  <c r="H111" i="1"/>
  <c r="I111" i="1"/>
  <c r="J111" i="1"/>
  <c r="F121" i="1"/>
  <c r="F136" i="1"/>
  <c r="G121" i="1"/>
  <c r="G136" i="1"/>
  <c r="H121" i="1"/>
  <c r="H136" i="1"/>
  <c r="H140" i="1" s="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F615" i="1"/>
  <c r="G615" i="1"/>
  <c r="H615" i="1"/>
  <c r="I615" i="1"/>
  <c r="J615" i="1"/>
  <c r="K615" i="1"/>
  <c r="G623" i="1"/>
  <c r="G624" i="1"/>
  <c r="G625" i="1"/>
  <c r="H628" i="1"/>
  <c r="H629" i="1"/>
  <c r="H630" i="1"/>
  <c r="H631" i="1"/>
  <c r="H632" i="1"/>
  <c r="H633" i="1"/>
  <c r="H634" i="1"/>
  <c r="H636" i="1"/>
  <c r="H637" i="1"/>
  <c r="H638" i="1"/>
  <c r="H639" i="1"/>
  <c r="G641" i="1"/>
  <c r="G644" i="1"/>
  <c r="G645" i="1"/>
  <c r="G651" i="1"/>
  <c r="H653" i="1"/>
  <c r="G654" i="1"/>
  <c r="H654" i="1"/>
  <c r="H655" i="1"/>
  <c r="H656" i="1"/>
  <c r="H125" i="2" l="1"/>
  <c r="G663" i="1"/>
  <c r="J605" i="1"/>
  <c r="J606" i="1" s="1"/>
  <c r="H26" i="2"/>
  <c r="I605" i="1"/>
  <c r="I606" i="1" s="1"/>
  <c r="H605" i="1"/>
  <c r="F85" i="2"/>
  <c r="F664" i="1"/>
  <c r="D18" i="13"/>
  <c r="C18" i="13" s="1"/>
  <c r="G646" i="1"/>
  <c r="H477" i="1"/>
  <c r="H625" i="1" s="1"/>
  <c r="J625" i="1" s="1"/>
  <c r="H87" i="2"/>
  <c r="E124" i="2"/>
  <c r="C112" i="2"/>
  <c r="C13" i="10"/>
  <c r="H96" i="2"/>
  <c r="H93" i="2"/>
  <c r="H80" i="2"/>
  <c r="E112" i="2"/>
  <c r="H102" i="2"/>
  <c r="H99" i="2"/>
  <c r="H77" i="2"/>
  <c r="H25" i="2"/>
  <c r="H94" i="2"/>
  <c r="H143" i="2"/>
  <c r="H23" i="2"/>
  <c r="H15" i="2"/>
  <c r="H22" i="2"/>
  <c r="H34" i="2"/>
  <c r="H13" i="2"/>
  <c r="D144" i="2"/>
  <c r="H28" i="2"/>
  <c r="H24" i="2"/>
  <c r="G409" i="1"/>
  <c r="H646" i="1" s="1"/>
  <c r="J646" i="1" s="1"/>
  <c r="H100" i="2"/>
  <c r="H79" i="2"/>
  <c r="H73" i="2"/>
  <c r="H47" i="2"/>
  <c r="H97" i="2"/>
  <c r="H61" i="2"/>
  <c r="J112" i="1"/>
  <c r="H89" i="2"/>
  <c r="H9" i="2"/>
  <c r="I112" i="1"/>
  <c r="J652" i="1"/>
  <c r="G477" i="1"/>
  <c r="H624" i="1" s="1"/>
  <c r="J624" i="1" s="1"/>
  <c r="H30" i="2"/>
  <c r="H27" i="2"/>
  <c r="H12" i="2"/>
  <c r="J140" i="1"/>
  <c r="C32" i="10"/>
  <c r="C12" i="10"/>
  <c r="E13" i="13"/>
  <c r="C13" i="13" s="1"/>
  <c r="H132" i="2"/>
  <c r="G662" i="1"/>
  <c r="H36" i="2"/>
  <c r="H43" i="2"/>
  <c r="H48" i="2"/>
  <c r="I409" i="1"/>
  <c r="H59" i="2"/>
  <c r="H35" i="2"/>
  <c r="H69" i="2"/>
  <c r="H29" i="2"/>
  <c r="H17" i="2"/>
  <c r="H8" i="2"/>
  <c r="K36" i="14"/>
  <c r="K37" i="14" s="1"/>
  <c r="D29" i="13"/>
  <c r="C29" i="13" s="1"/>
  <c r="D15" i="13"/>
  <c r="C15" i="13" s="1"/>
  <c r="H101" i="2"/>
  <c r="H98" i="2"/>
  <c r="H76" i="2"/>
  <c r="H58" i="2"/>
  <c r="H11" i="2"/>
  <c r="H113" i="2"/>
  <c r="H38" i="2"/>
  <c r="H44" i="2"/>
  <c r="C120" i="2"/>
  <c r="H120" i="2" s="1"/>
  <c r="C119" i="2"/>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I662" i="1" s="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K605" i="1" l="1"/>
  <c r="K606" i="1" s="1"/>
  <c r="G649" i="1" s="1"/>
  <c r="H606" i="1"/>
  <c r="G664" i="1"/>
  <c r="H664" i="1"/>
  <c r="E51" i="2"/>
  <c r="B33" i="16"/>
  <c r="H123" i="2"/>
  <c r="H122" i="2"/>
  <c r="H112" i="2"/>
  <c r="I663" i="1"/>
  <c r="L572" i="1"/>
  <c r="F194" i="1"/>
  <c r="G628" i="1" s="1"/>
  <c r="J628" i="1" s="1"/>
  <c r="H103" i="2"/>
  <c r="H21" i="2"/>
  <c r="H18" i="2"/>
  <c r="H50" i="2"/>
  <c r="H134" i="2"/>
  <c r="D51" i="2"/>
  <c r="H85" i="2"/>
  <c r="D128" i="2"/>
  <c r="D145" i="2" s="1"/>
  <c r="H127" i="2"/>
  <c r="C81" i="2"/>
  <c r="H81" i="2" s="1"/>
  <c r="H78" i="2"/>
  <c r="H42" i="2"/>
  <c r="H91" i="2"/>
  <c r="H119" i="2"/>
  <c r="H16" i="2"/>
  <c r="H57" i="2"/>
  <c r="H114" i="2"/>
  <c r="H31" i="2"/>
  <c r="H62" i="2"/>
  <c r="G25" i="14"/>
  <c r="H25" i="14" s="1"/>
  <c r="I25" i="14" s="1"/>
  <c r="H110" i="2"/>
  <c r="H121" i="2"/>
  <c r="E128" i="2"/>
  <c r="H118" i="2"/>
  <c r="F661" i="1"/>
  <c r="F665" i="1" s="1"/>
  <c r="F670" i="1" s="1"/>
  <c r="E115" i="2"/>
  <c r="H109" i="2"/>
  <c r="F144" i="2"/>
  <c r="H130" i="2"/>
  <c r="H661" i="1"/>
  <c r="H194" i="1"/>
  <c r="G630" i="1" s="1"/>
  <c r="J630" i="1" s="1"/>
  <c r="H649" i="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J649" i="1" l="1"/>
  <c r="I664" i="1"/>
  <c r="H665" i="1"/>
  <c r="C104" i="2"/>
  <c r="H104" i="2" s="1"/>
  <c r="H63" i="2"/>
  <c r="H51"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<sst xmlns="http://schemas.openxmlformats.org/spreadsheetml/2006/main" count="6639" uniqueCount="1841">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</sst>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1151</v>
      </c>
      <c r="B2">
        <f>INDEX('School Tables'!$AH$3:$AH$213,MATCH('DOE25'!A2,'School Tables'!$AJ$3:$AJ$213,0))</f>
        <v>285</v>
      </c>
      <c r="C2">
        <f>INDEX('School Tables'!$AI$3:$AI$213,MATCH('DOE25'!A2,'School Tables'!$AJ$3:$AJ$213,0))</f>
        <v>285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600</v>
      </c>
      <c r="G9" s="18">
        <v>1200</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v>2986.79</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427301.29</v>
      </c>
      <c r="G13" s="18">
        <v>105862.49</v>
      </c>
      <c r="H13" s="18">
        <v>5489098.9299999997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v>14850.68</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24058</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v>10407.9</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10000</v>
      </c>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440888.07999999996</v>
      </c>
      <c r="G19" s="38">
        <f>SUM(G9:G18)</f>
        <v>131120.49</v>
      </c>
      <c r="H19" s="38">
        <f>SUM(H9:H18)</f>
        <v>5514357.5099999998</v>
      </c>
      <c r="I19" s="38">
        <f>SUM(I9:I18)</f>
        <v>0</v>
      </c>
      <c r="J19" s="38">
        <f>SUM(J9:J18)</f>
        <v>0</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130765.99</v>
      </c>
      <c r="H22" s="18">
        <v>5486666.0599999996</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2157.13</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v>27691.45</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3689.97</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435040.98</v>
      </c>
      <c r="G31" s="18">
        <v>354.5</v>
      </c>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440888.07999999996</v>
      </c>
      <c r="G32" s="38">
        <f>SUM(G22:G31)</f>
        <v>131120.49</v>
      </c>
      <c r="H32" s="38">
        <f>SUM(H22:H31)</f>
        <v>5514357.5099999998</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2">
      <c r="A49" s="1" t="s">
        <v>855</v>
      </c>
      <c r="B49" s="2" t="s">
        <v>289</v>
      </c>
      <c r="C49" s="6">
        <v>34</v>
      </c>
      <c r="D49" s="2"/>
      <c r="E49" s="6">
        <v>753</v>
      </c>
      <c r="F49" s="18">
        <v>0</v>
      </c>
      <c r="G49" s="101">
        <v>0</v>
      </c>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0</v>
      </c>
      <c r="G51" s="38">
        <f>SUM(G35:G50)</f>
        <v>0</v>
      </c>
      <c r="H51" s="38">
        <f>SUM(H35:H50)</f>
        <v>0</v>
      </c>
      <c r="I51" s="38">
        <f>SUM(I35:I50)</f>
        <v>0</v>
      </c>
      <c r="J51" s="38">
        <f>SUM(J35:J50)</f>
        <v>0</v>
      </c>
      <c r="K51" s="42" t="s">
        <v>288</v>
      </c>
      <c r="L51" s="42" t="s">
        <v>288</v>
      </c>
      <c r="N51" s="130"/>
    </row>
    <row r="52" spans="1:14" s="3" customFormat="1" ht="12.2" customHeight="1" thickTop="1" x14ac:dyDescent="0.15">
      <c r="A52" s="35" t="s">
        <v>455</v>
      </c>
      <c r="B52" s="36" t="s">
        <v>289</v>
      </c>
      <c r="C52" s="6">
        <v>37</v>
      </c>
      <c r="D52" s="36" t="s">
        <v>653</v>
      </c>
      <c r="E52" s="36"/>
      <c r="F52" s="38">
        <f>F51+F32</f>
        <v>440888.07999999996</v>
      </c>
      <c r="G52" s="38">
        <f>G51+G32</f>
        <v>131120.49</v>
      </c>
      <c r="H52" s="38">
        <f>H51+H32</f>
        <v>5514357.5099999998</v>
      </c>
      <c r="I52" s="38">
        <f>I51+I32</f>
        <v>0</v>
      </c>
      <c r="J52" s="38">
        <f>J51+J32</f>
        <v>0</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23535837</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23535837</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201462.37</v>
      </c>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984853.94</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1186316.31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c r="G96" s="18"/>
      <c r="H96" s="18"/>
      <c r="I96" s="18"/>
      <c r="J96" s="18"/>
      <c r="K96" s="23" t="s">
        <v>288</v>
      </c>
      <c r="L96" s="23" t="s">
        <v>288</v>
      </c>
      <c r="M96" s="8"/>
      <c r="N96" s="164"/>
    </row>
    <row r="97" spans="1:14" s="3" customFormat="1" ht="12.2" customHeight="1" x14ac:dyDescent="0.15">
      <c r="A97" s="1" t="s">
        <v>503</v>
      </c>
      <c r="B97" s="2" t="s">
        <v>315</v>
      </c>
      <c r="C97" s="6">
        <v>12</v>
      </c>
      <c r="D97" s="2" t="s">
        <v>430</v>
      </c>
      <c r="E97" s="6">
        <v>1600</v>
      </c>
      <c r="F97" s="23" t="s">
        <v>288</v>
      </c>
      <c r="G97" s="18">
        <v>157576.89000000001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200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205016</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248512.41</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453728.41000000003</v>
      </c>
      <c r="G111" s="38">
        <f>SUM(G96:G110)</f>
        <v>157576.89000000001</v>
      </c>
      <c r="H111" s="38">
        <f>SUM(H96:H110)</f>
        <v>0</v>
      </c>
      <c r="I111" s="38">
        <f>SUM(I96:I110)</f>
        <v>0</v>
      </c>
      <c r="J111" s="38">
        <f>SUM(J96:J110)</f>
        <v>0</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25175881.719999999</v>
      </c>
      <c r="G112" s="38">
        <f>G60+G111</f>
        <v>157576.89000000001</v>
      </c>
      <c r="H112" s="38">
        <f>H60+H79+H94+H111</f>
        <v>0</v>
      </c>
      <c r="I112" s="38">
        <f>I60+I111</f>
        <v>0</v>
      </c>
      <c r="J112" s="38">
        <f>J60+J111</f>
        <v>0</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9991991.4399999995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4669057</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14661048.439999999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487005</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195792.58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669524.80000000005</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276</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76883</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v>0</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1352598.38</v>
      </c>
      <c r="G136" s="38">
        <f>SUM(G123:G135)</f>
        <v>76883</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16013646.82</v>
      </c>
      <c r="G140" s="38">
        <f>G121+SUM(G136:G137)</f>
        <v>76883</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945446.52</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1308226.2</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982654.38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231459.78</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v>104140.61</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723214.5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650138.23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26212.35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326581.94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5439843.4299999997</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26212.35</v>
      </c>
      <c r="G163" s="38">
        <f>SUM(G150:G162)</f>
        <v>723214.5</v>
      </c>
      <c r="H163" s="38">
        <f>SUM(H150:H162)</f>
        <v>9988491.0899999999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26212.35</v>
      </c>
      <c r="G170" s="38">
        <f>G147+G163+SUM(G164:G169)</f>
        <v>723214.5</v>
      </c>
      <c r="H170" s="38">
        <f>H147+H163+SUM(H164:H169)</f>
        <v>9988491.0899999999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375769.31</v>
      </c>
      <c r="H180" s="18"/>
      <c r="I180" s="18"/>
      <c r="J180" s="18">
        <v>100000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375769.31</v>
      </c>
      <c r="H184" s="38">
        <f>SUM(H180:H183)</f>
        <v>0</v>
      </c>
      <c r="I184" s="38">
        <f>SUM(I180:I183)</f>
        <v>0</v>
      </c>
      <c r="J184" s="38">
        <f>SUM(J180:J183)</f>
        <v>100000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375769.31</v>
      </c>
      <c r="H193" s="38">
        <f>+H184+SUM(H189:H192)</f>
        <v>0</v>
      </c>
      <c r="I193" s="38">
        <f>I178+I184+SUM(I189:I192)</f>
        <v>0</v>
      </c>
      <c r="J193" s="38">
        <f>J184</f>
        <v>100000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41215740.890000001</v>
      </c>
      <c r="G194" s="38">
        <f>G112+G140+G170+G193</f>
        <v>1333443.7</v>
      </c>
      <c r="H194" s="38">
        <f>H112+H140+H170+H193</f>
        <v>9988491.0899999999</v>
      </c>
      <c r="I194" s="38">
        <f>I112+I140+I170+I193</f>
        <v>0</v>
      </c>
      <c r="J194" s="38">
        <f>J112+J140+J193</f>
        <v>100000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3766790.12</v>
      </c>
      <c r="G198" s="18">
        <v>2145861.52</v>
      </c>
      <c r="H198" s="18">
        <v>39116.71</v>
      </c>
      <c r="I198" s="18">
        <v>118199.6</v>
      </c>
      <c r="J198" s="18">
        <v>41200.239999999998</v>
      </c>
      <c r="K198" s="18"/>
      <c r="L198" s="13">
        <f>SUM(F198:K198)</f>
        <v>6111168.1900000004</v>
      </c>
      <c r="M198" s="8"/>
      <c r="N198" s="164"/>
    </row>
    <row r="199" spans="1:14" s="3" customFormat="1" ht="12.2" customHeight="1" x14ac:dyDescent="0.15">
      <c r="A199" s="1" t="s">
        <v>439</v>
      </c>
      <c r="B199" s="2" t="s">
        <v>341</v>
      </c>
      <c r="C199" s="2" t="s">
        <v>291</v>
      </c>
      <c r="D199" s="2" t="s">
        <v>431</v>
      </c>
      <c r="E199" s="6">
        <v>1200</v>
      </c>
      <c r="F199" s="18">
        <f>1583934.53+198732.24</f>
        <v>1782666.77</v>
      </c>
      <c r="G199" s="18">
        <v>1108250.3400000001</v>
      </c>
      <c r="H199" s="18">
        <f>1655600.94+52264</f>
        <v>1707864.94</v>
      </c>
      <c r="I199" s="18">
        <v>24321.72</v>
      </c>
      <c r="J199" s="18">
        <v>21233.01</v>
      </c>
      <c r="K199" s="18"/>
      <c r="L199" s="13">
        <f>SUM(F199:K199)</f>
        <v>4644336.78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686440.94</v>
      </c>
      <c r="G203" s="18">
        <v>426747.4</v>
      </c>
      <c r="H203" s="18">
        <v>6298.77</v>
      </c>
      <c r="I203" s="18">
        <v>21449.13</v>
      </c>
      <c r="J203" s="18">
        <v>5098.1899999999996</v>
      </c>
      <c r="K203" s="18"/>
      <c r="L203" s="13">
        <f t="shared" ref="L203:L209" si="0">SUM(F203:K203)</f>
        <v>1146034.4299999997</v>
      </c>
      <c r="M203" s="8"/>
      <c r="N203" s="164"/>
    </row>
    <row r="204" spans="1:14" s="3" customFormat="1" ht="12.2" customHeight="1" x14ac:dyDescent="0.15">
      <c r="A204" s="1" t="s">
        <v>443</v>
      </c>
      <c r="B204" s="2" t="s">
        <v>341</v>
      </c>
      <c r="C204" s="2" t="s">
        <v>295</v>
      </c>
      <c r="D204" s="2" t="s">
        <v>431</v>
      </c>
      <c r="E204" s="6">
        <v>2200</v>
      </c>
      <c r="F204" s="18">
        <v>260178</v>
      </c>
      <c r="G204" s="18">
        <v>161747.79999999999</v>
      </c>
      <c r="H204" s="18">
        <v>74026.44</v>
      </c>
      <c r="I204" s="18">
        <v>109645.45</v>
      </c>
      <c r="J204" s="18">
        <v>63319.95</v>
      </c>
      <c r="K204" s="18">
        <v>55.71</v>
      </c>
      <c r="L204" s="13">
        <f t="shared" si="0"/>
        <v>668973.34999999986</v>
      </c>
      <c r="M204" s="8"/>
      <c r="N204" s="164"/>
    </row>
    <row r="205" spans="1:14" s="3" customFormat="1" ht="12.2" customHeight="1" x14ac:dyDescent="0.15">
      <c r="A205" s="1" t="s">
        <v>444</v>
      </c>
      <c r="B205" s="2" t="s">
        <v>341</v>
      </c>
      <c r="C205" s="2" t="s">
        <v>296</v>
      </c>
      <c r="D205" s="2" t="s">
        <v>431</v>
      </c>
      <c r="E205" s="6">
        <v>2300</v>
      </c>
      <c r="F205" s="18">
        <v>263655.23</v>
      </c>
      <c r="G205" s="18">
        <v>163909.5</v>
      </c>
      <c r="H205" s="18">
        <v>85755.199999999997</v>
      </c>
      <c r="I205" s="18">
        <v>3364.15</v>
      </c>
      <c r="J205" s="18">
        <v>0</v>
      </c>
      <c r="K205" s="18">
        <v>17391.59</v>
      </c>
      <c r="L205" s="13">
        <f t="shared" si="0"/>
        <v>534075.67000000004</v>
      </c>
      <c r="M205" s="8"/>
      <c r="N205" s="164"/>
    </row>
    <row r="206" spans="1:14" s="3" customFormat="1" ht="12.2" customHeight="1" x14ac:dyDescent="0.15">
      <c r="A206" s="1" t="s">
        <v>445</v>
      </c>
      <c r="B206" s="2" t="s">
        <v>341</v>
      </c>
      <c r="C206" s="2" t="s">
        <v>297</v>
      </c>
      <c r="D206" s="2" t="s">
        <v>431</v>
      </c>
      <c r="E206" s="6">
        <v>2400</v>
      </c>
      <c r="F206" s="18">
        <v>564420.03</v>
      </c>
      <c r="G206" s="18">
        <v>350889.3</v>
      </c>
      <c r="H206" s="18">
        <v>6437.3</v>
      </c>
      <c r="I206" s="18">
        <v>5574.21</v>
      </c>
      <c r="J206" s="18"/>
      <c r="K206" s="18">
        <v>1359</v>
      </c>
      <c r="L206" s="13">
        <f t="shared" si="0"/>
        <v>928679.84000000008</v>
      </c>
      <c r="M206" s="8"/>
      <c r="N206" s="164"/>
    </row>
    <row r="207" spans="1:14" s="3" customFormat="1" ht="12.2" customHeight="1" x14ac:dyDescent="0.15">
      <c r="A207" s="1" t="s">
        <v>446</v>
      </c>
      <c r="B207" s="2" t="s">
        <v>341</v>
      </c>
      <c r="C207" s="2" t="s">
        <v>298</v>
      </c>
      <c r="D207" s="2" t="s">
        <v>431</v>
      </c>
      <c r="E207" s="6">
        <v>2500</v>
      </c>
      <c r="F207" s="18">
        <v>136893.5</v>
      </c>
      <c r="G207" s="18">
        <v>85104.11</v>
      </c>
      <c r="H207" s="18">
        <v>7284.2</v>
      </c>
      <c r="I207" s="18"/>
      <c r="J207" s="18">
        <v>540.71</v>
      </c>
      <c r="K207" s="18"/>
      <c r="L207" s="13">
        <f t="shared" si="0"/>
        <v>229822.52</v>
      </c>
      <c r="M207" s="8"/>
      <c r="N207" s="164"/>
    </row>
    <row r="208" spans="1:14" s="3" customFormat="1" ht="12.2" customHeight="1" x14ac:dyDescent="0.15">
      <c r="A208" s="1" t="s">
        <v>447</v>
      </c>
      <c r="B208" s="2" t="s">
        <v>341</v>
      </c>
      <c r="C208" s="2" t="s">
        <v>299</v>
      </c>
      <c r="D208" s="2" t="s">
        <v>431</v>
      </c>
      <c r="E208" s="6">
        <v>2600</v>
      </c>
      <c r="F208" s="18">
        <v>353136.54</v>
      </c>
      <c r="G208" s="18">
        <v>219538.3</v>
      </c>
      <c r="H208" s="18">
        <f>1178565.81+11952</f>
        <v>1190517.81</v>
      </c>
      <c r="I208" s="18">
        <v>326254.90000000002</v>
      </c>
      <c r="J208" s="18">
        <v>37963.93</v>
      </c>
      <c r="K208" s="18"/>
      <c r="L208" s="13">
        <f t="shared" si="0"/>
        <v>2127411.48</v>
      </c>
      <c r="M208" s="8"/>
      <c r="N208" s="164"/>
    </row>
    <row r="209" spans="1:14" s="3" customFormat="1" ht="12.2" customHeight="1" x14ac:dyDescent="0.15">
      <c r="A209" s="1" t="s">
        <v>448</v>
      </c>
      <c r="B209" s="2" t="s">
        <v>341</v>
      </c>
      <c r="C209" s="2" t="s">
        <v>300</v>
      </c>
      <c r="D209" s="2" t="s">
        <v>431</v>
      </c>
      <c r="E209" s="6">
        <v>2700</v>
      </c>
      <c r="F209" s="18">
        <v>0</v>
      </c>
      <c r="G209" s="18"/>
      <c r="H209" s="18">
        <v>353073.67</v>
      </c>
      <c r="I209" s="18"/>
      <c r="J209" s="18"/>
      <c r="K209" s="18"/>
      <c r="L209" s="13">
        <f t="shared" si="0"/>
        <v>353073.67</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7814181.1300000008</v>
      </c>
      <c r="G212" s="38">
        <f>SUM(G198:G211)</f>
        <v>4662048.2700000005</v>
      </c>
      <c r="H212" s="38">
        <f t="shared" si="1"/>
        <v>3470375.04</v>
      </c>
      <c r="I212" s="38">
        <f t="shared" si="1"/>
        <v>608809.16000000015</v>
      </c>
      <c r="J212" s="38">
        <f t="shared" si="1"/>
        <v>169356.03</v>
      </c>
      <c r="K212" s="38">
        <f t="shared" si="1"/>
        <v>18806.3</v>
      </c>
      <c r="L212" s="38">
        <f t="shared" si="1"/>
        <v>16743575.93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2067511.25</v>
      </c>
      <c r="G216" s="18">
        <v>1257196.9099999999</v>
      </c>
      <c r="H216" s="18">
        <v>22298.880000000001</v>
      </c>
      <c r="I216" s="18">
        <v>38218.65</v>
      </c>
      <c r="J216" s="18">
        <v>1628.58</v>
      </c>
      <c r="K216" s="18"/>
      <c r="L216" s="13">
        <f>SUM(F216:K216)</f>
        <v>3386854.27</v>
      </c>
      <c r="M216" s="8"/>
      <c r="N216" s="164"/>
    </row>
    <row r="217" spans="1:14" s="3" customFormat="1" ht="12.2" customHeight="1" x14ac:dyDescent="0.15">
      <c r="A217" s="1" t="s">
        <v>439</v>
      </c>
      <c r="B217" s="2" t="s">
        <v>346</v>
      </c>
      <c r="C217" s="2" t="s">
        <v>291</v>
      </c>
      <c r="D217" s="2" t="s">
        <v>431</v>
      </c>
      <c r="E217" s="6">
        <v>1200</v>
      </c>
      <c r="F217" s="18">
        <v>736520.37</v>
      </c>
      <c r="G217" s="18">
        <v>450200.98</v>
      </c>
      <c r="H217" s="18">
        <v>1122522.08</v>
      </c>
      <c r="I217" s="18">
        <v>5884.89</v>
      </c>
      <c r="J217" s="18"/>
      <c r="K217" s="18"/>
      <c r="L217" s="13">
        <f>SUM(F217:K217)</f>
        <v>2315128.3200000003</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50200</v>
      </c>
      <c r="G219" s="18">
        <v>30684.95</v>
      </c>
      <c r="H219" s="18">
        <v>9286</v>
      </c>
      <c r="I219" s="18">
        <v>5851.55</v>
      </c>
      <c r="J219" s="18"/>
      <c r="K219" s="18"/>
      <c r="L219" s="13">
        <f>SUM(F219:K219)</f>
        <v>96022.5</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180463.2</v>
      </c>
      <c r="G221" s="18">
        <v>110308.84</v>
      </c>
      <c r="H221" s="18">
        <v>95.5</v>
      </c>
      <c r="I221" s="18">
        <v>3324.6</v>
      </c>
      <c r="J221" s="18"/>
      <c r="K221" s="18"/>
      <c r="L221" s="13">
        <f t="shared" ref="L221:L227" si="2">SUM(F221:K221)</f>
        <v>294192.14</v>
      </c>
      <c r="M221" s="8"/>
      <c r="N221" s="164"/>
    </row>
    <row r="222" spans="1:14" s="3" customFormat="1" ht="12.2" customHeight="1" x14ac:dyDescent="0.15">
      <c r="A222" s="1" t="s">
        <v>443</v>
      </c>
      <c r="B222" s="2" t="s">
        <v>346</v>
      </c>
      <c r="C222" s="2" t="s">
        <v>295</v>
      </c>
      <c r="D222" s="2" t="s">
        <v>431</v>
      </c>
      <c r="E222" s="6">
        <v>2200</v>
      </c>
      <c r="F222" s="18">
        <v>134324.62</v>
      </c>
      <c r="G222" s="18">
        <v>99672.34</v>
      </c>
      <c r="H222" s="18">
        <v>35001.21</v>
      </c>
      <c r="I222" s="18">
        <v>48800.27</v>
      </c>
      <c r="J222" s="18">
        <v>30401.65</v>
      </c>
      <c r="K222" s="18">
        <v>26.76</v>
      </c>
      <c r="L222" s="13">
        <f t="shared" si="2"/>
        <v>348226.85000000003</v>
      </c>
      <c r="M222" s="8"/>
      <c r="N222" s="164"/>
    </row>
    <row r="223" spans="1:14" s="3" customFormat="1" ht="12.2" customHeight="1" x14ac:dyDescent="0.15">
      <c r="A223" s="1" t="s">
        <v>444</v>
      </c>
      <c r="B223" s="2" t="s">
        <v>346</v>
      </c>
      <c r="C223" s="2" t="s">
        <v>296</v>
      </c>
      <c r="D223" s="2" t="s">
        <v>431</v>
      </c>
      <c r="E223" s="6">
        <v>2300</v>
      </c>
      <c r="F223" s="18">
        <v>112905.95</v>
      </c>
      <c r="G223" s="18">
        <v>69014.210000000006</v>
      </c>
      <c r="H223" s="18">
        <v>40238.01</v>
      </c>
      <c r="I223" s="18">
        <v>1616.27</v>
      </c>
      <c r="J223" s="18"/>
      <c r="K223" s="18">
        <v>7689</v>
      </c>
      <c r="L223" s="13">
        <f t="shared" si="2"/>
        <v>231463.44</v>
      </c>
      <c r="M223" s="8"/>
      <c r="N223" s="164"/>
    </row>
    <row r="224" spans="1:14" s="3" customFormat="1" ht="12.2" customHeight="1" x14ac:dyDescent="0.15">
      <c r="A224" s="1" t="s">
        <v>445</v>
      </c>
      <c r="B224" s="2" t="s">
        <v>346</v>
      </c>
      <c r="C224" s="2" t="s">
        <v>297</v>
      </c>
      <c r="D224" s="2" t="s">
        <v>431</v>
      </c>
      <c r="E224" s="6">
        <v>2400</v>
      </c>
      <c r="F224" s="18">
        <v>302388.49</v>
      </c>
      <c r="G224" s="18">
        <v>184836.16</v>
      </c>
      <c r="H224" s="18">
        <v>7262.09</v>
      </c>
      <c r="I224" s="18">
        <v>3054.24</v>
      </c>
      <c r="J224" s="18"/>
      <c r="K224" s="18">
        <v>2733.4</v>
      </c>
      <c r="L224" s="13">
        <f t="shared" si="2"/>
        <v>500274.38000000006</v>
      </c>
      <c r="M224" s="8"/>
      <c r="N224" s="164"/>
    </row>
    <row r="225" spans="1:14" s="3" customFormat="1" ht="12.2" customHeight="1" x14ac:dyDescent="0.15">
      <c r="A225" s="1" t="s">
        <v>446</v>
      </c>
      <c r="B225" s="2" t="s">
        <v>346</v>
      </c>
      <c r="C225" s="2" t="s">
        <v>298</v>
      </c>
      <c r="D225" s="2" t="s">
        <v>431</v>
      </c>
      <c r="E225" s="6">
        <v>2500</v>
      </c>
      <c r="F225" s="18">
        <v>65766.92</v>
      </c>
      <c r="G225" s="18">
        <v>40200.29</v>
      </c>
      <c r="H225" s="18">
        <v>3499.5</v>
      </c>
      <c r="I225" s="18"/>
      <c r="J225" s="18">
        <v>259.77</v>
      </c>
      <c r="K225" s="18"/>
      <c r="L225" s="13">
        <f t="shared" si="2"/>
        <v>109726.48</v>
      </c>
      <c r="M225" s="8"/>
      <c r="N225" s="164"/>
    </row>
    <row r="226" spans="1:14" s="3" customFormat="1" ht="12.2" customHeight="1" x14ac:dyDescent="0.15">
      <c r="A226" s="1" t="s">
        <v>447</v>
      </c>
      <c r="B226" s="2" t="s">
        <v>346</v>
      </c>
      <c r="C226" s="2" t="s">
        <v>299</v>
      </c>
      <c r="D226" s="2" t="s">
        <v>431</v>
      </c>
      <c r="E226" s="6">
        <v>2600</v>
      </c>
      <c r="F226" s="18">
        <v>195572.6</v>
      </c>
      <c r="G226" s="18">
        <v>119544.52</v>
      </c>
      <c r="H226" s="18">
        <v>289087.39</v>
      </c>
      <c r="I226" s="18">
        <v>248271.16</v>
      </c>
      <c r="J226" s="18">
        <v>9288.58</v>
      </c>
      <c r="K226" s="18"/>
      <c r="L226" s="13">
        <f t="shared" si="2"/>
        <v>861764.25</v>
      </c>
      <c r="M226" s="8"/>
      <c r="N226" s="164"/>
    </row>
    <row r="227" spans="1:14" s="3" customFormat="1" ht="12.2" customHeight="1" x14ac:dyDescent="0.15">
      <c r="A227" s="1" t="s">
        <v>448</v>
      </c>
      <c r="B227" s="2" t="s">
        <v>346</v>
      </c>
      <c r="C227" s="2" t="s">
        <v>300</v>
      </c>
      <c r="D227" s="2" t="s">
        <v>431</v>
      </c>
      <c r="E227" s="6">
        <v>2700</v>
      </c>
      <c r="F227" s="18"/>
      <c r="G227" s="18"/>
      <c r="H227" s="18">
        <v>253449.23</v>
      </c>
      <c r="I227" s="18"/>
      <c r="J227" s="18"/>
      <c r="K227" s="18"/>
      <c r="L227" s="13">
        <f t="shared" si="2"/>
        <v>253449.23</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3845653.4000000008</v>
      </c>
      <c r="G230" s="38">
        <f>SUM(G216:G229)</f>
        <v>2361659.2000000002</v>
      </c>
      <c r="H230" s="38">
        <f>SUM(H216:H229)</f>
        <v>1782739.8900000001</v>
      </c>
      <c r="I230" s="38">
        <f>SUM(I216:I229)</f>
        <v>355021.63</v>
      </c>
      <c r="J230" s="38">
        <f>SUM(J216:J229)</f>
        <v>41578.58</v>
      </c>
      <c r="K230" s="38">
        <f t="shared" si="3"/>
        <v>10449.16</v>
      </c>
      <c r="L230" s="38">
        <f t="shared" si="3"/>
        <v>8397101.8599999994</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2612528.6800000002</v>
      </c>
      <c r="G234" s="18">
        <v>1319895.1399999999</v>
      </c>
      <c r="H234" s="18">
        <v>35099.58</v>
      </c>
      <c r="I234" s="18">
        <v>72938.47</v>
      </c>
      <c r="J234" s="18">
        <v>12381.7</v>
      </c>
      <c r="K234" s="18">
        <v>842</v>
      </c>
      <c r="L234" s="13">
        <f>SUM(F234:K234)</f>
        <v>4053685.5700000008</v>
      </c>
      <c r="M234" s="8"/>
      <c r="N234" s="164"/>
    </row>
    <row r="235" spans="1:14" s="3" customFormat="1" ht="12.2" customHeight="1" x14ac:dyDescent="0.15">
      <c r="A235" s="1" t="s">
        <v>439</v>
      </c>
      <c r="B235" s="2" t="s">
        <v>350</v>
      </c>
      <c r="C235" s="2" t="s">
        <v>291</v>
      </c>
      <c r="D235" s="2" t="s">
        <v>431</v>
      </c>
      <c r="E235" s="6">
        <v>1200</v>
      </c>
      <c r="F235" s="18">
        <v>785097.92</v>
      </c>
      <c r="G235" s="18">
        <v>421170.96</v>
      </c>
      <c r="H235" s="18">
        <v>1264761.45</v>
      </c>
      <c r="I235" s="18">
        <v>5153.87</v>
      </c>
      <c r="J235" s="18">
        <v>5408.55</v>
      </c>
      <c r="K235" s="18"/>
      <c r="L235" s="13">
        <f>SUM(F235:K235)</f>
        <v>2481592.75</v>
      </c>
      <c r="M235" s="8"/>
      <c r="N235" s="164"/>
    </row>
    <row r="236" spans="1:14" s="3" customFormat="1" ht="12.2" customHeight="1" x14ac:dyDescent="0.15">
      <c r="A236" s="1" t="s">
        <v>440</v>
      </c>
      <c r="B236" s="2" t="s">
        <v>350</v>
      </c>
      <c r="C236" s="2" t="s">
        <v>292</v>
      </c>
      <c r="D236" s="2" t="s">
        <v>431</v>
      </c>
      <c r="E236" s="6">
        <v>1300</v>
      </c>
      <c r="F236" s="18">
        <v>807842.12</v>
      </c>
      <c r="G236" s="18">
        <v>433372.23</v>
      </c>
      <c r="H236" s="18">
        <v>84112.83</v>
      </c>
      <c r="I236" s="18">
        <v>52960.93</v>
      </c>
      <c r="J236" s="18">
        <v>3220.52</v>
      </c>
      <c r="K236" s="18"/>
      <c r="L236" s="13">
        <f>SUM(F236:K236)</f>
        <v>1381508.6300000001</v>
      </c>
      <c r="M236" s="8"/>
      <c r="N236" s="164"/>
    </row>
    <row r="237" spans="1:14" s="3" customFormat="1" ht="12.2" customHeight="1" x14ac:dyDescent="0.15">
      <c r="A237" s="1" t="s">
        <v>441</v>
      </c>
      <c r="B237" s="2" t="s">
        <v>350</v>
      </c>
      <c r="C237" s="2" t="s">
        <v>293</v>
      </c>
      <c r="D237" s="2" t="s">
        <v>431</v>
      </c>
      <c r="E237" s="6">
        <v>1400</v>
      </c>
      <c r="F237" s="18">
        <v>208225.43</v>
      </c>
      <c r="G237" s="18">
        <v>111703.91</v>
      </c>
      <c r="H237" s="18">
        <v>86912.76</v>
      </c>
      <c r="I237" s="18">
        <v>29867.52</v>
      </c>
      <c r="J237" s="18"/>
      <c r="K237" s="18"/>
      <c r="L237" s="13">
        <f>SUM(F237:K237)</f>
        <v>436709.62</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388334.72</v>
      </c>
      <c r="G239" s="18">
        <v>208324.72</v>
      </c>
      <c r="H239" s="18">
        <v>944.44</v>
      </c>
      <c r="I239" s="18">
        <v>4438.57</v>
      </c>
      <c r="J239" s="18">
        <v>1955.19</v>
      </c>
      <c r="K239" s="18"/>
      <c r="L239" s="13">
        <f t="shared" ref="L239:L245" si="4">SUM(F239:K239)</f>
        <v>603997.63999999978</v>
      </c>
      <c r="M239" s="8"/>
      <c r="N239" s="164"/>
    </row>
    <row r="240" spans="1:14" s="3" customFormat="1" ht="12.2" customHeight="1" x14ac:dyDescent="0.15">
      <c r="A240" s="1" t="s">
        <v>443</v>
      </c>
      <c r="B240" s="2" t="s">
        <v>350</v>
      </c>
      <c r="C240" s="2" t="s">
        <v>295</v>
      </c>
      <c r="D240" s="2" t="s">
        <v>431</v>
      </c>
      <c r="E240" s="6">
        <v>2200</v>
      </c>
      <c r="F240" s="18">
        <v>184905.92</v>
      </c>
      <c r="G240" s="18">
        <v>124154.81</v>
      </c>
      <c r="H240" s="18">
        <v>51335.1</v>
      </c>
      <c r="I240" s="18">
        <v>135616.97</v>
      </c>
      <c r="J240" s="18">
        <v>44300.89</v>
      </c>
      <c r="K240" s="18">
        <v>38.03</v>
      </c>
      <c r="L240" s="13">
        <f t="shared" si="4"/>
        <v>540351.72</v>
      </c>
      <c r="M240" s="8"/>
      <c r="N240" s="164"/>
    </row>
    <row r="241" spans="1:14" s="3" customFormat="1" ht="12.2" customHeight="1" x14ac:dyDescent="0.15">
      <c r="A241" s="1" t="s">
        <v>444</v>
      </c>
      <c r="B241" s="2" t="s">
        <v>350</v>
      </c>
      <c r="C241" s="2" t="s">
        <v>296</v>
      </c>
      <c r="D241" s="2" t="s">
        <v>431</v>
      </c>
      <c r="E241" s="6">
        <v>2300</v>
      </c>
      <c r="F241" s="18">
        <v>160437.26</v>
      </c>
      <c r="G241" s="18">
        <v>86067.63</v>
      </c>
      <c r="H241" s="18">
        <v>57177.46</v>
      </c>
      <c r="I241" s="18">
        <v>2296.62</v>
      </c>
      <c r="J241" s="18"/>
      <c r="K241" s="18">
        <v>10925.98</v>
      </c>
      <c r="L241" s="13">
        <f t="shared" si="4"/>
        <v>316904.95</v>
      </c>
      <c r="M241" s="8"/>
      <c r="N241" s="164"/>
    </row>
    <row r="242" spans="1:14" s="3" customFormat="1" ht="12.2" customHeight="1" x14ac:dyDescent="0.15">
      <c r="A242" s="1" t="s">
        <v>445</v>
      </c>
      <c r="B242" s="2" t="s">
        <v>350</v>
      </c>
      <c r="C242" s="2" t="s">
        <v>297</v>
      </c>
      <c r="D242" s="2" t="s">
        <v>431</v>
      </c>
      <c r="E242" s="6">
        <v>2400</v>
      </c>
      <c r="F242" s="18">
        <v>676127.17</v>
      </c>
      <c r="G242" s="18">
        <v>362712.88</v>
      </c>
      <c r="H242" s="18">
        <v>5947.3600000000006</v>
      </c>
      <c r="I242" s="18">
        <v>3380.7200000000003</v>
      </c>
      <c r="J242" s="18"/>
      <c r="K242" s="18">
        <v>10557.23</v>
      </c>
      <c r="L242" s="13">
        <f t="shared" si="4"/>
        <v>1058725.3600000001</v>
      </c>
      <c r="M242" s="8"/>
      <c r="N242" s="164"/>
    </row>
    <row r="243" spans="1:14" s="3" customFormat="1" ht="12.2" customHeight="1" x14ac:dyDescent="0.15">
      <c r="A243" s="1" t="s">
        <v>446</v>
      </c>
      <c r="B243" s="2" t="s">
        <v>350</v>
      </c>
      <c r="C243" s="2" t="s">
        <v>298</v>
      </c>
      <c r="D243" s="2" t="s">
        <v>431</v>
      </c>
      <c r="E243" s="6">
        <v>2500</v>
      </c>
      <c r="F243" s="18">
        <v>93453.58</v>
      </c>
      <c r="G243" s="18">
        <v>50133.79</v>
      </c>
      <c r="H243" s="18">
        <v>4972.7299999999996</v>
      </c>
      <c r="I243" s="18"/>
      <c r="J243" s="18">
        <v>369.13</v>
      </c>
      <c r="K243" s="18"/>
      <c r="L243" s="13">
        <f t="shared" si="4"/>
        <v>148929.23000000001</v>
      </c>
      <c r="M243" s="8"/>
      <c r="N243" s="164"/>
    </row>
    <row r="244" spans="1:14" s="3" customFormat="1" ht="12.2" customHeight="1" x14ac:dyDescent="0.15">
      <c r="A244" s="1" t="s">
        <v>447</v>
      </c>
      <c r="B244" s="2" t="s">
        <v>350</v>
      </c>
      <c r="C244" s="2" t="s">
        <v>299</v>
      </c>
      <c r="D244" s="2" t="s">
        <v>431</v>
      </c>
      <c r="E244" s="6">
        <v>2600</v>
      </c>
      <c r="F244" s="18">
        <v>309571.14</v>
      </c>
      <c r="G244" s="18">
        <v>166071.48000000001</v>
      </c>
      <c r="H244" s="18">
        <v>359258.51</v>
      </c>
      <c r="I244" s="18">
        <v>339576.43</v>
      </c>
      <c r="J244" s="18">
        <v>11108.5</v>
      </c>
      <c r="K244" s="18"/>
      <c r="L244" s="13">
        <f t="shared" si="4"/>
        <v>1185586.06</v>
      </c>
      <c r="M244" s="8"/>
      <c r="N244" s="164"/>
    </row>
    <row r="245" spans="1:14" s="3" customFormat="1" ht="12.2" customHeight="1" x14ac:dyDescent="0.15">
      <c r="A245" s="1" t="s">
        <v>448</v>
      </c>
      <c r="B245" s="2" t="s">
        <v>350</v>
      </c>
      <c r="C245" s="2" t="s">
        <v>300</v>
      </c>
      <c r="D245" s="2" t="s">
        <v>431</v>
      </c>
      <c r="E245" s="6">
        <v>2700</v>
      </c>
      <c r="F245" s="18"/>
      <c r="G245" s="18"/>
      <c r="H245" s="18">
        <v>331354.37</v>
      </c>
      <c r="I245" s="18"/>
      <c r="J245" s="18"/>
      <c r="K245" s="18"/>
      <c r="L245" s="13">
        <f t="shared" si="4"/>
        <v>331354.37</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6226523.9399999985</v>
      </c>
      <c r="G248" s="38">
        <f t="shared" si="5"/>
        <v>3283607.5500000003</v>
      </c>
      <c r="H248" s="38">
        <f t="shared" si="5"/>
        <v>2281876.5900000003</v>
      </c>
      <c r="I248" s="38">
        <f t="shared" si="5"/>
        <v>646230.09999999986</v>
      </c>
      <c r="J248" s="38">
        <f t="shared" si="5"/>
        <v>78744.48000000001</v>
      </c>
      <c r="K248" s="38">
        <f t="shared" si="5"/>
        <v>22363.239999999998</v>
      </c>
      <c r="L248" s="38">
        <f t="shared" si="5"/>
        <v>12539345.9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v>227127.08</v>
      </c>
      <c r="G252" s="18">
        <v>111292.24</v>
      </c>
      <c r="H252" s="18">
        <v>4484.7700000000004</v>
      </c>
      <c r="I252" s="18">
        <v>47480.87</v>
      </c>
      <c r="J252" s="18">
        <v>6912</v>
      </c>
      <c r="K252" s="18">
        <v>3087.5</v>
      </c>
      <c r="L252" s="13">
        <f t="shared" si="6"/>
        <v>400384.46</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722256.01+18991.93</f>
        <v>741247.94000000006</v>
      </c>
      <c r="I256" s="18"/>
      <c r="J256" s="18"/>
      <c r="K256" s="18"/>
      <c r="L256" s="13">
        <f t="shared" si="6"/>
        <v>741247.94000000006</v>
      </c>
      <c r="M256" s="8"/>
      <c r="N256" s="164"/>
    </row>
    <row r="257" spans="1:14" s="3" customFormat="1" ht="12.2" customHeight="1" thickTop="1" thickBot="1" x14ac:dyDescent="0.2">
      <c r="A257" s="35" t="s">
        <v>461</v>
      </c>
      <c r="B257" s="37">
        <v>10</v>
      </c>
      <c r="C257" s="37">
        <v>7</v>
      </c>
      <c r="D257" s="36" t="s">
        <v>431</v>
      </c>
      <c r="E257" s="37"/>
      <c r="F257" s="38">
        <f t="shared" ref="F257:K257" si="7">SUM(F251:F256)</f>
        <v>227127.08</v>
      </c>
      <c r="G257" s="38">
        <f t="shared" si="7"/>
        <v>111292.24</v>
      </c>
      <c r="H257" s="38">
        <f t="shared" si="7"/>
        <v>745732.71000000008</v>
      </c>
      <c r="I257" s="38">
        <f t="shared" si="7"/>
        <v>47480.87</v>
      </c>
      <c r="J257" s="38">
        <f t="shared" si="7"/>
        <v>6912</v>
      </c>
      <c r="K257" s="38">
        <f t="shared" si="7"/>
        <v>3087.5</v>
      </c>
      <c r="L257" s="38">
        <f>SUM(F257:K257)</f>
        <v>1141632.4000000001</v>
      </c>
      <c r="M257" s="8"/>
      <c r="N257" s="164"/>
    </row>
    <row r="258" spans="1:14" s="3" customFormat="1" ht="12.2" customHeight="1" thickTop="1" x14ac:dyDescent="0.15">
      <c r="A258" s="35" t="s">
        <v>462</v>
      </c>
      <c r="B258" s="37">
        <v>10</v>
      </c>
      <c r="C258" s="37">
        <v>8</v>
      </c>
      <c r="D258" s="36" t="s">
        <v>431</v>
      </c>
      <c r="E258" s="37"/>
      <c r="F258" s="38">
        <f t="shared" ref="F258:L258" si="8">F212+F230+F248+F257</f>
        <v>18113485.549999997</v>
      </c>
      <c r="G258" s="38">
        <f t="shared" si="8"/>
        <v>10418607.260000002</v>
      </c>
      <c r="H258" s="38">
        <f t="shared" si="8"/>
        <v>8280724.2299999995</v>
      </c>
      <c r="I258" s="38">
        <f t="shared" si="8"/>
        <v>1657541.7600000002</v>
      </c>
      <c r="J258" s="38">
        <f t="shared" si="8"/>
        <v>296591.08999999997</v>
      </c>
      <c r="K258" s="38">
        <f t="shared" si="8"/>
        <v>54706.2</v>
      </c>
      <c r="L258" s="38">
        <f t="shared" si="8"/>
        <v>38821656.089999996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1122844.3999999999</v>
      </c>
      <c r="L261" s="13">
        <f>SUM(F261:K261)</f>
        <v>1122844.3999999999</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795471.09</v>
      </c>
      <c r="L262" s="13">
        <f>SUM(F262:K262)</f>
        <v>795471.09</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375769.31</v>
      </c>
      <c r="L264" s="13">
        <f>SUM(F264:K264)</f>
        <v>375769.31</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2394084.7999999998</v>
      </c>
      <c r="L271" s="38">
        <f t="shared" si="9"/>
        <v>2394084.7999999998</v>
      </c>
      <c r="M271" s="8"/>
      <c r="N271" s="164"/>
    </row>
    <row r="272" spans="1:14" s="33" customFormat="1" ht="12.2" customHeight="1" thickTop="1" x14ac:dyDescent="0.2">
      <c r="A272" s="40" t="s">
        <v>464</v>
      </c>
      <c r="B272" s="37">
        <v>10</v>
      </c>
      <c r="C272" s="37">
        <v>18</v>
      </c>
      <c r="D272" s="36" t="s">
        <v>431</v>
      </c>
      <c r="E272" s="37"/>
      <c r="F272" s="39">
        <f t="shared" ref="F272:L272" si="11">F258+F271</f>
        <v>18113485.549999997</v>
      </c>
      <c r="G272" s="39">
        <f t="shared" si="11"/>
        <v>10418607.260000002</v>
      </c>
      <c r="H272" s="39">
        <f t="shared" si="11"/>
        <v>8280724.2299999995</v>
      </c>
      <c r="I272" s="39">
        <f t="shared" si="11"/>
        <v>1657541.7600000002</v>
      </c>
      <c r="J272" s="39">
        <f t="shared" si="11"/>
        <v>296591.08999999997</v>
      </c>
      <c r="K272" s="39">
        <f t="shared" si="11"/>
        <v>2448791</v>
      </c>
      <c r="L272" s="39">
        <f t="shared" si="11"/>
        <v>41215740.889999993</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1300444.6599999999</v>
      </c>
      <c r="G277" s="18">
        <v>572927.07999999996</v>
      </c>
      <c r="H277" s="18">
        <v>8011.5</v>
      </c>
      <c r="I277" s="18">
        <v>51651.69</v>
      </c>
      <c r="J277" s="18"/>
      <c r="K277" s="18"/>
      <c r="L277" s="13">
        <f>SUM(F277:K277)</f>
        <v>1933034.9299999997</v>
      </c>
      <c r="M277" s="8"/>
      <c r="N277" s="164"/>
    </row>
    <row r="278" spans="1:14" s="3" customFormat="1" ht="12.2" customHeight="1" x14ac:dyDescent="0.15">
      <c r="A278" s="1" t="s">
        <v>439</v>
      </c>
      <c r="B278" s="2" t="s">
        <v>357</v>
      </c>
      <c r="C278" s="2" t="s">
        <v>291</v>
      </c>
      <c r="D278" s="2" t="s">
        <v>431</v>
      </c>
      <c r="E278" s="6">
        <v>1200</v>
      </c>
      <c r="F278" s="18">
        <v>213287.4</v>
      </c>
      <c r="G278" s="18">
        <v>41416.269999999997</v>
      </c>
      <c r="H278" s="18">
        <v>21555.06</v>
      </c>
      <c r="I278" s="18">
        <v>3619.98</v>
      </c>
      <c r="J278" s="18">
        <v>16122.13</v>
      </c>
      <c r="K278" s="18"/>
      <c r="L278" s="13">
        <f>SUM(F278:K278)</f>
        <v>296000.83999999997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190218.83</v>
      </c>
      <c r="G282" s="18">
        <v>51411.56</v>
      </c>
      <c r="H282" s="18">
        <v>85698.58</v>
      </c>
      <c r="I282" s="18">
        <v>26205.56</v>
      </c>
      <c r="J282" s="18"/>
      <c r="K282" s="18"/>
      <c r="L282" s="13">
        <f t="shared" ref="L282:L288" si="12">SUM(F282:K282)</f>
        <v>353534.52999999997</v>
      </c>
      <c r="M282" s="8"/>
      <c r="N282" s="164"/>
    </row>
    <row r="283" spans="1:14" s="3" customFormat="1" ht="12.2" customHeight="1" x14ac:dyDescent="0.15">
      <c r="A283" s="1" t="s">
        <v>443</v>
      </c>
      <c r="B283" s="2" t="s">
        <v>357</v>
      </c>
      <c r="C283" s="2" t="s">
        <v>295</v>
      </c>
      <c r="D283" s="2" t="s">
        <v>431</v>
      </c>
      <c r="E283" s="6">
        <v>2200</v>
      </c>
      <c r="F283" s="18">
        <v>87189.45</v>
      </c>
      <c r="G283" s="18">
        <v>57756.32</v>
      </c>
      <c r="H283" s="18">
        <v>83709.58</v>
      </c>
      <c r="I283" s="18">
        <v>51113.03</v>
      </c>
      <c r="J283" s="18">
        <v>218506.75</v>
      </c>
      <c r="K283" s="18"/>
      <c r="L283" s="13">
        <f t="shared" si="12"/>
        <v>498275.13</v>
      </c>
      <c r="M283" s="8"/>
      <c r="N283" s="164"/>
    </row>
    <row r="284" spans="1:14" s="3" customFormat="1" ht="12.2" customHeight="1" x14ac:dyDescent="0.15">
      <c r="A284" s="1" t="s">
        <v>444</v>
      </c>
      <c r="B284" s="2" t="s">
        <v>357</v>
      </c>
      <c r="C284" s="2" t="s">
        <v>296</v>
      </c>
      <c r="D284" s="2" t="s">
        <v>431</v>
      </c>
      <c r="E284" s="6">
        <v>2300</v>
      </c>
      <c r="F284" s="18"/>
      <c r="G284" s="18"/>
      <c r="H284" s="18">
        <v>5297.03</v>
      </c>
      <c r="I284" s="18"/>
      <c r="J284" s="18"/>
      <c r="K284" s="18"/>
      <c r="L284" s="13">
        <f t="shared" si="12"/>
        <v>5297.03</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v>4937.3599999999997</v>
      </c>
      <c r="I286" s="18"/>
      <c r="J286" s="18"/>
      <c r="K286" s="18"/>
      <c r="L286" s="13">
        <f t="shared" si="12"/>
        <v>4937.3599999999997</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v>77525.259999999995</v>
      </c>
      <c r="I288" s="18"/>
      <c r="J288" s="18"/>
      <c r="K288" s="18"/>
      <c r="L288" s="13">
        <f t="shared" si="12"/>
        <v>77525.259999999995</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1791140.3399999999</v>
      </c>
      <c r="G291" s="39">
        <f t="shared" si="13"/>
        <v>723511.22999999986</v>
      </c>
      <c r="H291" s="39">
        <f t="shared" si="13"/>
        <v>286734.37</v>
      </c>
      <c r="I291" s="39">
        <f t="shared" si="13"/>
        <v>132590.26</v>
      </c>
      <c r="J291" s="39">
        <f t="shared" si="13"/>
        <v>234628.88</v>
      </c>
      <c r="K291" s="39">
        <f t="shared" si="13"/>
        <v>0</v>
      </c>
      <c r="L291" s="38">
        <f t="shared" si="13"/>
        <v>3168605.0799999987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311836.90999999997</v>
      </c>
      <c r="G296" s="18">
        <v>102069.74</v>
      </c>
      <c r="H296" s="18">
        <v>3886.75</v>
      </c>
      <c r="I296" s="18">
        <v>61455.69</v>
      </c>
      <c r="J296" s="18"/>
      <c r="K296" s="18"/>
      <c r="L296" s="13">
        <f>SUM(F296:K296)</f>
        <v>479249.08999999997</v>
      </c>
      <c r="M296" s="8"/>
      <c r="N296" s="164"/>
    </row>
    <row r="297" spans="1:14" s="3" customFormat="1" ht="12.2" customHeight="1" x14ac:dyDescent="0.15">
      <c r="A297" s="1" t="s">
        <v>439</v>
      </c>
      <c r="B297" s="2" t="s">
        <v>358</v>
      </c>
      <c r="C297" s="2" t="s">
        <v>291</v>
      </c>
      <c r="D297" s="2" t="s">
        <v>431</v>
      </c>
      <c r="E297" s="6">
        <v>1200</v>
      </c>
      <c r="F297" s="18">
        <v>19965.41</v>
      </c>
      <c r="G297" s="18">
        <v>15428.1</v>
      </c>
      <c r="H297" s="18">
        <v>10457.36</v>
      </c>
      <c r="I297" s="18">
        <v>1451.45</v>
      </c>
      <c r="J297" s="18">
        <v>7065.48</v>
      </c>
      <c r="K297" s="18"/>
      <c r="L297" s="13">
        <f>SUM(F297:K297)</f>
        <v>54367.8</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v>1838</v>
      </c>
      <c r="J299" s="18"/>
      <c r="K299" s="18"/>
      <c r="L299" s="13">
        <f>SUM(F299:K299)</f>
        <v>1838</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92071.13</v>
      </c>
      <c r="G301" s="18">
        <v>24752.15</v>
      </c>
      <c r="H301" s="18">
        <v>32306.37</v>
      </c>
      <c r="I301" s="18">
        <v>12602.35</v>
      </c>
      <c r="J301" s="18"/>
      <c r="K301" s="18"/>
      <c r="L301" s="13">
        <f t="shared" ref="L301:L307" si="14">SUM(F301:K301)</f>
        <v>161732</v>
      </c>
      <c r="M301" s="8"/>
      <c r="N301" s="164"/>
    </row>
    <row r="302" spans="1:14" s="3" customFormat="1" ht="12.2" customHeight="1" x14ac:dyDescent="0.15">
      <c r="A302" s="1" t="s">
        <v>443</v>
      </c>
      <c r="B302" s="2" t="s">
        <v>358</v>
      </c>
      <c r="C302" s="2" t="s">
        <v>295</v>
      </c>
      <c r="D302" s="2" t="s">
        <v>431</v>
      </c>
      <c r="E302" s="6">
        <v>2200</v>
      </c>
      <c r="F302" s="18">
        <v>29415.37</v>
      </c>
      <c r="G302" s="18">
        <v>26863.21</v>
      </c>
      <c r="H302" s="18">
        <v>35041.919999999998</v>
      </c>
      <c r="I302" s="18">
        <v>14029.51</v>
      </c>
      <c r="J302" s="18">
        <v>66367.98</v>
      </c>
      <c r="K302" s="18"/>
      <c r="L302" s="13">
        <f t="shared" si="14"/>
        <v>171717.99</v>
      </c>
      <c r="M302" s="8"/>
      <c r="N302" s="164"/>
    </row>
    <row r="303" spans="1:14" s="3" customFormat="1" ht="12.2" customHeight="1" x14ac:dyDescent="0.15">
      <c r="A303" s="1" t="s">
        <v>444</v>
      </c>
      <c r="B303" s="2" t="s">
        <v>358</v>
      </c>
      <c r="C303" s="2" t="s">
        <v>296</v>
      </c>
      <c r="D303" s="2" t="s">
        <v>431</v>
      </c>
      <c r="E303" s="6">
        <v>2300</v>
      </c>
      <c r="F303" s="18"/>
      <c r="G303" s="18"/>
      <c r="H303" s="18">
        <v>2544.8200000000002</v>
      </c>
      <c r="I303" s="18"/>
      <c r="J303" s="18"/>
      <c r="K303" s="18"/>
      <c r="L303" s="13">
        <f t="shared" si="14"/>
        <v>2544.8200000000002</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v>2372.0300000000002</v>
      </c>
      <c r="I305" s="18"/>
      <c r="J305" s="18"/>
      <c r="K305" s="18"/>
      <c r="L305" s="13">
        <f t="shared" si="14"/>
        <v>2372.0300000000002</v>
      </c>
      <c r="M305" s="8"/>
      <c r="N305" s="164"/>
    </row>
    <row r="306" spans="1:14" s="3" customFormat="1" ht="12.2" customHeight="1" x14ac:dyDescent="0.15">
      <c r="A306" s="1" t="s">
        <v>447</v>
      </c>
      <c r="B306" s="2" t="s">
        <v>358</v>
      </c>
      <c r="C306" s="2" t="s">
        <v>299</v>
      </c>
      <c r="D306" s="2" t="s">
        <v>431</v>
      </c>
      <c r="E306" s="6">
        <v>2600</v>
      </c>
      <c r="F306" s="18"/>
      <c r="G306" s="18"/>
      <c r="H306" s="18">
        <v>41094.32</v>
      </c>
      <c r="I306" s="18"/>
      <c r="J306" s="18"/>
      <c r="K306" s="18"/>
      <c r="L306" s="13">
        <f t="shared" si="14"/>
        <v>41094.32</v>
      </c>
      <c r="M306" s="8"/>
      <c r="N306" s="164"/>
    </row>
    <row r="307" spans="1:14" s="3" customFormat="1" ht="12.2" customHeight="1" x14ac:dyDescent="0.15">
      <c r="A307" s="1" t="s">
        <v>448</v>
      </c>
      <c r="B307" s="2" t="s">
        <v>358</v>
      </c>
      <c r="C307" s="2" t="s">
        <v>300</v>
      </c>
      <c r="D307" s="2" t="s">
        <v>431</v>
      </c>
      <c r="E307" s="6">
        <v>2700</v>
      </c>
      <c r="F307" s="18"/>
      <c r="G307" s="18"/>
      <c r="H307" s="18">
        <v>36443.17</v>
      </c>
      <c r="I307" s="18"/>
      <c r="J307" s="18"/>
      <c r="K307" s="18"/>
      <c r="L307" s="13">
        <f t="shared" si="14"/>
        <v>36443.17</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453288.81999999995</v>
      </c>
      <c r="G310" s="39">
        <f t="shared" si="15"/>
        <v>169113.2</v>
      </c>
      <c r="H310" s="39">
        <f t="shared" si="15"/>
        <v>164146.74</v>
      </c>
      <c r="I310" s="39">
        <f t="shared" si="15"/>
        <v>91377</v>
      </c>
      <c r="J310" s="39">
        <f t="shared" si="15"/>
        <v>73433.459999999992</v>
      </c>
      <c r="K310" s="39">
        <f t="shared" si="15"/>
        <v>0</v>
      </c>
      <c r="L310" s="38">
        <f t="shared" si="15"/>
        <v>951359.22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435803.87</v>
      </c>
      <c r="G315" s="18">
        <v>145766.85</v>
      </c>
      <c r="H315" s="18">
        <v>5647.09</v>
      </c>
      <c r="I315" s="18">
        <v>32568.84</v>
      </c>
      <c r="J315" s="18"/>
      <c r="K315" s="18">
        <v>538.79999999999995</v>
      </c>
      <c r="L315" s="13">
        <f>SUM(F315:K315)</f>
        <v>620325.44999999995</v>
      </c>
      <c r="M315" s="8"/>
      <c r="N315" s="164"/>
    </row>
    <row r="316" spans="1:14" s="3" customFormat="1" ht="12.2" customHeight="1" x14ac:dyDescent="0.15">
      <c r="A316" s="1" t="s">
        <v>439</v>
      </c>
      <c r="B316" s="2" t="s">
        <v>359</v>
      </c>
      <c r="C316" s="2" t="s">
        <v>291</v>
      </c>
      <c r="D316" s="2" t="s">
        <v>431</v>
      </c>
      <c r="E316" s="6">
        <v>1200</v>
      </c>
      <c r="F316" s="18">
        <v>204539.92</v>
      </c>
      <c r="G316" s="18">
        <v>140518.74</v>
      </c>
      <c r="H316" s="18">
        <v>14859.71</v>
      </c>
      <c r="I316" s="18">
        <v>4001.53</v>
      </c>
      <c r="J316" s="18">
        <v>10039.91</v>
      </c>
      <c r="K316" s="18"/>
      <c r="L316" s="13">
        <f>SUM(F316:K316)</f>
        <v>373959.81000000006</v>
      </c>
      <c r="M316" s="8"/>
      <c r="N316" s="164"/>
    </row>
    <row r="317" spans="1:14" s="3" customFormat="1" ht="12.2" customHeight="1" x14ac:dyDescent="0.15">
      <c r="A317" s="1" t="s">
        <v>440</v>
      </c>
      <c r="B317" s="2" t="s">
        <v>359</v>
      </c>
      <c r="C317" s="2" t="s">
        <v>292</v>
      </c>
      <c r="D317" s="2" t="s">
        <v>431</v>
      </c>
      <c r="E317" s="6">
        <v>1300</v>
      </c>
      <c r="F317" s="18">
        <v>58008.55</v>
      </c>
      <c r="G317" s="18"/>
      <c r="H317" s="18">
        <v>25157.39</v>
      </c>
      <c r="I317" s="18">
        <v>26077.71</v>
      </c>
      <c r="J317" s="18">
        <v>97957.9</v>
      </c>
      <c r="K317" s="18"/>
      <c r="L317" s="13">
        <f>SUM(F317:K317)</f>
        <v>207201.55</v>
      </c>
      <c r="M317" s="8"/>
      <c r="N317" s="164"/>
    </row>
    <row r="318" spans="1:14" s="3" customFormat="1" ht="12.2" customHeight="1" x14ac:dyDescent="0.15">
      <c r="A318" s="1" t="s">
        <v>441</v>
      </c>
      <c r="B318" s="2" t="s">
        <v>359</v>
      </c>
      <c r="C318" s="2" t="s">
        <v>293</v>
      </c>
      <c r="D318" s="2" t="s">
        <v>431</v>
      </c>
      <c r="E318" s="6">
        <v>1400</v>
      </c>
      <c r="F318" s="18"/>
      <c r="G318" s="18"/>
      <c r="H318" s="18"/>
      <c r="I318" s="18"/>
      <c r="J318" s="18">
        <v>20939.25</v>
      </c>
      <c r="K318" s="18"/>
      <c r="L318" s="13">
        <f>SUM(F318:K318)</f>
        <v>20939.25</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149599.72</v>
      </c>
      <c r="G320" s="18">
        <v>37161.35</v>
      </c>
      <c r="H320" s="18">
        <v>45906.76</v>
      </c>
      <c r="I320" s="18">
        <v>17907.7</v>
      </c>
      <c r="J320" s="18"/>
      <c r="K320" s="18"/>
      <c r="L320" s="13">
        <f t="shared" ref="L320:L326" si="16">SUM(F320:K320)</f>
        <v>250575.53000000003</v>
      </c>
      <c r="M320" s="8"/>
      <c r="N320" s="164"/>
    </row>
    <row r="321" spans="1:14" s="3" customFormat="1" ht="12.2" customHeight="1" x14ac:dyDescent="0.15">
      <c r="A321" s="1" t="s">
        <v>443</v>
      </c>
      <c r="B321" s="2" t="s">
        <v>359</v>
      </c>
      <c r="C321" s="2" t="s">
        <v>295</v>
      </c>
      <c r="D321" s="2" t="s">
        <v>431</v>
      </c>
      <c r="E321" s="6">
        <v>2200</v>
      </c>
      <c r="F321" s="18">
        <v>47801.89</v>
      </c>
      <c r="G321" s="18">
        <v>16139.87</v>
      </c>
      <c r="H321" s="18">
        <v>86031.05</v>
      </c>
      <c r="I321" s="18">
        <v>22346.23</v>
      </c>
      <c r="J321" s="18">
        <v>187716.62</v>
      </c>
      <c r="K321" s="18"/>
      <c r="L321" s="13">
        <f t="shared" si="16"/>
        <v>360035.66000000003</v>
      </c>
      <c r="M321" s="8"/>
      <c r="N321" s="164"/>
    </row>
    <row r="322" spans="1:14" s="3" customFormat="1" ht="12.2" customHeight="1" x14ac:dyDescent="0.15">
      <c r="A322" s="1" t="s">
        <v>444</v>
      </c>
      <c r="B322" s="2" t="s">
        <v>359</v>
      </c>
      <c r="C322" s="2" t="s">
        <v>296</v>
      </c>
      <c r="D322" s="2" t="s">
        <v>431</v>
      </c>
      <c r="E322" s="6">
        <v>2300</v>
      </c>
      <c r="F322" s="18"/>
      <c r="G322" s="18"/>
      <c r="H322" s="18">
        <v>3616.14</v>
      </c>
      <c r="I322" s="18">
        <v>2629.58</v>
      </c>
      <c r="J322" s="18"/>
      <c r="K322" s="18"/>
      <c r="L322" s="13">
        <f t="shared" si="16"/>
        <v>6245.7199999999993</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v>3370.61</v>
      </c>
      <c r="I324" s="18"/>
      <c r="J324" s="18"/>
      <c r="K324" s="18"/>
      <c r="L324" s="13">
        <f t="shared" si="16"/>
        <v>3370.61</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v>51785.07</v>
      </c>
      <c r="I326" s="18"/>
      <c r="J326" s="18"/>
      <c r="K326" s="18"/>
      <c r="L326" s="13">
        <f t="shared" si="16"/>
        <v>51785.07</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895753.95000000007</v>
      </c>
      <c r="G329" s="39">
        <f t="shared" si="17"/>
        <v>339586.80999999994</v>
      </c>
      <c r="H329" s="39">
        <f t="shared" si="17"/>
        <v>236373.82</v>
      </c>
      <c r="I329" s="39">
        <f t="shared" si="17"/>
        <v>105531.59</v>
      </c>
      <c r="J329" s="39">
        <f t="shared" si="17"/>
        <v>316653.68</v>
      </c>
      <c r="K329" s="39">
        <f t="shared" si="17"/>
        <v>538.79999999999995</v>
      </c>
      <c r="L329" s="38">
        <f t="shared" si="17"/>
        <v>1894438.6500000001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27788.19</v>
      </c>
      <c r="G333" s="18">
        <v>1945.59</v>
      </c>
      <c r="H333" s="18">
        <v>21791.82</v>
      </c>
      <c r="I333" s="18">
        <v>4649.3999999999996</v>
      </c>
      <c r="J333" s="18"/>
      <c r="K333" s="18"/>
      <c r="L333" s="13">
        <f t="shared" ref="L333:L338" si="18">SUM(F333:K333)</f>
        <v>56175</v>
      </c>
      <c r="M333" s="8"/>
      <c r="N333" s="164"/>
    </row>
    <row r="334" spans="1:14" s="3" customFormat="1" ht="12.2" customHeight="1" x14ac:dyDescent="0.15">
      <c r="A334" s="1" t="s">
        <v>353</v>
      </c>
      <c r="B334" s="6">
        <v>14</v>
      </c>
      <c r="C334" s="2" t="s">
        <v>309</v>
      </c>
      <c r="D334" s="2" t="s">
        <v>431</v>
      </c>
      <c r="E334" s="6">
        <v>1600</v>
      </c>
      <c r="F334" s="18">
        <v>84659</v>
      </c>
      <c r="G334" s="18">
        <v>7644.22</v>
      </c>
      <c r="H334" s="18">
        <v>10491.39</v>
      </c>
      <c r="I334" s="18">
        <v>1056</v>
      </c>
      <c r="J334" s="18"/>
      <c r="K334" s="18">
        <v>290</v>
      </c>
      <c r="L334" s="13">
        <f t="shared" si="18"/>
        <v>104140.61</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3813772.53</v>
      </c>
      <c r="I337" s="18"/>
      <c r="J337" s="18"/>
      <c r="K337" s="18"/>
      <c r="L337" s="13">
        <f t="shared" si="18"/>
        <v>3813772.53</v>
      </c>
      <c r="M337" s="8"/>
      <c r="N337" s="164"/>
    </row>
    <row r="338" spans="1:43" s="3" customFormat="1" ht="12.2" customHeight="1" thickTop="1" thickBot="1" x14ac:dyDescent="0.2">
      <c r="A338" s="46" t="s">
        <v>467</v>
      </c>
      <c r="B338" s="37">
        <v>14</v>
      </c>
      <c r="C338" s="47">
        <v>6</v>
      </c>
      <c r="D338" s="44" t="s">
        <v>431</v>
      </c>
      <c r="E338" s="47"/>
      <c r="F338" s="38">
        <f t="shared" ref="F338:K338" si="19">SUM(F333:F337)</f>
        <v>112447.19</v>
      </c>
      <c r="G338" s="38">
        <f t="shared" si="19"/>
        <v>9589.81</v>
      </c>
      <c r="H338" s="38">
        <f t="shared" si="19"/>
        <v>3846055.7399999998</v>
      </c>
      <c r="I338" s="38">
        <f t="shared" si="19"/>
        <v>5705.4</v>
      </c>
      <c r="J338" s="38">
        <f t="shared" si="19"/>
        <v>0</v>
      </c>
      <c r="K338" s="38">
        <f t="shared" si="19"/>
        <v>290</v>
      </c>
      <c r="L338" s="38">
        <f t="shared" si="18"/>
        <v>3974088.1399999997</v>
      </c>
      <c r="M338" s="8"/>
      <c r="N338" s="164"/>
    </row>
    <row r="339" spans="1:43" s="3" customFormat="1" ht="12.2" customHeight="1" thickTop="1" x14ac:dyDescent="0.15">
      <c r="A339" s="35" t="s">
        <v>468</v>
      </c>
      <c r="B339" s="37">
        <v>14</v>
      </c>
      <c r="C339" s="37">
        <v>7</v>
      </c>
      <c r="D339" s="36" t="s">
        <v>431</v>
      </c>
      <c r="E339" s="37"/>
      <c r="F339" s="38">
        <f t="shared" ref="F339:L339" si="20">F291+F310+F329+F338</f>
        <v>3252630.3</v>
      </c>
      <c r="G339" s="38">
        <f t="shared" si="20"/>
        <v>1241801.0499999998</v>
      </c>
      <c r="H339" s="38">
        <f t="shared" si="20"/>
        <v>4533310.67</v>
      </c>
      <c r="I339" s="38">
        <f t="shared" si="20"/>
        <v>335204.25</v>
      </c>
      <c r="J339" s="38">
        <f t="shared" si="20"/>
        <v>624716.02</v>
      </c>
      <c r="K339" s="38">
        <f t="shared" si="20"/>
        <v>828.8</v>
      </c>
      <c r="L339" s="38">
        <f t="shared" si="20"/>
        <v>9988491.0899999999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3252630.3</v>
      </c>
      <c r="G353" s="38">
        <f>G339</f>
        <v>1241801.0499999998</v>
      </c>
      <c r="H353" s="38">
        <f>H339</f>
        <v>4533310.67</v>
      </c>
      <c r="I353" s="38">
        <f>I339</f>
        <v>335204.25</v>
      </c>
      <c r="J353" s="38">
        <f>J339</f>
        <v>624716.02</v>
      </c>
      <c r="K353" s="38">
        <f>K339+K352</f>
        <v>828.8</v>
      </c>
      <c r="L353" s="38">
        <f>L339+L352</f>
        <v>9988491.0899999999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234374.55</v>
      </c>
      <c r="G359" s="18">
        <v>2836.27</v>
      </c>
      <c r="H359" s="18">
        <v>25832.25</v>
      </c>
      <c r="I359" s="18">
        <v>318281.27</v>
      </c>
      <c r="J359" s="18">
        <v>1215.44</v>
      </c>
      <c r="K359" s="18"/>
      <c r="L359" s="13">
        <f>SUM(F359:K359)</f>
        <v>582539.77999999991</v>
      </c>
      <c r="M359" s="8"/>
      <c r="N359" s="164"/>
    </row>
    <row r="360" spans="1:22" s="3" customFormat="1" ht="12.2" customHeight="1" x14ac:dyDescent="0.15">
      <c r="A360" s="1" t="s">
        <v>542</v>
      </c>
      <c r="B360" s="2" t="s">
        <v>366</v>
      </c>
      <c r="C360" s="6">
        <v>2</v>
      </c>
      <c r="D360" s="2" t="s">
        <v>431</v>
      </c>
      <c r="E360" s="6"/>
      <c r="F360" s="18">
        <v>177234.88</v>
      </c>
      <c r="G360" s="18">
        <v>2127.25</v>
      </c>
      <c r="H360" s="18">
        <v>4805.3999999999996</v>
      </c>
      <c r="I360" s="18">
        <v>162012.75</v>
      </c>
      <c r="J360" s="18">
        <v>1073.55</v>
      </c>
      <c r="K360" s="18"/>
      <c r="L360" s="13">
        <f>SUM(F360:K360)</f>
        <v>347253.83</v>
      </c>
      <c r="M360" s="8"/>
      <c r="N360" s="164"/>
    </row>
    <row r="361" spans="1:22" s="3" customFormat="1" ht="12.2" customHeight="1" x14ac:dyDescent="0.15">
      <c r="A361" s="3" t="s">
        <v>543</v>
      </c>
      <c r="B361" s="2" t="s">
        <v>366</v>
      </c>
      <c r="C361" s="6">
        <v>3</v>
      </c>
      <c r="D361" s="2" t="s">
        <v>431</v>
      </c>
      <c r="E361" s="6"/>
      <c r="F361" s="18">
        <v>177666.38</v>
      </c>
      <c r="G361" s="18">
        <v>2256.71</v>
      </c>
      <c r="H361" s="18">
        <v>3594.56</v>
      </c>
      <c r="I361" s="18">
        <v>214265.1</v>
      </c>
      <c r="J361" s="18">
        <v>5867.34</v>
      </c>
      <c r="K361" s="18"/>
      <c r="L361" s="13">
        <f>SUM(F361:K361)</f>
        <v>403650.09</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589275.81000000006</v>
      </c>
      <c r="G363" s="38">
        <f t="shared" si="22"/>
        <v>7220.2300000000005</v>
      </c>
      <c r="H363" s="38">
        <f t="shared" si="22"/>
        <v>34232.21</v>
      </c>
      <c r="I363" s="38">
        <f t="shared" si="22"/>
        <v>694559.12</v>
      </c>
      <c r="J363" s="38">
        <f t="shared" si="22"/>
        <v>8156.33</v>
      </c>
      <c r="K363" s="38">
        <f t="shared" si="22"/>
        <v>0</v>
      </c>
      <c r="L363" s="38">
        <f t="shared" si="22"/>
        <v>1333443.7</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318137.3</v>
      </c>
      <c r="G368" s="18">
        <v>161964.76999999999</v>
      </c>
      <c r="H368" s="18">
        <v>214265.1</v>
      </c>
      <c r="I368" s="13">
        <f>SUM(F368:H368)</f>
        <v>694367.16999999993</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143.97</v>
      </c>
      <c r="G369" s="53">
        <v>47.98</v>
      </c>
      <c r="H369" s="53"/>
      <c r="I369" s="13">
        <f>SUM(F369:H369)</f>
        <v>191.95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318281.26999999996</v>
      </c>
      <c r="G370" s="38">
        <f>SUM(G368:G369)</f>
        <v>162012.75</v>
      </c>
      <c r="H370" s="38">
        <f>SUM(H368:H369)</f>
        <v>214265.1</v>
      </c>
      <c r="I370" s="38">
        <f>SUM(I368:I369)</f>
        <v>694559.11999999988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100000</v>
      </c>
      <c r="H397" s="18"/>
      <c r="I397" s="18"/>
      <c r="J397" s="23" t="s">
        <v>288</v>
      </c>
      <c r="K397" s="23" t="s">
        <v>288</v>
      </c>
      <c r="L397" s="13">
        <f t="shared" si="26"/>
        <v>100000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0</v>
      </c>
      <c r="I402" s="38">
        <f>SUM(I396:I401)</f>
        <v>0</v>
      </c>
      <c r="J402" s="42" t="s">
        <v>288</v>
      </c>
      <c r="K402" s="42" t="s">
        <v>288</v>
      </c>
      <c r="L402" s="38">
        <f>SUM(L396:L401)</f>
        <v>100000</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100000</v>
      </c>
      <c r="H409" s="38">
        <f>H394+H402+H408</f>
        <v>0</v>
      </c>
      <c r="I409" s="38">
        <f>I394+I402+I408</f>
        <v>0</v>
      </c>
      <c r="J409" s="23" t="s">
        <v>288</v>
      </c>
      <c r="K409" s="23" t="s">
        <v>288</v>
      </c>
      <c r="L409" s="38">
        <f>L394+L402+L408</f>
        <v>100000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v>100000</v>
      </c>
      <c r="G423" s="18"/>
      <c r="H423" s="18"/>
      <c r="I423" s="18"/>
      <c r="J423" s="18"/>
      <c r="K423" s="18"/>
      <c r="L423" s="13">
        <f t="shared" si="29"/>
        <v>100000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100000</v>
      </c>
      <c r="G428" s="38">
        <f t="shared" si="30"/>
        <v>0</v>
      </c>
      <c r="H428" s="38">
        <f t="shared" si="30"/>
        <v>0</v>
      </c>
      <c r="I428" s="38">
        <f t="shared" si="30"/>
        <v>0</v>
      </c>
      <c r="J428" s="38">
        <f t="shared" si="30"/>
        <v>0</v>
      </c>
      <c r="K428" s="38">
        <f t="shared" si="30"/>
        <v>0</v>
      </c>
      <c r="L428" s="38">
        <f t="shared" si="30"/>
        <v>100000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100000</v>
      </c>
      <c r="G435" s="38">
        <f t="shared" si="32"/>
        <v>0</v>
      </c>
      <c r="H435" s="38">
        <f t="shared" si="32"/>
        <v>0</v>
      </c>
      <c r="I435" s="38">
        <f t="shared" si="32"/>
        <v>0</v>
      </c>
      <c r="J435" s="38">
        <f t="shared" si="32"/>
        <v>0</v>
      </c>
      <c r="K435" s="38">
        <f t="shared" si="32"/>
        <v>0</v>
      </c>
      <c r="L435" s="38">
        <f t="shared" si="32"/>
        <v>100000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0</v>
      </c>
      <c r="H447" s="13">
        <f>SUM(H440:H446)</f>
        <v>0</v>
      </c>
      <c r="I447" s="13">
        <f>SUM(I440:I446)</f>
        <v>0</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0</v>
      </c>
      <c r="H461" s="65">
        <f>SUM(H455:H460)</f>
        <v>0</v>
      </c>
      <c r="I461" s="65">
        <f>SUM(I455:I460)</f>
        <v>0</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0</v>
      </c>
      <c r="H462" s="39">
        <f>H453+H461</f>
        <v>0</v>
      </c>
      <c r="I462" s="39">
        <f>I453+I461</f>
        <v>0</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c r="G466" s="18"/>
      <c r="H466" s="18"/>
      <c r="I466" s="18"/>
      <c r="J466" s="18"/>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41215740.890000001</v>
      </c>
      <c r="G469" s="18">
        <v>1333443.7</v>
      </c>
      <c r="H469" s="18">
        <v>9988491.0899999999</v>
      </c>
      <c r="I469" s="18"/>
      <c r="J469" s="18">
        <v>100000</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41215740.890000001</v>
      </c>
      <c r="G471" s="19">
        <f>SUM(G469:G470)</f>
        <v>1333443.7</v>
      </c>
      <c r="H471" s="19">
        <f>SUM(H469:H470)</f>
        <v>9988491.0899999999</v>
      </c>
      <c r="I471" s="19">
        <f>SUM(I469:I470)</f>
        <v>0</v>
      </c>
      <c r="J471" s="19">
        <f>SUM(J469:J470)</f>
        <v>100000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41215740.890000001</v>
      </c>
      <c r="G473" s="18">
        <v>1333443.7</v>
      </c>
      <c r="H473" s="18">
        <v>9988491.0899999999</v>
      </c>
      <c r="I473" s="18"/>
      <c r="J473" s="18">
        <v>100000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41215740.890000001</v>
      </c>
      <c r="G475" s="19">
        <f>SUM(G473:G474)</f>
        <v>1333443.7</v>
      </c>
      <c r="H475" s="19">
        <f>SUM(H473:H474)</f>
        <v>9988491.0899999999</v>
      </c>
      <c r="I475" s="19">
        <f>SUM(I473:I474)</f>
        <v>0</v>
      </c>
      <c r="J475" s="19">
        <f>SUM(J473:J474)</f>
        <v>100000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0</v>
      </c>
      <c r="G477" s="19">
        <f>(G466+G471)- G475</f>
        <v>0</v>
      </c>
      <c r="H477" s="19">
        <f>(H466+H471)- H475</f>
        <v>0</v>
      </c>
      <c r="I477" s="19">
        <f>(I466+I471)- I475</f>
        <v>0</v>
      </c>
      <c r="J477" s="19">
        <f>(J466+J471)- J475</f>
        <v>0</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1995954.17</v>
      </c>
      <c r="G522" s="18">
        <f>G199+G278</f>
        <v>1149666.6100000001</v>
      </c>
      <c r="H522" s="18">
        <f>H199+H278</f>
        <v>1729420</v>
      </c>
      <c r="I522" s="18">
        <f>I199+I278</f>
        <v>27941.7</v>
      </c>
      <c r="J522" s="18">
        <f>J199+J278</f>
        <v>37355.14</v>
      </c>
      <c r="K522" s="18"/>
      <c r="L522" s="69">
        <f>SUM(F522:K522)</f>
        <v>4940337.62</v>
      </c>
      <c r="N522" s="130"/>
    </row>
    <row r="523" spans="1:14" ht="12.2" customHeight="1" x14ac:dyDescent="0.2">
      <c r="A523" s="21" t="s">
        <v>634</v>
      </c>
      <c r="B523" s="22">
        <v>21</v>
      </c>
      <c r="C523" s="22">
        <v>2</v>
      </c>
      <c r="D523" s="2" t="s">
        <v>432</v>
      </c>
      <c r="E523" s="22"/>
      <c r="F523" s="18">
        <v>756485.78</v>
      </c>
      <c r="G523" s="18">
        <f>G217+G297</f>
        <v>465629.07999999996</v>
      </c>
      <c r="H523" s="18">
        <f>H217+H297</f>
        <v>1132979.4400000002</v>
      </c>
      <c r="I523" s="18">
        <f>I217+I297</f>
        <v>7336.34</v>
      </c>
      <c r="J523" s="18">
        <f>J297</f>
        <v>7065.48</v>
      </c>
      <c r="K523" s="18"/>
      <c r="L523" s="69">
        <f>SUM(F523:K523)</f>
        <v>2369496.1199999996</v>
      </c>
      <c r="N523" s="130"/>
    </row>
    <row r="524" spans="1:14" ht="12.2" customHeight="1" thickBot="1" x14ac:dyDescent="0.25">
      <c r="A524" s="21" t="s">
        <v>635</v>
      </c>
      <c r="B524" s="22">
        <v>21</v>
      </c>
      <c r="C524" s="22">
        <v>3</v>
      </c>
      <c r="D524" s="2" t="s">
        <v>432</v>
      </c>
      <c r="E524" s="22"/>
      <c r="F524" s="18">
        <v>989637.84</v>
      </c>
      <c r="G524" s="18">
        <f>G235+G297</f>
        <v>436599.06</v>
      </c>
      <c r="H524" s="18">
        <f>H235+H316</f>
        <v>1279621.1599999999</v>
      </c>
      <c r="I524" s="18">
        <f>I235+I316</f>
        <v>9155.4</v>
      </c>
      <c r="J524" s="18">
        <f>J235+J316</f>
        <v>15448.46</v>
      </c>
      <c r="K524" s="18"/>
      <c r="L524" s="69">
        <f>SUM(F524:K524)</f>
        <v>2730461.9199999995</v>
      </c>
      <c r="N524" s="130"/>
    </row>
    <row r="525" spans="1:14" ht="12.2" customHeight="1" thickTop="1" x14ac:dyDescent="0.2">
      <c r="A525" s="97" t="s">
        <v>63</v>
      </c>
      <c r="B525" s="41">
        <v>21</v>
      </c>
      <c r="C525" s="41">
        <v>4</v>
      </c>
      <c r="D525" s="115" t="s">
        <v>432</v>
      </c>
      <c r="E525" s="41"/>
      <c r="F525" s="81">
        <f>SUM(F522:F524)</f>
        <v>3742077.79</v>
      </c>
      <c r="G525" s="81">
        <f t="shared" ref="G525:L525" si="36">SUM(G522:G524)</f>
        <v>2051894.75</v>
      </c>
      <c r="H525" s="81">
        <f t="shared" si="36"/>
        <v>4142020.6000000006</v>
      </c>
      <c r="I525" s="81">
        <f t="shared" si="36"/>
        <v>44433.440000000002</v>
      </c>
      <c r="J525" s="81">
        <f t="shared" si="36"/>
        <v>59869.079999999994</v>
      </c>
      <c r="K525" s="81">
        <f t="shared" si="36"/>
        <v>0</v>
      </c>
      <c r="L525" s="70">
        <f t="shared" si="36"/>
        <v>10040295.66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191087.24</v>
      </c>
      <c r="G527" s="18"/>
      <c r="H527" s="18"/>
      <c r="I527" s="18">
        <v>9764.6200000000008</v>
      </c>
      <c r="J527" s="18">
        <v>5098.1899999999996</v>
      </c>
      <c r="K527" s="18"/>
      <c r="L527" s="69">
        <f>SUM(F527:K527)</f>
        <v>205950.05</v>
      </c>
      <c r="M527" s="8"/>
      <c r="N527" s="164"/>
    </row>
    <row r="528" spans="1:14" s="3" customFormat="1" ht="12.2" customHeight="1" x14ac:dyDescent="0.15">
      <c r="A528" s="21" t="s">
        <v>634</v>
      </c>
      <c r="B528" s="22">
        <v>21</v>
      </c>
      <c r="C528" s="22">
        <v>6</v>
      </c>
      <c r="D528" s="2" t="s">
        <v>432</v>
      </c>
      <c r="E528" s="22"/>
      <c r="F528" s="18">
        <v>40694</v>
      </c>
      <c r="G528" s="18"/>
      <c r="H528" s="18">
        <v>31200</v>
      </c>
      <c r="I528" s="18">
        <v>427.64</v>
      </c>
      <c r="J528" s="18"/>
      <c r="K528" s="18"/>
      <c r="L528" s="69">
        <f>SUM(F528:K528)</f>
        <v>72321.64</v>
      </c>
      <c r="M528" s="8"/>
      <c r="N528" s="164"/>
    </row>
    <row r="529" spans="1:14" s="3" customFormat="1" ht="12.2" customHeight="1" thickBot="1" x14ac:dyDescent="0.2">
      <c r="A529" s="21" t="s">
        <v>635</v>
      </c>
      <c r="B529" s="22">
        <v>21</v>
      </c>
      <c r="C529" s="22">
        <v>7</v>
      </c>
      <c r="D529" s="2" t="s">
        <v>432</v>
      </c>
      <c r="E529" s="22"/>
      <c r="F529" s="18">
        <v>0</v>
      </c>
      <c r="G529" s="18"/>
      <c r="H529" s="18"/>
      <c r="I529" s="18">
        <v>323.64999999999998</v>
      </c>
      <c r="J529" s="18">
        <v>1955.19</v>
      </c>
      <c r="K529" s="18"/>
      <c r="L529" s="69">
        <f>SUM(F529:K529)</f>
        <v>2278.84</v>
      </c>
      <c r="M529" s="8"/>
      <c r="N529" s="164"/>
    </row>
    <row r="530" spans="1:14" s="3" customFormat="1" ht="12.2" customHeight="1" thickTop="1" x14ac:dyDescent="0.15">
      <c r="A530" s="97" t="s">
        <v>65</v>
      </c>
      <c r="B530" s="41">
        <v>21</v>
      </c>
      <c r="C530" s="41">
        <v>8</v>
      </c>
      <c r="D530" s="115" t="s">
        <v>432</v>
      </c>
      <c r="E530" s="41"/>
      <c r="F530" s="70">
        <f>SUM(F527:F529)</f>
        <v>231781.24</v>
      </c>
      <c r="G530" s="70">
        <f t="shared" ref="G530:L530" si="37">SUM(G527:G529)</f>
        <v>0</v>
      </c>
      <c r="H530" s="70">
        <f t="shared" si="37"/>
        <v>31200</v>
      </c>
      <c r="I530" s="70">
        <f t="shared" si="37"/>
        <v>10515.91</v>
      </c>
      <c r="J530" s="70">
        <f t="shared" si="37"/>
        <v>7053.3799999999992</v>
      </c>
      <c r="K530" s="70">
        <f t="shared" si="37"/>
        <v>0</v>
      </c>
      <c r="L530" s="70">
        <f t="shared" si="37"/>
        <v>280550.53000000003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216255</v>
      </c>
      <c r="G532" s="18">
        <v>102763</v>
      </c>
      <c r="H532" s="18"/>
      <c r="I532" s="18"/>
      <c r="J532" s="18"/>
      <c r="K532" s="18"/>
      <c r="L532" s="69">
        <f>SUM(F532:K532)</f>
        <v>319018</v>
      </c>
      <c r="M532" s="8"/>
      <c r="N532" s="164"/>
    </row>
    <row r="533" spans="1:14" s="3" customFormat="1" ht="12.2" customHeight="1" x14ac:dyDescent="0.15">
      <c r="A533" s="21" t="s">
        <v>634</v>
      </c>
      <c r="B533" s="22">
        <v>21</v>
      </c>
      <c r="C533" s="22">
        <v>10</v>
      </c>
      <c r="D533" s="2" t="s">
        <v>432</v>
      </c>
      <c r="E533" s="22"/>
      <c r="F533" s="18">
        <v>108127</v>
      </c>
      <c r="G533" s="18">
        <v>73253.8</v>
      </c>
      <c r="H533" s="18"/>
      <c r="I533" s="18"/>
      <c r="J533" s="18"/>
      <c r="K533" s="18"/>
      <c r="L533" s="69">
        <f>SUM(F533:K533)</f>
        <v>181380.8</v>
      </c>
      <c r="M533" s="8"/>
      <c r="N533" s="164"/>
    </row>
    <row r="534" spans="1:14" s="3" customFormat="1" ht="12.2" customHeight="1" thickBot="1" x14ac:dyDescent="0.2">
      <c r="A534" s="21" t="s">
        <v>635</v>
      </c>
      <c r="B534" s="22">
        <v>21</v>
      </c>
      <c r="C534" s="22">
        <v>11</v>
      </c>
      <c r="D534" s="2" t="s">
        <v>432</v>
      </c>
      <c r="E534" s="22"/>
      <c r="F534" s="18">
        <v>108127</v>
      </c>
      <c r="G534" s="18">
        <v>73253.8</v>
      </c>
      <c r="H534" s="18"/>
      <c r="I534" s="18"/>
      <c r="J534" s="18"/>
      <c r="K534" s="18"/>
      <c r="L534" s="69">
        <f>SUM(F534:K534)</f>
        <v>181380.8</v>
      </c>
      <c r="M534" s="8"/>
      <c r="N534" s="164"/>
    </row>
    <row r="535" spans="1:14" s="3" customFormat="1" ht="12.2" customHeight="1" thickTop="1" x14ac:dyDescent="0.15">
      <c r="A535" s="97" t="s">
        <v>67</v>
      </c>
      <c r="B535" s="41">
        <v>21</v>
      </c>
      <c r="C535" s="41">
        <v>12</v>
      </c>
      <c r="D535" s="115" t="s">
        <v>432</v>
      </c>
      <c r="E535" s="41"/>
      <c r="F535" s="70">
        <f>SUM(F532:F534)</f>
        <v>432509</v>
      </c>
      <c r="G535" s="70">
        <f t="shared" ref="G535:L535" si="38">SUM(G532:G534)</f>
        <v>249270.59999999998</v>
      </c>
      <c r="H535" s="70">
        <f t="shared" si="38"/>
        <v>0</v>
      </c>
      <c r="I535" s="70">
        <f t="shared" si="38"/>
        <v>0</v>
      </c>
      <c r="J535" s="70">
        <f t="shared" si="38"/>
        <v>0</v>
      </c>
      <c r="K535" s="70">
        <f t="shared" si="38"/>
        <v>0</v>
      </c>
      <c r="L535" s="70">
        <f t="shared" si="38"/>
        <v>681779.6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2336.61</v>
      </c>
      <c r="I537" s="18"/>
      <c r="J537" s="18"/>
      <c r="K537" s="18"/>
      <c r="L537" s="69">
        <f>SUM(F537:K537)</f>
        <v>2336.61</v>
      </c>
      <c r="M537" s="8"/>
      <c r="N537" s="164"/>
    </row>
    <row r="538" spans="1:14" s="3" customFormat="1" ht="12.2" customHeight="1" x14ac:dyDescent="0.15">
      <c r="A538" s="21" t="s">
        <v>634</v>
      </c>
      <c r="B538" s="22">
        <v>21</v>
      </c>
      <c r="C538" s="22">
        <v>14</v>
      </c>
      <c r="D538" s="2" t="s">
        <v>432</v>
      </c>
      <c r="E538" s="22"/>
      <c r="F538" s="18"/>
      <c r="G538" s="18"/>
      <c r="H538" s="18">
        <v>3504.92</v>
      </c>
      <c r="I538" s="18"/>
      <c r="J538" s="18"/>
      <c r="K538" s="18"/>
      <c r="L538" s="69">
        <f>SUM(F538:K538)</f>
        <v>3504.92</v>
      </c>
      <c r="M538" s="8"/>
      <c r="N538" s="164"/>
    </row>
    <row r="539" spans="1:14" s="3" customFormat="1" ht="12.2" customHeight="1" thickBot="1" x14ac:dyDescent="0.2">
      <c r="A539" s="21" t="s">
        <v>635</v>
      </c>
      <c r="B539" s="22">
        <v>21</v>
      </c>
      <c r="C539" s="22">
        <v>15</v>
      </c>
      <c r="D539" s="2" t="s">
        <v>432</v>
      </c>
      <c r="E539" s="22"/>
      <c r="F539" s="18"/>
      <c r="G539" s="18"/>
      <c r="H539" s="18">
        <v>3504.92</v>
      </c>
      <c r="I539" s="18"/>
      <c r="J539" s="18"/>
      <c r="K539" s="18"/>
      <c r="L539" s="69">
        <f>SUM(F539:K539)</f>
        <v>3504.92</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9346.4500000000007</v>
      </c>
      <c r="I540" s="70">
        <f t="shared" si="39"/>
        <v>0</v>
      </c>
      <c r="J540" s="70">
        <f t="shared" si="39"/>
        <v>0</v>
      </c>
      <c r="K540" s="70">
        <f t="shared" si="39"/>
        <v>0</v>
      </c>
      <c r="L540" s="70">
        <f t="shared" si="39"/>
        <v>9346.4500000000007</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114876.41</v>
      </c>
      <c r="I542" s="18"/>
      <c r="J542" s="18"/>
      <c r="K542" s="18"/>
      <c r="L542" s="69">
        <f>SUM(F542:K542)</f>
        <v>114876.41</v>
      </c>
      <c r="M542" s="8"/>
      <c r="N542" s="164"/>
    </row>
    <row r="543" spans="1:14" s="3" customFormat="1" ht="12.2" customHeight="1" x14ac:dyDescent="0.15">
      <c r="A543" s="21" t="s">
        <v>634</v>
      </c>
      <c r="B543" s="22">
        <v>21</v>
      </c>
      <c r="C543" s="22">
        <v>18</v>
      </c>
      <c r="D543" s="2" t="s">
        <v>432</v>
      </c>
      <c r="E543" s="22"/>
      <c r="F543" s="18"/>
      <c r="G543" s="18"/>
      <c r="H543" s="18">
        <v>107778.44</v>
      </c>
      <c r="I543" s="18"/>
      <c r="J543" s="18"/>
      <c r="K543" s="18"/>
      <c r="L543" s="69">
        <f>SUM(F543:K543)</f>
        <v>107778.44</v>
      </c>
      <c r="M543" s="8"/>
      <c r="N543" s="164"/>
    </row>
    <row r="544" spans="1:14" s="3" customFormat="1" ht="12.2" customHeight="1" thickBot="1" x14ac:dyDescent="0.2">
      <c r="A544" s="21" t="s">
        <v>635</v>
      </c>
      <c r="B544" s="22">
        <v>21</v>
      </c>
      <c r="C544" s="22">
        <v>19</v>
      </c>
      <c r="D544" s="2" t="s">
        <v>432</v>
      </c>
      <c r="E544" s="22"/>
      <c r="F544" s="18"/>
      <c r="G544" s="18"/>
      <c r="H544" s="18">
        <v>106935.03999999999</v>
      </c>
      <c r="I544" s="18"/>
      <c r="J544" s="18"/>
      <c r="K544" s="18"/>
      <c r="L544" s="69">
        <f>SUM(F544:K544)</f>
        <v>106935.03999999999</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329589.89</v>
      </c>
      <c r="I545" s="140">
        <f t="shared" si="40"/>
        <v>0</v>
      </c>
      <c r="J545" s="140">
        <f t="shared" si="40"/>
        <v>0</v>
      </c>
      <c r="K545" s="140">
        <f t="shared" si="40"/>
        <v>0</v>
      </c>
      <c r="L545" s="140">
        <f t="shared" si="40"/>
        <v>329589.89</v>
      </c>
      <c r="M545" s="8"/>
      <c r="N545" s="164"/>
    </row>
    <row r="546" spans="1:14" s="3" customFormat="1" ht="12.2" customHeight="1" thickTop="1" x14ac:dyDescent="0.15">
      <c r="A546" s="75" t="s">
        <v>72</v>
      </c>
      <c r="B546" s="41">
        <v>21</v>
      </c>
      <c r="C546" s="41">
        <v>21</v>
      </c>
      <c r="D546" s="115" t="s">
        <v>432</v>
      </c>
      <c r="E546" s="41"/>
      <c r="F546" s="70">
        <f>F525+F530+F535+F540+F545</f>
        <v>4406368.03</v>
      </c>
      <c r="G546" s="70">
        <f t="shared" ref="G546:L546" si="41">G525+G530+G535+G540+G545</f>
        <v>2301165.35</v>
      </c>
      <c r="H546" s="70">
        <f t="shared" si="41"/>
        <v>4512156.9400000004</v>
      </c>
      <c r="I546" s="70">
        <f t="shared" si="41"/>
        <v>54949.350000000006</v>
      </c>
      <c r="J546" s="70">
        <f t="shared" si="41"/>
        <v>66922.459999999992</v>
      </c>
      <c r="K546" s="70">
        <f t="shared" si="41"/>
        <v>0</v>
      </c>
      <c r="L546" s="70">
        <f t="shared" si="41"/>
        <v>11341562.129999999</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4940337.62</v>
      </c>
      <c r="G550" s="69">
        <f>L527</f>
        <v>205950.05</v>
      </c>
      <c r="H550" s="69">
        <f>L532</f>
        <v>319018</v>
      </c>
      <c r="I550" s="69">
        <f>L537</f>
        <v>2336.61</v>
      </c>
      <c r="J550" s="69">
        <f>L542</f>
        <v>114876.41</v>
      </c>
      <c r="K550" s="69">
        <f>SUM(F550:J550)</f>
        <v>5582518.6900000004</v>
      </c>
      <c r="L550" s="23" t="s">
        <v>288</v>
      </c>
      <c r="M550" s="8"/>
      <c r="N550" s="164"/>
    </row>
    <row r="551" spans="1:14" s="3" customFormat="1" ht="12.2" customHeight="1" x14ac:dyDescent="0.15">
      <c r="A551" s="21" t="s">
        <v>634</v>
      </c>
      <c r="B551" s="22">
        <v>21</v>
      </c>
      <c r="C551" s="22">
        <v>23</v>
      </c>
      <c r="D551" s="2" t="s">
        <v>432</v>
      </c>
      <c r="E551" s="22"/>
      <c r="F551" s="69">
        <f>L523</f>
        <v>2369496.1199999996</v>
      </c>
      <c r="G551" s="69">
        <f>L528</f>
        <v>72321.64</v>
      </c>
      <c r="H551" s="69">
        <f>L533</f>
        <v>181380.8</v>
      </c>
      <c r="I551" s="69">
        <f>L538</f>
        <v>3504.92</v>
      </c>
      <c r="J551" s="69">
        <f>L543</f>
        <v>107778.44</v>
      </c>
      <c r="K551" s="69">
        <f>SUM(F551:J551)</f>
        <v>2734481.9199999995</v>
      </c>
      <c r="L551" s="23" t="s">
        <v>288</v>
      </c>
      <c r="M551" s="8"/>
      <c r="N551" s="164"/>
    </row>
    <row r="552" spans="1:14" s="3" customFormat="1" ht="12.2" customHeight="1" thickBot="1" x14ac:dyDescent="0.2">
      <c r="A552" s="21" t="s">
        <v>635</v>
      </c>
      <c r="B552" s="22">
        <v>21</v>
      </c>
      <c r="C552" s="22">
        <v>24</v>
      </c>
      <c r="D552" s="2" t="s">
        <v>432</v>
      </c>
      <c r="E552" s="22"/>
      <c r="F552" s="69">
        <f>L524</f>
        <v>2730461.9199999995</v>
      </c>
      <c r="G552" s="69">
        <f>L529</f>
        <v>2278.84</v>
      </c>
      <c r="H552" s="69">
        <f>L534</f>
        <v>181380.8</v>
      </c>
      <c r="I552" s="69">
        <f>L539</f>
        <v>3504.92</v>
      </c>
      <c r="J552" s="69">
        <f>L544</f>
        <v>106935.03999999999</v>
      </c>
      <c r="K552" s="69">
        <f>SUM(F552:J552)</f>
        <v>3024561.5199999991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10040295.66</v>
      </c>
      <c r="G553" s="70">
        <f t="shared" si="42"/>
        <v>280550.53000000003</v>
      </c>
      <c r="H553" s="70">
        <f t="shared" si="42"/>
        <v>681779.6</v>
      </c>
      <c r="I553" s="70">
        <f t="shared" si="42"/>
        <v>9346.4500000000007</v>
      </c>
      <c r="J553" s="70">
        <f t="shared" si="42"/>
        <v>329589.89</v>
      </c>
      <c r="K553" s="70">
        <f t="shared" si="42"/>
        <v>11341562.129999999</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28987.43</v>
      </c>
      <c r="G576" s="18">
        <v>34155.160000000003</v>
      </c>
      <c r="H576" s="18">
        <v>27216</v>
      </c>
      <c r="I576" s="69">
        <f>SUM(F576:H576)</f>
        <v>90358.59</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v>356501.03</v>
      </c>
      <c r="H579" s="18">
        <v>695690.43</v>
      </c>
      <c r="I579" s="69">
        <f t="shared" si="47"/>
        <v>1052191.46</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28987.43</v>
      </c>
      <c r="G589" s="79">
        <f t="shared" ref="G589:I589" si="48">SUM(G576:G588)</f>
        <v>390656.19000000006</v>
      </c>
      <c r="H589" s="79">
        <f t="shared" si="48"/>
        <v>722906.43</v>
      </c>
      <c r="I589" s="79">
        <f t="shared" si="48"/>
        <v>1142550.05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238073.36</v>
      </c>
      <c r="I592" s="18">
        <v>125301.77</v>
      </c>
      <c r="J592" s="18">
        <v>173632.45</v>
      </c>
      <c r="K592" s="80">
        <f t="shared" ref="K592:K598" si="49">SUM(H592:J592)</f>
        <v>537007.58000000007</v>
      </c>
      <c r="L592" s="23" t="s">
        <v>288</v>
      </c>
      <c r="M592" s="8"/>
      <c r="N592" s="164"/>
    </row>
    <row r="593" spans="1:14" s="3" customFormat="1" ht="12.2" customHeight="1" x14ac:dyDescent="0.15">
      <c r="A593" s="3" t="s">
        <v>638</v>
      </c>
      <c r="B593" s="22">
        <v>23</v>
      </c>
      <c r="C593" s="22">
        <v>2</v>
      </c>
      <c r="D593" s="2" t="s">
        <v>432</v>
      </c>
      <c r="E593" s="22"/>
      <c r="F593" s="78">
        <v>2722</v>
      </c>
      <c r="G593" s="79" t="s">
        <v>97</v>
      </c>
      <c r="H593" s="18">
        <v>114876.41</v>
      </c>
      <c r="I593" s="18">
        <v>107778.44</v>
      </c>
      <c r="J593" s="18">
        <v>101599.22</v>
      </c>
      <c r="K593" s="80">
        <f t="shared" si="49"/>
        <v>324254.07</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5269.5</v>
      </c>
      <c r="K594" s="80">
        <f t="shared" si="49"/>
        <v>5269.5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13941.84</v>
      </c>
      <c r="J595" s="18">
        <v>44903.74</v>
      </c>
      <c r="K595" s="80">
        <f t="shared" si="49"/>
        <v>58845.58</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123.9</v>
      </c>
      <c r="I596" s="18">
        <v>6427.18</v>
      </c>
      <c r="J596" s="18">
        <v>5949.46</v>
      </c>
      <c r="K596" s="80">
        <f t="shared" si="49"/>
        <v>12500.54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353073.67000000004</v>
      </c>
      <c r="I599" s="81">
        <f>SUM(I592:I598)</f>
        <v>253449.23</v>
      </c>
      <c r="J599" s="81">
        <f>SUM(J592:J598)</f>
        <v>331354.37000000005</v>
      </c>
      <c r="K599" s="81">
        <f>SUM(K592:K598)</f>
        <v>937877.27000000014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J291+J212</f>
        <v>403984.91000000003</v>
      </c>
      <c r="I605" s="18">
        <f>J310+J230</f>
        <v>115012.04</v>
      </c>
      <c r="J605" s="18">
        <f>J329+J248+6306+606</f>
        <v>402310.16000000003</v>
      </c>
      <c r="K605" s="80">
        <f>SUM(H605:J605)</f>
        <v>921307.1100000001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403984.91000000003</v>
      </c>
      <c r="I606" s="81">
        <f>SUM(I603:I605)</f>
        <v>115012.04</v>
      </c>
      <c r="J606" s="81">
        <f>SUM(J603:J605)</f>
        <v>402310.16000000003</v>
      </c>
      <c r="K606" s="81">
        <f>SUM(K603:K605)</f>
        <v>921307.1100000001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440888.07999999996</v>
      </c>
      <c r="H618" s="80">
        <f>SUM(F52)</f>
        <v>440888.07999999996</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131120.49</v>
      </c>
      <c r="H619" s="80">
        <f>SUM(G52)</f>
        <v>131120.49</v>
      </c>
      <c r="I619" s="87" t="s">
        <v>872</v>
      </c>
      <c r="J619" s="80">
        <f>G619-H619</f>
        <v>0</v>
      </c>
      <c r="K619" s="80"/>
      <c r="L619" s="80"/>
      <c r="M619" s="8"/>
    </row>
    <row r="620" spans="1:14" s="3" customFormat="1" ht="12.2" customHeight="1" x14ac:dyDescent="0.15">
      <c r="A620" s="74"/>
      <c r="B620" s="22"/>
      <c r="C620" s="22"/>
      <c r="D620" s="22"/>
      <c r="E620" s="22"/>
      <c r="F620" s="87" t="s">
        <v>685</v>
      </c>
      <c r="G620" s="80">
        <f>SUM(H19)</f>
        <v>5514357.5099999998</v>
      </c>
      <c r="H620" s="80">
        <f>SUM(H52)</f>
        <v>5514357.5099999998</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0</v>
      </c>
      <c r="H622" s="80">
        <f>SUM(J52)</f>
        <v>0</v>
      </c>
      <c r="I622" s="87" t="s">
        <v>875</v>
      </c>
      <c r="J622" s="80">
        <f>G622-H622</f>
        <v>0</v>
      </c>
      <c r="K622" s="80"/>
      <c r="L622" s="80"/>
      <c r="M622" s="8"/>
    </row>
    <row r="623" spans="1:14" s="3" customFormat="1" ht="12.2" customHeight="1" x14ac:dyDescent="0.15">
      <c r="A623" s="74"/>
      <c r="B623" s="22"/>
      <c r="C623" s="22"/>
      <c r="D623" s="22"/>
      <c r="E623" s="22"/>
      <c r="F623" s="87" t="s">
        <v>861</v>
      </c>
      <c r="G623" s="80">
        <f>F51</f>
        <v>0</v>
      </c>
      <c r="H623" s="80">
        <f>F477</f>
        <v>0</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0</v>
      </c>
      <c r="H627" s="80">
        <f>J477</f>
        <v>0</v>
      </c>
      <c r="I627" s="87" t="s">
        <v>105</v>
      </c>
      <c r="J627" s="80">
        <f t="shared" si="51"/>
        <v>0</v>
      </c>
      <c r="K627" s="67"/>
      <c r="L627" s="69"/>
      <c r="M627" s="8"/>
    </row>
    <row r="628" spans="1:13" s="3" customFormat="1" ht="12.2" customHeight="1" x14ac:dyDescent="0.15">
      <c r="A628" s="21"/>
      <c r="B628" s="22"/>
      <c r="C628" s="22"/>
      <c r="D628" s="22"/>
      <c r="E628" s="22"/>
      <c r="F628" s="86" t="s">
        <v>658</v>
      </c>
      <c r="G628" s="80">
        <f>F194</f>
        <v>41215740.890000001</v>
      </c>
      <c r="H628" s="80">
        <f>SUM(F469)</f>
        <v>41215740.890000001</v>
      </c>
      <c r="I628" s="87" t="s">
        <v>106</v>
      </c>
      <c r="J628" s="80">
        <f>G628-H628</f>
        <v>0</v>
      </c>
      <c r="K628" s="67"/>
      <c r="L628" s="69"/>
      <c r="M628" s="8"/>
    </row>
    <row r="629" spans="1:13" s="3" customFormat="1" ht="12.2" customHeight="1" x14ac:dyDescent="0.15">
      <c r="A629" s="21"/>
      <c r="B629" s="22"/>
      <c r="C629" s="22"/>
      <c r="D629" s="22"/>
      <c r="E629" s="22"/>
      <c r="F629" s="86" t="s">
        <v>659</v>
      </c>
      <c r="G629" s="80">
        <f>G194</f>
        <v>1333443.7</v>
      </c>
      <c r="H629" s="80">
        <f>SUM(G469)</f>
        <v>1333443.7</v>
      </c>
      <c r="I629" s="87" t="s">
        <v>107</v>
      </c>
      <c r="J629" s="80">
        <f>G629-H629</f>
        <v>0</v>
      </c>
      <c r="K629" s="67"/>
      <c r="L629" s="69"/>
      <c r="M629" s="8"/>
    </row>
    <row r="630" spans="1:13" s="3" customFormat="1" ht="12.2" customHeight="1" x14ac:dyDescent="0.15">
      <c r="A630" s="21"/>
      <c r="B630" s="22"/>
      <c r="C630" s="22"/>
      <c r="D630" s="22"/>
      <c r="E630" s="22"/>
      <c r="F630" s="86" t="s">
        <v>660</v>
      </c>
      <c r="G630" s="80">
        <f>H194</f>
        <v>9988491.0899999999</v>
      </c>
      <c r="H630" s="80">
        <f>SUM(H469)</f>
        <v>9988491.0899999999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100000</v>
      </c>
      <c r="H632" s="80">
        <f>SUM(J469)</f>
        <v>100000</v>
      </c>
      <c r="I632" s="87" t="s">
        <v>110</v>
      </c>
      <c r="J632" s="80">
        <f>G632-H632</f>
        <v>0</v>
      </c>
      <c r="K632" s="67"/>
      <c r="L632" s="69"/>
      <c r="M632" s="8"/>
    </row>
    <row r="633" spans="1:13" s="3" customFormat="1" ht="12.2" customHeight="1" x14ac:dyDescent="0.15">
      <c r="A633" s="21"/>
      <c r="B633" s="22"/>
      <c r="C633" s="22"/>
      <c r="D633" s="22"/>
      <c r="E633" s="22"/>
      <c r="F633" s="86" t="s">
        <v>394</v>
      </c>
      <c r="G633" s="80">
        <f>SUM(L272)</f>
        <v>41215740.889999993</v>
      </c>
      <c r="H633" s="80">
        <f>SUM(F473)</f>
        <v>41215740.890000001</v>
      </c>
      <c r="I633" s="87" t="s">
        <v>111</v>
      </c>
      <c r="J633" s="80">
        <f t="shared" si="51"/>
        <v>0</v>
      </c>
      <c r="K633" s="67"/>
      <c r="L633" s="69"/>
      <c r="M633" s="8"/>
    </row>
    <row r="634" spans="1:13" s="3" customFormat="1" ht="12.2" customHeight="1" x14ac:dyDescent="0.15">
      <c r="A634" s="21"/>
      <c r="B634" s="22"/>
      <c r="C634" s="22"/>
      <c r="D634" s="22"/>
      <c r="E634" s="22"/>
      <c r="F634" s="86" t="s">
        <v>395</v>
      </c>
      <c r="G634" s="80">
        <f>SUM(L353)</f>
        <v>9988491.0899999999</v>
      </c>
      <c r="H634" s="80">
        <f>SUM(H473)</f>
        <v>9988491.0899999999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694559.12</v>
      </c>
      <c r="H635" s="80">
        <f>I370</f>
        <v>694559.11999999988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1333443.7</v>
      </c>
      <c r="H636" s="80">
        <f>SUM(G473)</f>
        <v>1333443.7</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100000</v>
      </c>
      <c r="H638" s="108">
        <f>SUM(J469)</f>
        <v>100000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100000</v>
      </c>
      <c r="H639" s="108">
        <f>SUM(J473)</f>
        <v>100000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0</v>
      </c>
      <c r="H643" s="80">
        <f>SUM(I462)</f>
        <v>0</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1"/>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100000</v>
      </c>
      <c r="H647" s="80">
        <f>L409</f>
        <v>100000</v>
      </c>
      <c r="I647" s="87" t="s">
        <v>477</v>
      </c>
      <c r="J647" s="80">
        <f t="shared" si="51"/>
        <v>0</v>
      </c>
      <c r="K647" s="67"/>
      <c r="L647" s="69"/>
      <c r="M647" s="8"/>
    </row>
    <row r="648" spans="1:13" s="3" customFormat="1" ht="12.2" customHeight="1" x14ac:dyDescent="0.15">
      <c r="A648" s="21"/>
      <c r="B648" s="22"/>
      <c r="C648" s="22"/>
      <c r="D648" s="22"/>
      <c r="E648" s="22"/>
      <c r="F648" s="86" t="s">
        <v>51</v>
      </c>
      <c r="G648" s="80">
        <f>K599</f>
        <v>937877.27000000014</v>
      </c>
      <c r="H648" s="80">
        <f>L209+L227+L245</f>
        <v>937877.27</v>
      </c>
      <c r="I648" s="87" t="s">
        <v>396</v>
      </c>
      <c r="J648" s="80">
        <f t="shared" si="51"/>
        <v>0</v>
      </c>
      <c r="K648" s="67"/>
      <c r="L648" s="69"/>
      <c r="M648" s="8"/>
    </row>
    <row r="649" spans="1:13" s="3" customFormat="1" ht="12.2" customHeight="1" x14ac:dyDescent="0.15">
      <c r="A649" s="21"/>
      <c r="B649" s="22"/>
      <c r="C649" s="22"/>
      <c r="D649" s="22"/>
      <c r="E649" s="22"/>
      <c r="F649" s="86" t="s">
        <v>52</v>
      </c>
      <c r="G649" s="80">
        <f>K606</f>
        <v>921307.1100000001</v>
      </c>
      <c r="H649" s="80">
        <f>(J258+J339)-(J256+J337)</f>
        <v>921307.11</v>
      </c>
      <c r="I649" s="87" t="s">
        <v>699</v>
      </c>
      <c r="J649" s="80">
        <f t="shared" si="51"/>
        <v>0</v>
      </c>
      <c r="K649" s="67"/>
      <c r="L649" s="69"/>
      <c r="M649" s="8"/>
    </row>
    <row r="650" spans="1:13" s="3" customFormat="1" ht="12.2" customHeight="1" x14ac:dyDescent="0.15">
      <c r="A650" s="21"/>
      <c r="B650" s="22"/>
      <c r="C650" s="22"/>
      <c r="D650" s="22"/>
      <c r="E650" s="22"/>
      <c r="F650" s="86" t="s">
        <v>387</v>
      </c>
      <c r="G650" s="80">
        <f>L209</f>
        <v>353073.67</v>
      </c>
      <c r="H650" s="80">
        <f>H599</f>
        <v>353073.67000000004</v>
      </c>
      <c r="I650" s="87" t="s">
        <v>388</v>
      </c>
      <c r="J650" s="80">
        <f t="shared" si="51"/>
        <v>0</v>
      </c>
      <c r="K650" s="67"/>
      <c r="L650" s="69"/>
      <c r="M650" s="8"/>
    </row>
    <row r="651" spans="1:13" s="3" customFormat="1" ht="12.2" customHeight="1" x14ac:dyDescent="0.15">
      <c r="A651" s="21"/>
      <c r="B651" s="22"/>
      <c r="C651" s="22"/>
      <c r="D651" s="22"/>
      <c r="E651" s="22"/>
      <c r="F651" s="86" t="s">
        <v>392</v>
      </c>
      <c r="G651" s="80">
        <f>L227</f>
        <v>253449.23</v>
      </c>
      <c r="H651" s="80">
        <f>I599</f>
        <v>253449.23</v>
      </c>
      <c r="I651" s="87" t="s">
        <v>389</v>
      </c>
      <c r="J651" s="80">
        <f t="shared" si="51"/>
        <v>0</v>
      </c>
      <c r="K651" s="67"/>
      <c r="L651" s="69"/>
      <c r="M651" s="8"/>
    </row>
    <row r="652" spans="1:13" s="3" customFormat="1" ht="12.2" customHeight="1" x14ac:dyDescent="0.15">
      <c r="A652" s="21"/>
      <c r="B652" s="22"/>
      <c r="C652" s="22"/>
      <c r="D652" s="22"/>
      <c r="E652" s="22"/>
      <c r="F652" s="86" t="s">
        <v>393</v>
      </c>
      <c r="G652" s="80">
        <f>L245</f>
        <v>331354.37</v>
      </c>
      <c r="H652" s="80">
        <f>J599</f>
        <v>331354.37000000005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375769.31</v>
      </c>
      <c r="H653" s="80">
        <f>K264+K346</f>
        <v>375769.31</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20494720.789999999</v>
      </c>
      <c r="G661" s="13">
        <f>(L230+L310+L360)</f>
        <v>9695714.9100000001</v>
      </c>
      <c r="H661" s="13">
        <f>(L248+L329+L361)</f>
        <v>14837434.640000001</v>
      </c>
      <c r="I661" s="13">
        <f>SUM(F661:H661)</f>
        <v>45027870.340000004</v>
      </c>
      <c r="J661" s="13"/>
      <c r="K661" s="13"/>
      <c r="L661" s="13"/>
      <c r="M661" s="9"/>
    </row>
    <row r="662" spans="1:13" s="3" customFormat="1" ht="12.2" customHeight="1" x14ac:dyDescent="0.2">
      <c r="A662" s="1" t="s">
        <v>127</v>
      </c>
      <c r="F662" s="13">
        <f>(L359/IF(SUM(L359:L361)=0,1,SUM(L359:L361))*(SUM(G97:G110)))</f>
        <v>68840.406860585266</v>
      </c>
      <c r="G662" s="13">
        <f>(L360/IF(SUM(L359:L361)=0,1,SUM(L359:L361))*(SUM(G97:G110)))</f>
        <v>41035.98717515311</v>
      </c>
      <c r="H662" s="13">
        <f>(L361/IF(SUM(L359:L361)=0,1,SUM(L359:L361))*(SUM(G97:G110)))</f>
        <v>47700.495964261638</v>
      </c>
      <c r="I662" s="13">
        <f>SUM(F662:H662)</f>
        <v>157576.89000000001</v>
      </c>
      <c r="J662"/>
      <c r="K662" s="13"/>
      <c r="L662" s="13"/>
      <c r="M662" s="8"/>
    </row>
    <row r="663" spans="1:13" s="3" customFormat="1" ht="12.2" customHeight="1" x14ac:dyDescent="0.2">
      <c r="A663" s="1" t="s">
        <v>128</v>
      </c>
      <c r="F663" s="13">
        <f>(L209+L288)-(J209+J288)</f>
        <v>430598.93</v>
      </c>
      <c r="G663" s="13">
        <f>(L227+L307)-(J227+J307)</f>
        <v>289892.40000000002</v>
      </c>
      <c r="H663" s="13">
        <f>(L245+L326)-(J245+J326)</f>
        <v>383139.44</v>
      </c>
      <c r="I663" s="13">
        <f>SUM(F663:H663)</f>
        <v>1103630.77</v>
      </c>
      <c r="J663"/>
      <c r="K663" s="13"/>
      <c r="L663" s="13"/>
      <c r="M663" s="9"/>
    </row>
    <row r="664" spans="1:13" s="3" customFormat="1" ht="12.2" customHeight="1" x14ac:dyDescent="0.15">
      <c r="A664" s="141" t="s">
        <v>129</v>
      </c>
      <c r="B664" s="124"/>
      <c r="C664" s="124"/>
      <c r="D664" s="124"/>
      <c r="E664" s="124"/>
      <c r="F664" s="142">
        <f>SUM(F576:F588)+SUM(H603:H605)+SUM(L612)</f>
        <v>432972.34</v>
      </c>
      <c r="G664" s="142">
        <f>SUM(G576:G588)+SUM(I603:I605)+L613</f>
        <v>505668.23000000004</v>
      </c>
      <c r="H664" s="142">
        <f>SUM(H576:H588)+SUM(J603:J605)+L614</f>
        <v>1125216.5900000001</v>
      </c>
      <c r="I664" s="13">
        <f>SUM(F664:H664)</f>
        <v>2063857.1600000001</v>
      </c>
      <c r="J664" s="13"/>
      <c r="K664" s="13"/>
      <c r="L664" s="13"/>
      <c r="M664" s="9"/>
    </row>
    <row r="665" spans="1:13" s="3" customFormat="1" ht="12.2" customHeight="1" x14ac:dyDescent="0.15">
      <c r="A665" s="1" t="s">
        <v>130</v>
      </c>
      <c r="F665" s="13">
        <f>F661-SUM(F662:F664)</f>
        <v>19562309.113139413</v>
      </c>
      <c r="G665" s="13">
        <f>G661-SUM(G662:G664)</f>
        <v>8859118.2928248476</v>
      </c>
      <c r="H665" s="13">
        <f>H661-SUM(H662:H664)</f>
        <v>13281378.114035739</v>
      </c>
      <c r="I665" s="13">
        <f>I661-SUM(I662:I664)</f>
        <v>41702805.520000003</v>
      </c>
      <c r="J665" s="13"/>
      <c r="K665" s="13"/>
      <c r="L665" s="13"/>
      <c r="M665" s="8"/>
    </row>
    <row r="666" spans="1:13" s="3" customFormat="1" ht="12.2" customHeight="1" x14ac:dyDescent="0.2">
      <c r="A666" s="1" t="s">
        <v>131</v>
      </c>
      <c r="F666" s="182">
        <v>794.88</v>
      </c>
      <c r="G666" s="183">
        <v>401.06</v>
      </c>
      <c r="H666" s="183">
        <v>555.12</v>
      </c>
      <c r="I666" s="13">
        <f>SUM(F666:H666)</f>
        <v>1751.06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24610.39</v>
      </c>
      <c r="G668" s="13">
        <f>ROUND(G665/G666,2)</f>
        <v>22089.26</v>
      </c>
      <c r="H668" s="13">
        <f>ROUND(H665/H666,2)</f>
        <v>23925.24</v>
      </c>
      <c r="I668" s="13">
        <f>ROUND(I665/I666,2)</f>
        <v>23815.75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76.78</v>
      </c>
      <c r="I671" s="13">
        <f>SUM(F671:H671)</f>
        <v>76.78</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24610.39</v>
      </c>
      <c r="G673" s="13">
        <f>ROUND((G665+G670)/(G666+G671),2)</f>
        <v>22089.26</v>
      </c>
      <c r="H673" s="13">
        <f>ROUND((H665+H670)/(H666+H671),2)</f>
        <v>21018.16</v>
      </c>
      <c r="I673" s="13">
        <f>ROUND((I665+I670)/(I666+I671),2)</f>
        <v>22815.35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982654.38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165322.37</v>
      </c>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30001.82</v>
      </c>
      <c r="F13" s="271" t="s">
        <v>1614</v>
      </c>
    </row>
    <row r="14" spans="2:8" x14ac:dyDescent="0.25">
      <c r="B14" s="270"/>
      <c r="C14" s="270"/>
      <c r="D14" s="271"/>
      <c r="E14" s="270"/>
      <c r="F14" s="270"/>
    </row>
    <row r="15" spans="2:8" x14ac:dyDescent="0.25">
      <c r="B15" s="270"/>
      <c r="C15" s="271" t="s">
        <v>1608</v>
      </c>
      <c r="D15" s="271" t="s">
        <v>1621</v>
      </c>
      <c r="E15" s="259">
        <v>763038.29</v>
      </c>
      <c r="F15" s="271" t="s">
        <v>1615</v>
      </c>
    </row>
    <row r="16" spans="2:8" x14ac:dyDescent="0.25">
      <c r="B16" s="270"/>
      <c r="C16" s="270"/>
      <c r="D16" s="270"/>
      <c r="E16" s="270"/>
      <c r="F16" s="270"/>
    </row>
    <row r="17" spans="2:8" x14ac:dyDescent="0.25">
      <c r="B17" s="270"/>
      <c r="C17" s="271" t="s">
        <v>1607</v>
      </c>
      <c r="D17" s="271" t="s">
        <v>1622</v>
      </c>
      <c r="E17" s="259">
        <v>24291.9</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Laconia</v>
      </c>
      <c r="C5" s="321"/>
      <c r="D5" s="321"/>
      <c r="E5" s="321"/>
      <c r="F5" s="321"/>
    </row>
    <row r="8" spans="1:9" ht="18" x14ac:dyDescent="0.25">
      <c r="A8" s="239" t="s">
        <v>1548</v>
      </c>
      <c r="F8" s="246" t="s">
        <v>1566</v>
      </c>
    </row>
    <row r="9" spans="1:9" ht="15" x14ac:dyDescent="0.2">
      <c r="A9" s="237" t="s">
        <v>1549</v>
      </c>
      <c r="B9" s="240">
        <f>'DOE25'!G97</f>
        <v>157576.89000000001</v>
      </c>
      <c r="F9" s="237" t="s">
        <v>1562</v>
      </c>
    </row>
    <row r="10" spans="1:9" ht="15" x14ac:dyDescent="0.2">
      <c r="A10" s="237" t="s">
        <v>1550</v>
      </c>
      <c r="B10" s="240">
        <f>'DOE25'!G112-'DOE25'!G97</f>
        <v>0</v>
      </c>
      <c r="F10" s="237" t="s">
        <v>1563</v>
      </c>
    </row>
    <row r="11" spans="1:9" ht="15" x14ac:dyDescent="0.2">
      <c r="A11" s="237" t="s">
        <v>1551</v>
      </c>
      <c r="B11" s="240">
        <f>'DOE25'!G140</f>
        <v>76883</v>
      </c>
      <c r="F11" s="237" t="s">
        <v>1564</v>
      </c>
    </row>
    <row r="12" spans="1:9" ht="15" x14ac:dyDescent="0.2">
      <c r="A12" s="237" t="s">
        <v>1552</v>
      </c>
      <c r="B12" s="240">
        <f>'DOE25'!G170</f>
        <v>723214.5</v>
      </c>
      <c r="F12" s="237" t="s">
        <v>1565</v>
      </c>
    </row>
    <row r="13" spans="1:9" ht="15" x14ac:dyDescent="0.2">
      <c r="A13" s="237" t="s">
        <v>1553</v>
      </c>
      <c r="B13" s="240">
        <f>'DOE25'!G193-'DOE25'!G180</f>
        <v>0</v>
      </c>
      <c r="F13" s="237" t="s">
        <v>1575</v>
      </c>
    </row>
    <row r="14" spans="1:9" ht="18" x14ac:dyDescent="0.25">
      <c r="A14" s="239" t="s">
        <v>732</v>
      </c>
      <c r="B14" s="241">
        <f>SUM(B9:B13)</f>
        <v>957674.39</v>
      </c>
    </row>
    <row r="16" spans="1:9" ht="18" x14ac:dyDescent="0.25">
      <c r="A16" s="239" t="s">
        <v>783</v>
      </c>
      <c r="F16" s="246" t="s">
        <v>1567</v>
      </c>
    </row>
    <row r="17" spans="1:6" ht="15" x14ac:dyDescent="0.2">
      <c r="A17" s="237" t="s">
        <v>1554</v>
      </c>
      <c r="B17" s="240">
        <f>'DOE25'!L363-'DOE25'!L362</f>
        <v>1333443.7</v>
      </c>
      <c r="F17" s="237" t="s">
        <v>1568</v>
      </c>
    </row>
    <row r="18" spans="1:6" ht="15" x14ac:dyDescent="0.2">
      <c r="A18" s="237" t="s">
        <v>1555</v>
      </c>
      <c r="B18" s="250"/>
      <c r="F18" s="246" t="s">
        <v>1592</v>
      </c>
    </row>
    <row r="19" spans="1:6" ht="18" x14ac:dyDescent="0.25">
      <c r="A19" s="239" t="s">
        <v>725</v>
      </c>
      <c r="B19" s="241">
        <f>SUM(B17:B18)</f>
        <v>1333443.7</v>
      </c>
    </row>
    <row r="21" spans="1:6" ht="18.75" thickBot="1" x14ac:dyDescent="0.3">
      <c r="A21" s="239" t="s">
        <v>1556</v>
      </c>
    </row>
    <row r="22" spans="1:6" ht="18.75" thickTop="1" x14ac:dyDescent="0.25">
      <c r="A22" s="239" t="s">
        <v>1557</v>
      </c>
      <c r="B22" s="245">
        <f>B14-B19</f>
        <v>-375769.30999999994</v>
      </c>
      <c r="F22" s="237" t="s">
        <v>1569</v>
      </c>
    </row>
    <row r="26" spans="1:6" ht="18" x14ac:dyDescent="0.25">
      <c r="A26" s="239" t="s">
        <v>186</v>
      </c>
    </row>
    <row r="27" spans="1:6" ht="15" x14ac:dyDescent="0.2">
      <c r="A27" s="237" t="s">
        <v>1558</v>
      </c>
      <c r="B27" s="240">
        <f>'DOE25'!G180</f>
        <v>375769.31</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60443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Laconia</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10494915.49</v>
      </c>
      <c r="C9" s="166">
        <f>'DOE25'!G198+'DOE25'!G216+'DOE25'!G234+'DOE25'!G277+'DOE25'!G296+'DOE25'!G315</f>
        <v>5543717.2399999993</v>
      </c>
    </row>
    <row r="10" spans="1:3" x14ac:dyDescent="0.2">
      <c r="A10" t="s">
        <v>772</v>
      </c>
      <c r="B10" s="176">
        <v>9426222.0600000005</v>
      </c>
      <c r="C10" s="176">
        <v>5010634.0199999996</v>
      </c>
    </row>
    <row r="11" spans="1:3" x14ac:dyDescent="0.2">
      <c r="A11" t="s">
        <v>773</v>
      </c>
      <c r="B11" s="176">
        <v>0</v>
      </c>
      <c r="C11" s="176">
        <v>0</v>
      </c>
    </row>
    <row r="12" spans="1:3" x14ac:dyDescent="0.2">
      <c r="A12" t="s">
        <v>774</v>
      </c>
      <c r="B12" s="176">
        <v>1068693.43</v>
      </c>
      <c r="C12" s="176">
        <v>533083.22</v>
      </c>
    </row>
    <row r="13" spans="1:3" x14ac:dyDescent="0.2">
      <c r="A13" t="str">
        <f>IF(B9=B13,IF(C9=C13,"Check Total OK","Check Total Error"),"Check Total Error")</f>
        <v>Check Total OK</v>
      </c>
      <c r="B13" s="168">
        <f>SUM(B10:B12)</f>
        <v>10494915.49</v>
      </c>
      <c r="C13" s="168">
        <f>SUM(C10:C12)</f>
        <v>5543717.2399999993</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3742077.79</v>
      </c>
      <c r="C18" s="166">
        <f>'DOE25'!G199+'DOE25'!G217+'DOE25'!G235+'DOE25'!G278+'DOE25'!G297+'DOE25'!G316</f>
        <v>2176985.39</v>
      </c>
    </row>
    <row r="19" spans="1:3" x14ac:dyDescent="0.2">
      <c r="A19" t="s">
        <v>772</v>
      </c>
      <c r="B19" s="176">
        <v>1717247.56</v>
      </c>
      <c r="C19" s="176">
        <v>999023.29</v>
      </c>
    </row>
    <row r="20" spans="1:3" x14ac:dyDescent="0.2">
      <c r="A20" t="s">
        <v>773</v>
      </c>
      <c r="B20" s="176">
        <v>1147436.71</v>
      </c>
      <c r="C20" s="176">
        <v>667531.01</v>
      </c>
    </row>
    <row r="21" spans="1:3" x14ac:dyDescent="0.2">
      <c r="A21" t="s">
        <v>774</v>
      </c>
      <c r="B21" s="176">
        <v>877393.52</v>
      </c>
      <c r="C21" s="176">
        <v>510431.09</v>
      </c>
    </row>
    <row r="22" spans="1:3" x14ac:dyDescent="0.2">
      <c r="A22" t="str">
        <f>IF(B18=B22,IF(C18=C22,"Check Total OK","Check Total Error"),"Check Total Error")</f>
        <v>Check Total OK</v>
      </c>
      <c r="B22" s="168">
        <f>SUM(B19:B21)</f>
        <v>3742077.79</v>
      </c>
      <c r="C22" s="168">
        <f>SUM(C19:C21)</f>
        <v>2176985.39</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865850.67</v>
      </c>
      <c r="C27" s="171">
        <f>'DOE25'!G200+'DOE25'!G218+'DOE25'!G236+'DOE25'!G279+'DOE25'!G298+'DOE25'!G317</f>
        <v>433372.23</v>
      </c>
    </row>
    <row r="28" spans="1:3" x14ac:dyDescent="0.2">
      <c r="A28" t="s">
        <v>772</v>
      </c>
      <c r="B28" s="176">
        <v>671666.29</v>
      </c>
      <c r="C28" s="176">
        <v>336179.81</v>
      </c>
    </row>
    <row r="29" spans="1:3" x14ac:dyDescent="0.2">
      <c r="A29" t="s">
        <v>773</v>
      </c>
      <c r="B29" s="176">
        <v>3800</v>
      </c>
      <c r="C29" s="20">
        <v>1901.97</v>
      </c>
    </row>
    <row r="30" spans="1:3" x14ac:dyDescent="0.2">
      <c r="A30" t="s">
        <v>774</v>
      </c>
      <c r="B30" s="176">
        <v>190384.38</v>
      </c>
      <c r="C30" s="176">
        <v>95290.45</v>
      </c>
    </row>
    <row r="31" spans="1:3" x14ac:dyDescent="0.2">
      <c r="A31" t="str">
        <f>IF(B27=B31,IF(C27=C31,"Check Total OK","Check Total Error"),"Check Total Error")</f>
        <v>Check Total OK</v>
      </c>
      <c r="B31" s="168">
        <f>SUM(B28:B30)</f>
        <v>865850.67</v>
      </c>
      <c r="C31" s="168">
        <f>SUM(C28:C30)</f>
        <v>433372.23</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258425.43</v>
      </c>
      <c r="C36" s="172">
        <f>'DOE25'!G201+'DOE25'!G219+'DOE25'!G237+'DOE25'!G280+'DOE25'!G299+'DOE25'!G318</f>
        <v>142388.86000000002</v>
      </c>
    </row>
    <row r="37" spans="1:3" x14ac:dyDescent="0.2">
      <c r="A37" t="s">
        <v>772</v>
      </c>
      <c r="B37" s="176"/>
      <c r="C37" s="176"/>
    </row>
    <row r="38" spans="1:3" x14ac:dyDescent="0.2">
      <c r="A38" t="s">
        <v>773</v>
      </c>
      <c r="B38" s="176"/>
      <c r="C38" s="176"/>
    </row>
    <row r="39" spans="1:3" x14ac:dyDescent="0.2">
      <c r="A39" t="s">
        <v>774</v>
      </c>
      <c r="B39" s="176">
        <v>258425.43</v>
      </c>
      <c r="C39" s="176">
        <v>142388.85999999999</v>
      </c>
    </row>
    <row r="40" spans="1:3" x14ac:dyDescent="0.2">
      <c r="A40" t="str">
        <f>IF(B36=B40,IF(C36=C40,"Check Total OK","Check Total Error"),"Check Total Error")</f>
        <v>Check Total OK</v>
      </c>
      <c r="B40" s="168">
        <f>SUM(B37:B39)</f>
        <v>258425.43</v>
      </c>
      <c r="C40" s="168">
        <f>SUM(C37:C39)</f>
        <v>142388.85999999999</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Laconia</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24907006.630000003</v>
      </c>
      <c r="D5" s="19">
        <f>SUM('DOE25'!L198:L201)+SUM('DOE25'!L216:L219)+SUM('DOE25'!L234:L237)-F5-G5-H5</f>
        <v>24821092.030000001</v>
      </c>
      <c r="E5" s="179"/>
      <c r="F5" s="180"/>
      <c r="G5" s="19">
        <f>SUM('DOE25'!J198:J201)+SUM('DOE25'!J216:J219)+SUM('DOE25'!J234:J237)</f>
        <v>85072.6</v>
      </c>
      <c r="H5" s="19">
        <f>SUM('DOE25'!K198:K201)+SUM('DOE25'!K216:K219)+SUM('DOE25'!K234:K237)</f>
        <v>842</v>
      </c>
      <c r="I5" s="191"/>
    </row>
    <row r="6" spans="1:9" x14ac:dyDescent="0.2">
      <c r="A6" s="31">
        <v>2100</v>
      </c>
      <c r="B6" t="s">
        <v>793</v>
      </c>
      <c r="C6" s="205">
        <f t="shared" si="0"/>
        <v>2044224.2099999995</v>
      </c>
      <c r="D6" s="19">
        <f>'DOE25'!L203+'DOE25'!L221+'DOE25'!L239-F6-G6-H6</f>
        <v>2037170.8299999996</v>
      </c>
      <c r="E6" s="179"/>
      <c r="F6" s="180"/>
      <c r="G6" s="19">
        <f>'DOE25'!J203+'DOE25'!J221+'DOE25'!J239</f>
        <v>7053.3799999999992</v>
      </c>
      <c r="H6" s="19">
        <f>'DOE25'!K203+'DOE25'!K221+'DOE25'!K239</f>
        <v>0</v>
      </c>
      <c r="I6" s="191"/>
    </row>
    <row r="7" spans="1:9" x14ac:dyDescent="0.2">
      <c r="A7" s="31">
        <v>2200</v>
      </c>
      <c r="B7" t="s">
        <v>817</v>
      </c>
      <c r="C7" s="205">
        <f t="shared" si="0"/>
        <v>1557551.92</v>
      </c>
      <c r="D7" s="19">
        <f>'DOE25'!L204+'DOE25'!L222+'DOE25'!L240-F7-G7-H7</f>
        <v>1419408.93</v>
      </c>
      <c r="E7" s="179"/>
      <c r="F7" s="180"/>
      <c r="G7" s="19">
        <f>'DOE25'!J204+'DOE25'!J222+'DOE25'!J240</f>
        <v>138022.49</v>
      </c>
      <c r="H7" s="19">
        <f>'DOE25'!K204+'DOE25'!K222+'DOE25'!K240</f>
        <v>120.5</v>
      </c>
      <c r="I7" s="191"/>
    </row>
    <row r="8" spans="1:9" x14ac:dyDescent="0.2">
      <c r="A8" s="31">
        <v>2300</v>
      </c>
      <c r="B8" t="s">
        <v>794</v>
      </c>
      <c r="C8" s="205">
        <f t="shared" si="0"/>
        <v>1082444.06</v>
      </c>
      <c r="D8" s="179"/>
      <c r="E8" s="19">
        <f>'DOE25'!L205+'DOE25'!L223+'DOE25'!L241-F8-G8-H8-D9-D11</f>
        <v>1046437.4900000001</v>
      </c>
      <c r="F8" s="180"/>
      <c r="G8" s="19">
        <f>'DOE25'!J205+'DOE25'!J223+'DOE25'!J241</f>
        <v>0</v>
      </c>
      <c r="H8" s="19">
        <f>'DOE25'!K205+'DOE25'!K223+'DOE25'!K241</f>
        <v>36006.57</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2487679.58</v>
      </c>
      <c r="D12" s="19">
        <f>'DOE25'!L206+'DOE25'!L224+'DOE25'!L242-F12-G12-H12</f>
        <v>2473029.9500000002</v>
      </c>
      <c r="E12" s="179"/>
      <c r="F12" s="180"/>
      <c r="G12" s="19">
        <f>'DOE25'!J206+'DOE25'!J224+'DOE25'!J242</f>
        <v>0</v>
      </c>
      <c r="H12" s="19">
        <f>'DOE25'!K206+'DOE25'!K224+'DOE25'!K242</f>
        <v>14649.63</v>
      </c>
      <c r="I12" s="191"/>
    </row>
    <row r="13" spans="1:9" x14ac:dyDescent="0.2">
      <c r="A13" s="31">
        <v>2500</v>
      </c>
      <c r="B13" t="s">
        <v>795</v>
      </c>
      <c r="C13" s="205">
        <f t="shared" si="0"/>
        <v>488478.23</v>
      </c>
      <c r="D13" s="179"/>
      <c r="E13" s="19">
        <f>'DOE25'!L207+'DOE25'!L225+'DOE25'!L243-F13-G13-H13</f>
        <v>487308.62</v>
      </c>
      <c r="F13" s="180"/>
      <c r="G13" s="19">
        <f>'DOE25'!J207+'DOE25'!J225+'DOE25'!J243</f>
        <v>1169.6100000000001</v>
      </c>
      <c r="H13" s="19">
        <f>'DOE25'!K207+'DOE25'!K225+'DOE25'!K243</f>
        <v>0</v>
      </c>
      <c r="I13" s="191"/>
    </row>
    <row r="14" spans="1:9" x14ac:dyDescent="0.2">
      <c r="A14" s="31">
        <v>2600</v>
      </c>
      <c r="B14" t="s">
        <v>815</v>
      </c>
      <c r="C14" s="205">
        <f t="shared" si="0"/>
        <v>4174761.79</v>
      </c>
      <c r="D14" s="19">
        <f>'DOE25'!L208+'DOE25'!L226+'DOE25'!L244-F14-G14-H14</f>
        <v>4116400.7800000003</v>
      </c>
      <c r="E14" s="179"/>
      <c r="F14" s="180"/>
      <c r="G14" s="19">
        <f>'DOE25'!J208+'DOE25'!J226+'DOE25'!J244</f>
        <v>58361.01</v>
      </c>
      <c r="H14" s="19">
        <f>'DOE25'!K208+'DOE25'!K226+'DOE25'!K244</f>
        <v>0</v>
      </c>
      <c r="I14" s="191"/>
    </row>
    <row r="15" spans="1:9" x14ac:dyDescent="0.2">
      <c r="A15" s="31">
        <v>2700</v>
      </c>
      <c r="B15" t="s">
        <v>796</v>
      </c>
      <c r="C15" s="205">
        <f t="shared" si="0"/>
        <v>937877.27</v>
      </c>
      <c r="D15" s="19">
        <f>'DOE25'!L209+'DOE25'!L227+'DOE25'!L245-F15-G15-H15</f>
        <v>937877.27</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400384.46</v>
      </c>
      <c r="D17" s="19">
        <f>'DOE25'!L252-F17-G17-H17</f>
        <v>390384.96</v>
      </c>
      <c r="E17" s="179"/>
      <c r="F17" s="180"/>
      <c r="G17" s="19">
        <f>'DOE25'!J252</f>
        <v>6912</v>
      </c>
      <c r="H17" s="19">
        <f>'DOE25'!K252</f>
        <v>3087.5</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4555020.47</v>
      </c>
      <c r="D22" s="179"/>
      <c r="E22" s="179"/>
      <c r="F22" s="179"/>
      <c r="G22" s="19">
        <f>'DOE25'!L256+'DOE25'!L337</f>
        <v>4555020.47</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1918315.4899999998</v>
      </c>
      <c r="D25" s="179"/>
      <c r="E25" s="179"/>
      <c r="F25" s="190"/>
      <c r="G25" s="179"/>
      <c r="H25" s="179"/>
      <c r="I25" s="189">
        <f>'DOE25'!L261+'DOE25'!L262+'DOE25'!L342+'DOE25'!L343</f>
        <v>1918315.4899999998</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639076.53</v>
      </c>
      <c r="D29" s="211">
        <f>'DOE25'!L359+'DOE25'!L360+'DOE25'!L361-'DOE25'!I368-F29-G29-H29-F39</f>
        <v>630920.20000000007</v>
      </c>
      <c r="E29" s="179"/>
      <c r="F29" s="179"/>
      <c r="G29" s="19">
        <f>'DOE25'!J359+'DOE25'!J360+'DOE25'!J361</f>
        <v>8156.33</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6118543.5599999996</v>
      </c>
      <c r="D31" s="19">
        <f>'DOE25'!L291+'DOE25'!L310+'DOE25'!L329+'DOE25'!L334+'DOE25'!L335+'DOE25'!L336-F31-G31-H31</f>
        <v>5492998.7399999993</v>
      </c>
      <c r="E31" s="179"/>
      <c r="F31" s="180"/>
      <c r="G31" s="19">
        <f>'DOE25'!J291+'DOE25'!J310+'DOE25'!J329+'DOE25'!J334+'DOE25'!J335+'DOE25'!J336</f>
        <v>624716.02</v>
      </c>
      <c r="H31" s="19">
        <f>'DOE25'!K291+'DOE25'!K310+'DOE25'!K329+'DOE25'!K334+'DOE25'!K335+'DOE25'!K336</f>
        <v>828.8</v>
      </c>
      <c r="I31" s="191"/>
    </row>
    <row r="32" spans="1:9" ht="12" thickBot="1" x14ac:dyDescent="0.25">
      <c r="C32" s="206"/>
      <c r="G32" s="187"/>
      <c r="H32" s="187"/>
      <c r="I32" s="193"/>
    </row>
    <row r="33" spans="1:9" ht="12" thickTop="1" x14ac:dyDescent="0.2">
      <c r="B33" t="s">
        <v>806</v>
      </c>
      <c r="D33" s="181">
        <f t="shared" ref="D33:I33" si="1">SUM(D5:D31)</f>
        <v>42319283.690000005</v>
      </c>
      <c r="E33" s="181">
        <f t="shared" si="1"/>
        <v>1533746.11</v>
      </c>
      <c r="F33" s="181">
        <f t="shared" si="1"/>
        <v>0</v>
      </c>
      <c r="G33" s="181">
        <f t="shared" si="1"/>
        <v>5484483.9100000001</v>
      </c>
      <c r="H33" s="181">
        <f t="shared" si="1"/>
        <v>55535</v>
      </c>
      <c r="I33" s="181">
        <f t="shared" si="1"/>
        <v>1918315.4899999998</v>
      </c>
    </row>
    <row r="34" spans="1:9" ht="12" thickBot="1" x14ac:dyDescent="0.25"/>
    <row r="35" spans="1:9" ht="12" thickBot="1" x14ac:dyDescent="0.25">
      <c r="B35" s="187" t="s">
        <v>827</v>
      </c>
      <c r="D35" s="188">
        <f>E33</f>
        <v>1533746.11</v>
      </c>
      <c r="E35" s="184"/>
      <c r="F35" s="294" t="s">
        <v>1596</v>
      </c>
      <c r="G35" s="295"/>
      <c r="H35" s="295"/>
      <c r="I35" s="296"/>
    </row>
    <row r="36" spans="1:9" ht="12" thickTop="1" x14ac:dyDescent="0.2">
      <c r="B36" t="s">
        <v>807</v>
      </c>
      <c r="D36" s="19">
        <f>D33</f>
        <v>42319283.690000005</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G1" zoomScaleNormal="100" workbookViewId="0">
      <selection activeCell="L36" sqref="L3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Laconia</v>
      </c>
      <c r="B2">
        <f>'DOE25'!B2</f>
        <v>285</v>
      </c>
      <c r="J2" s="223" t="s">
        <v>1799</v>
      </c>
      <c r="K2" s="308">
        <f>SUM('DOE25'!L198:L201)+SUM('DOE25'!L277:L280)</f>
        <v>12984540.74</v>
      </c>
      <c r="L2" s="308">
        <f>'DOE25'!L203+'DOE25'!L282</f>
        <v>1499568.9599999997</v>
      </c>
      <c r="M2" s="308">
        <f>'DOE25'!L204+'DOE25'!L283</f>
        <v>1167248.48</v>
      </c>
      <c r="N2" s="308">
        <f>'DOE25'!L206+'DOE25'!L285</f>
        <v>928679.84000000008</v>
      </c>
      <c r="O2" s="316">
        <f>'Salaries-Benefits'!B10+'Salaries-Benefits'!B12+'Salaries-Benefits'!B19+'Salaries-Benefits'!B21+'Salaries-Benefits'!B28+'Salaries-Benefits'!B30+'Salaries-Benefits'!B37+'Salaries-Benefits'!B39</f>
        <v>14210032.67</v>
      </c>
      <c r="P2" s="316">
        <f>'Salaries-Benefits'!B11+'Salaries-Benefits'!B20+'Salaries-Benefits'!B29+'Salaries-Benefits'!B38</f>
        <v>1151236.71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19912181.010000002</v>
      </c>
      <c r="G4" s="228">
        <f>'DOE25'!L212+'DOE25'!L291</f>
        <v>19912181.009999998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28987.43</v>
      </c>
      <c r="E5" s="219">
        <v>0</v>
      </c>
      <c r="F5" s="231">
        <f>D5+E5</f>
        <v>28987.43</v>
      </c>
      <c r="G5" s="222"/>
      <c r="H5" s="222"/>
      <c r="J5" s="71" t="s">
        <v>1840</v>
      </c>
      <c r="K5" s="20"/>
      <c r="L5" s="20"/>
      <c r="M5" s="20"/>
      <c r="N5" s="20"/>
      <c r="O5" s="20"/>
      <c r="P5" s="20"/>
      <c r="Q5" s="20"/>
    </row>
    <row r="6" spans="1:22" x14ac:dyDescent="0.2">
      <c r="A6" t="str" cm="1">
        <f t="array" ref="A6">IFERROR(INDEX('School Tables'!$A$4:$G$365,'School Tables'!$J4,3),"")</f>
        <v>Elm Street School</v>
      </c>
      <c r="B6" s="229">
        <f>IFERROR(VLOOKUP(A6,'School Tables'!$C$3:$D$365,2,FALSE),"")</f>
        <v>21290</v>
      </c>
      <c r="C6" s="222" t="str">
        <f>IFERROR(INDEX('School Tables'!$B$3:$B$365,MATCH('School Level Expenditures'!B6,'School Tables'!$D$3:$D$365,0)),"")</f>
        <v>Laconia</v>
      </c>
      <c r="D6" s="219">
        <v>5214225.6100000003</v>
      </c>
      <c r="E6" s="219">
        <v>987020.5</v>
      </c>
      <c r="F6" s="231">
        <f t="shared" ref="F6:F20" si="2">D6+E6</f>
        <v>6201246.1100000003</v>
      </c>
      <c r="G6" s="222"/>
      <c r="H6" s="222"/>
      <c r="J6" t="str">
        <f t="shared" ref="J6:J20" si="3">A6</f>
        <v>Elm Street School</v>
      </c>
      <c r="K6" s="20">
        <v>4025207.62</v>
      </c>
      <c r="L6" s="20">
        <v>464866.38</v>
      </c>
      <c r="M6" s="307">
        <v>361847.03</v>
      </c>
      <c r="N6" s="20">
        <v>287890.75</v>
      </c>
      <c r="O6" s="20">
        <v>2090555.28</v>
      </c>
      <c r="P6" s="20">
        <v>169367.94</v>
      </c>
      <c r="Q6" s="20">
        <v>11493.87</v>
      </c>
    </row>
    <row r="7" spans="1:22" x14ac:dyDescent="0.2">
      <c r="A7" t="str" cm="1">
        <f t="array" ref="A7">IFERROR(INDEX('School Tables'!$A$4:$G$365,'School Tables'!$J5,3),"")</f>
        <v>Pleasant Street School</v>
      </c>
      <c r="B7" s="229">
        <f>IFERROR(VLOOKUP(A7,'School Tables'!$C$3:$D$365,2,FALSE),"")</f>
        <v>21260</v>
      </c>
      <c r="C7" s="222" t="str">
        <f>IFERROR(INDEX('School Tables'!$B$3:$B$365,MATCH('School Level Expenditures'!B7,'School Tables'!$D$3:$D$365,0)),"")</f>
        <v>Laconia</v>
      </c>
      <c r="D7" s="219">
        <v>5331315.6500000004</v>
      </c>
      <c r="E7" s="219">
        <v>1009380.7</v>
      </c>
      <c r="F7" s="231">
        <f t="shared" si="2"/>
        <v>6340696.3500000006</v>
      </c>
      <c r="G7" s="222"/>
      <c r="H7" s="222"/>
      <c r="J7" t="str">
        <f t="shared" si="3"/>
        <v>Pleasant Street School</v>
      </c>
      <c r="K7" s="20">
        <v>4155053.04</v>
      </c>
      <c r="L7" s="20">
        <v>479862.07</v>
      </c>
      <c r="M7" s="307">
        <v>373519.51</v>
      </c>
      <c r="N7" s="20">
        <v>297177.55</v>
      </c>
      <c r="O7" s="20">
        <v>1997291.42</v>
      </c>
      <c r="P7" s="20">
        <v>161812.1</v>
      </c>
      <c r="Q7" s="20">
        <v>16259.16</v>
      </c>
    </row>
    <row r="8" spans="1:22" x14ac:dyDescent="0.2">
      <c r="A8" t="str" cm="1">
        <f t="array" ref="A8">IFERROR(INDEX('School Tables'!$A$4:$G$365,'School Tables'!$J6,3),"")</f>
        <v>Woodland Heights Elementary School</v>
      </c>
      <c r="B8" s="229">
        <f>IFERROR(VLOOKUP(A8,'School Tables'!$C$3:$D$365,2,FALSE),"")</f>
        <v>21285</v>
      </c>
      <c r="C8" s="222" t="str">
        <f>IFERROR(INDEX('School Tables'!$B$3:$B$365,MATCH('School Level Expenditures'!B8,'School Tables'!$D$3:$D$365,0)),"")</f>
        <v>Laconia</v>
      </c>
      <c r="D8" s="219">
        <v>6169047.25</v>
      </c>
      <c r="E8" s="219">
        <v>1172203.8700000001</v>
      </c>
      <c r="F8" s="231">
        <f t="shared" si="2"/>
        <v>7341251.1200000001</v>
      </c>
      <c r="G8" s="222"/>
      <c r="H8" s="222"/>
      <c r="J8" t="str">
        <f t="shared" si="3"/>
        <v>Woodland Heights Elementary School</v>
      </c>
      <c r="K8" s="20">
        <v>4804280.08</v>
      </c>
      <c r="L8" s="20">
        <v>554840.51</v>
      </c>
      <c r="M8" s="307">
        <v>431881.94</v>
      </c>
      <c r="N8" s="20">
        <v>343611.54</v>
      </c>
      <c r="O8" s="20">
        <v>2479373.6</v>
      </c>
      <c r="P8" s="20">
        <v>200921.57</v>
      </c>
      <c r="Q8" s="20">
        <v>16481.13</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16743575.940000001</v>
      </c>
      <c r="E21" s="261">
        <f>SUM(E5:E20)</f>
        <v>3168605.0700000003</v>
      </c>
      <c r="F21" s="216"/>
      <c r="G21" s="216"/>
      <c r="H21" s="216"/>
      <c r="K21" s="262">
        <f t="shared" ref="K21:Q21" si="4">SUM(K5:K20)</f>
        <v>12984540.74</v>
      </c>
      <c r="L21" s="262">
        <f t="shared" si="4"/>
        <v>1499568.96</v>
      </c>
      <c r="M21" s="262">
        <f t="shared" si="4"/>
        <v>1167248.48</v>
      </c>
      <c r="N21" s="262">
        <f t="shared" si="4"/>
        <v>928679.84000000008</v>
      </c>
      <c r="O21" s="262">
        <f t="shared" si="4"/>
        <v>6567220.3000000007</v>
      </c>
      <c r="P21" s="262">
        <f t="shared" si="4"/>
        <v>532101.6100000001</v>
      </c>
      <c r="Q21" s="262">
        <f t="shared" si="4"/>
        <v>44234.16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6333459.9799999995</v>
      </c>
      <c r="L23" s="19">
        <f>'DOE25'!L221+'DOE25'!L301</f>
        <v>455924.14</v>
      </c>
      <c r="M23" s="19">
        <f>'DOE25'!L222+'DOE25'!L302</f>
        <v>519944.84</v>
      </c>
      <c r="N23" s="19">
        <f>'DOE25'!L224+'DOE25'!L304</f>
        <v>500274.38000000006</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9348461.0800000001</v>
      </c>
      <c r="G25" s="228">
        <f>'DOE25'!L230+'DOE25'!L310</f>
        <v>9348461.0800000001</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390656.19</v>
      </c>
      <c r="E26" s="219"/>
      <c r="F26" s="231">
        <f>D26+E26</f>
        <v>390656.19</v>
      </c>
      <c r="G26" s="222"/>
      <c r="H26" s="222"/>
      <c r="J26" s="71" t="s">
        <v>1840</v>
      </c>
      <c r="K26" s="315"/>
      <c r="L26" s="315"/>
      <c r="M26" s="315"/>
      <c r="N26" s="315"/>
      <c r="O26" s="315"/>
      <c r="P26" s="315"/>
      <c r="Q26" s="315"/>
    </row>
    <row r="27" spans="1:17" x14ac:dyDescent="0.2">
      <c r="A27" t="str" cm="1">
        <f t="array" ref="A27">IFERROR(INDEX('School Tables'!$L$4:$R$100,'School Tables'!$U4,3),"")</f>
        <v>Laconia Middle School</v>
      </c>
      <c r="B27" s="229">
        <f>IFERROR(VLOOKUP(A27,'School Tables'!$N$4:$O$100,2,FALSE),"")</f>
        <v>21275</v>
      </c>
      <c r="C27" s="222" t="str">
        <f>IFERROR(INDEX('School Tables'!$M$4:$M$100,MATCH('School Level Expenditures'!A27,'School Tables'!$N$4:$N$100,0)),"")</f>
        <v>Laconia</v>
      </c>
      <c r="D27" s="219">
        <v>8006445.6699999999</v>
      </c>
      <c r="E27" s="219">
        <v>951359.22</v>
      </c>
      <c r="F27" s="231">
        <f t="shared" ref="F27:F33" si="6">D27+E27</f>
        <v>8957804.8900000006</v>
      </c>
      <c r="G27" s="222"/>
      <c r="H27" s="222"/>
      <c r="J27" t="str">
        <f t="shared" ref="J27:J33" si="7">A27</f>
        <v>Laconia Middle School</v>
      </c>
      <c r="K27" s="20">
        <v>6333459.9800000004</v>
      </c>
      <c r="L27" s="20">
        <v>455924.14</v>
      </c>
      <c r="M27" s="307">
        <v>519944.84</v>
      </c>
      <c r="N27" s="20">
        <v>500274.38</v>
      </c>
      <c r="O27" s="20">
        <v>3158126.06</v>
      </c>
      <c r="P27" s="20">
        <v>253845.8</v>
      </c>
      <c r="Q27" s="20">
        <v>4339.1099999999997</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8397101.8599999994</v>
      </c>
      <c r="E34" s="261">
        <f>SUM(E26:E33)</f>
        <v>951359.22</v>
      </c>
      <c r="F34" s="216"/>
      <c r="G34" s="216"/>
      <c r="H34" s="216"/>
      <c r="K34" s="262">
        <f t="shared" ref="K34:Q34" si="8">SUM(K26:K33)</f>
        <v>6333459.9800000004</v>
      </c>
      <c r="L34" s="262">
        <f t="shared" si="8"/>
        <v>455924.14</v>
      </c>
      <c r="M34" s="262">
        <f t="shared" si="8"/>
        <v>519944.84</v>
      </c>
      <c r="N34" s="262">
        <f t="shared" si="8"/>
        <v>500274.38</v>
      </c>
      <c r="O34" s="262">
        <f t="shared" si="8"/>
        <v>3158126.06</v>
      </c>
      <c r="P34" s="262">
        <f t="shared" si="8"/>
        <v>253845.8</v>
      </c>
      <c r="Q34" s="262">
        <f t="shared" si="8"/>
        <v>4339.1099999999997</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9575922.6300000008</v>
      </c>
      <c r="L36" s="19">
        <f>'DOE25'!L239+'DOE25'!L320</f>
        <v>854573.16999999981</v>
      </c>
      <c r="M36" s="19">
        <f>'DOE25'!L240+'DOE25'!L321</f>
        <v>900387.38</v>
      </c>
      <c r="N36" s="19">
        <f>'DOE25'!L242+'DOE25'!L323</f>
        <v>1058725.3600000001</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14433784.550000001</v>
      </c>
      <c r="G38" s="228">
        <f>'DOE25'!L248+'DOE25'!L329</f>
        <v>14433784.550000001</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722906.43</v>
      </c>
      <c r="E39" s="219"/>
      <c r="F39" s="231">
        <f t="shared" ref="F39:F44" si="10">D39+E39</f>
        <v>722906.43</v>
      </c>
      <c r="G39" s="222"/>
      <c r="H39" s="222"/>
      <c r="J39" s="71" t="s">
        <v>1840</v>
      </c>
      <c r="K39" s="315"/>
      <c r="L39" s="315"/>
      <c r="M39" s="315"/>
      <c r="N39" s="315"/>
      <c r="O39" s="315"/>
      <c r="P39" s="315"/>
      <c r="Q39" s="315"/>
    </row>
    <row r="40" spans="1:17" x14ac:dyDescent="0.2">
      <c r="A40" t="str" cm="1">
        <f t="array" ref="A40">IFERROR(INDEX('School Tables'!$W$4:$AC$120,'School Tables'!$AF4,3),"")</f>
        <v>Laconia High School</v>
      </c>
      <c r="B40" s="229">
        <f>IFERROR(VLOOKUP(A40,'School Tables'!$Y$4:$Z$120,2,FALSE),"")</f>
        <v>21255</v>
      </c>
      <c r="C40" s="222" t="str">
        <f>IFERROR(INDEX('School Tables'!$X$4:$X$120,MATCH('School Level Expenditures'!A40,'School Tables'!$Y$4:$Y$120,0)),"")</f>
        <v>Laconia</v>
      </c>
      <c r="D40" s="219">
        <v>11816439.470000001</v>
      </c>
      <c r="E40" s="219">
        <v>1894438.6500000001</v>
      </c>
      <c r="F40" s="231">
        <f t="shared" si="10"/>
        <v>13710878.120000001</v>
      </c>
      <c r="G40" s="222"/>
      <c r="H40" s="222"/>
      <c r="J40" t="str">
        <f>A40</f>
        <v>Laconia High School</v>
      </c>
      <c r="K40" s="20">
        <v>9575922.6300000008</v>
      </c>
      <c r="L40" s="20">
        <v>854573.17</v>
      </c>
      <c r="M40" s="307">
        <v>900387.38</v>
      </c>
      <c r="N40" s="20">
        <v>1058725.3600000001</v>
      </c>
      <c r="O40" s="20">
        <v>4484686.3099999996</v>
      </c>
      <c r="P40" s="20">
        <v>365289.3</v>
      </c>
      <c r="Q40" s="20">
        <v>33745.71</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12539345.9</v>
      </c>
      <c r="E45" s="262">
        <f>SUM(E39:E44)</f>
        <v>1894438.6500000001</v>
      </c>
      <c r="K45" s="262">
        <f t="shared" ref="K45:Q45" si="11">SUM(K39:K44)</f>
        <v>9575922.6300000008</v>
      </c>
      <c r="L45" s="262">
        <f t="shared" si="11"/>
        <v>854573.17</v>
      </c>
      <c r="M45" s="262">
        <f t="shared" si="11"/>
        <v>900387.38</v>
      </c>
      <c r="N45" s="262">
        <f t="shared" si="11"/>
        <v>1058725.3600000001</v>
      </c>
      <c r="O45" s="262">
        <f t="shared" si="11"/>
        <v>4484686.3099999996</v>
      </c>
      <c r="P45" s="262">
        <f t="shared" si="11"/>
        <v>365289.3</v>
      </c>
      <c r="Q45" s="262">
        <f t="shared" si="11"/>
        <v>33745.71</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Laconia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600</v>
      </c>
      <c r="D8" s="73">
        <f>'DOE25'!G9</f>
        <v>1200</v>
      </c>
      <c r="E8" s="73">
        <f>'DOE25'!H9</f>
        <v>0</v>
      </c>
      <c r="F8" s="73">
        <f>'DOE25'!I9</f>
        <v>0</v>
      </c>
      <c r="G8" s="73">
        <f>'DOE25'!J9</f>
        <v>0</v>
      </c>
      <c r="H8" s="13">
        <f>SUM(C8:G8)</f>
        <v>1800</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2986.79</v>
      </c>
      <c r="D10" s="23" t="s">
        <v>288</v>
      </c>
      <c r="E10" s="23" t="s">
        <v>288</v>
      </c>
      <c r="F10" s="23" t="s">
        <v>288</v>
      </c>
      <c r="G10" s="23" t="s">
        <v>288</v>
      </c>
      <c r="H10" s="13">
        <f t="shared" si="0"/>
        <v>2986.79</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427301.29</v>
      </c>
      <c r="D12" s="73">
        <f>'DOE25'!G13</f>
        <v>105862.49</v>
      </c>
      <c r="E12" s="73">
        <f>'DOE25'!H13</f>
        <v>5489098.9299999997</v>
      </c>
      <c r="F12" s="73">
        <f>'DOE25'!I13</f>
        <v>0</v>
      </c>
      <c r="G12" s="73">
        <f>'DOE25'!J13</f>
        <v>0</v>
      </c>
      <c r="H12" s="13">
        <f t="shared" si="0"/>
        <v>6022262.71</v>
      </c>
      <c r="I12" s="90"/>
    </row>
    <row r="13" spans="1:9" x14ac:dyDescent="0.2">
      <c r="A13" s="1" t="s">
        <v>144</v>
      </c>
      <c r="B13" s="6">
        <v>150</v>
      </c>
      <c r="C13" s="73">
        <f>'DOE25'!F14</f>
        <v>0</v>
      </c>
      <c r="D13" s="73">
        <f>'DOE25'!G14</f>
        <v>0</v>
      </c>
      <c r="E13" s="73">
        <f>'DOE25'!H14</f>
        <v>14850.68</v>
      </c>
      <c r="F13" s="73">
        <f>'DOE25'!I14</f>
        <v>0</v>
      </c>
      <c r="G13" s="73">
        <f>'DOE25'!J14</f>
        <v>0</v>
      </c>
      <c r="H13" s="13">
        <f t="shared" si="0"/>
        <v>14850.68</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24058</v>
      </c>
      <c r="E15" s="73">
        <f>'DOE25'!H16</f>
        <v>0</v>
      </c>
      <c r="F15" s="73">
        <f>'DOE25'!I16</f>
        <v>0</v>
      </c>
      <c r="G15" s="23" t="s">
        <v>288</v>
      </c>
      <c r="H15" s="13">
        <f t="shared" si="0"/>
        <v>24058</v>
      </c>
      <c r="I15" s="90"/>
    </row>
    <row r="16" spans="1:9" x14ac:dyDescent="0.2">
      <c r="A16" s="1" t="s">
        <v>147</v>
      </c>
      <c r="B16" s="6">
        <v>180</v>
      </c>
      <c r="C16" s="73">
        <f>'DOE25'!F17</f>
        <v>0</v>
      </c>
      <c r="D16" s="73">
        <f>'DOE25'!G17</f>
        <v>0</v>
      </c>
      <c r="E16" s="73">
        <f>'DOE25'!H17</f>
        <v>10407.9</v>
      </c>
      <c r="F16" s="73">
        <f>'DOE25'!I17</f>
        <v>0</v>
      </c>
      <c r="G16" s="73">
        <f>'DOE25'!J17</f>
        <v>0</v>
      </c>
      <c r="H16" s="13">
        <f t="shared" si="0"/>
        <v>10407.9</v>
      </c>
      <c r="I16" s="90"/>
    </row>
    <row r="17" spans="1:9" ht="12" thickBot="1" x14ac:dyDescent="0.25">
      <c r="A17" s="1" t="s">
        <v>148</v>
      </c>
      <c r="B17" s="6">
        <v>190</v>
      </c>
      <c r="C17" s="73">
        <f>'DOE25'!F18</f>
        <v>10000</v>
      </c>
      <c r="D17" s="73">
        <f>'DOE25'!G18</f>
        <v>0</v>
      </c>
      <c r="E17" s="73">
        <f>'DOE25'!H18</f>
        <v>0</v>
      </c>
      <c r="F17" s="73">
        <f>'DOE25'!I18</f>
        <v>0</v>
      </c>
      <c r="G17" s="73">
        <f>'DOE25'!J18</f>
        <v>0</v>
      </c>
      <c r="H17" s="13">
        <f t="shared" si="0"/>
        <v>10000</v>
      </c>
      <c r="I17" s="90"/>
    </row>
    <row r="18" spans="1:9" ht="12" thickTop="1" x14ac:dyDescent="0.2">
      <c r="A18" s="35" t="s">
        <v>149</v>
      </c>
      <c r="B18" s="36"/>
      <c r="C18" s="38">
        <f>SUM(C8:C17)</f>
        <v>440888.07999999996</v>
      </c>
      <c r="D18" s="38">
        <f>SUM(D8:D17)</f>
        <v>131120.49</v>
      </c>
      <c r="E18" s="38">
        <f>SUM(E8:E17)</f>
        <v>5514357.5099999998</v>
      </c>
      <c r="F18" s="38">
        <f>SUM(F8:F17)</f>
        <v>0</v>
      </c>
      <c r="G18" s="38">
        <f>SUM(G8:G17)</f>
        <v>0</v>
      </c>
      <c r="H18" s="38">
        <f t="shared" si="0"/>
        <v>6086366.0800000001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130765.99</v>
      </c>
      <c r="E21" s="73">
        <f>'DOE25'!H22</f>
        <v>5486666.0599999996</v>
      </c>
      <c r="F21" s="73">
        <f>'DOE25'!I22</f>
        <v>0</v>
      </c>
      <c r="G21" s="73">
        <f>'DOE25'!J22</f>
        <v>0</v>
      </c>
      <c r="H21" s="13">
        <f t="shared" ref="H21:H31" si="1">SUM(C21:G21)</f>
        <v>5617432.0499999998</v>
      </c>
      <c r="I21" s="90"/>
    </row>
    <row r="22" spans="1:9" x14ac:dyDescent="0.2">
      <c r="A22" s="1" t="s">
        <v>151</v>
      </c>
      <c r="B22" s="6">
        <v>410</v>
      </c>
      <c r="C22" s="73">
        <f>'DOE25'!F23</f>
        <v>2157.13</v>
      </c>
      <c r="D22" s="73">
        <f>'DOE25'!G23</f>
        <v>0</v>
      </c>
      <c r="E22" s="73">
        <f>'DOE25'!H23</f>
        <v>0</v>
      </c>
      <c r="F22" s="73">
        <f>'DOE25'!I23</f>
        <v>0</v>
      </c>
      <c r="G22" s="73">
        <f>'DOE25'!J23</f>
        <v>0</v>
      </c>
      <c r="H22" s="13">
        <f t="shared" si="1"/>
        <v>2157.13</v>
      </c>
      <c r="I22" s="90"/>
    </row>
    <row r="23" spans="1:9" x14ac:dyDescent="0.2">
      <c r="A23" s="1" t="s">
        <v>152</v>
      </c>
      <c r="B23" s="6">
        <v>420</v>
      </c>
      <c r="C23" s="73">
        <f>'DOE25'!F24</f>
        <v>0</v>
      </c>
      <c r="D23" s="73">
        <f>'DOE25'!G24</f>
        <v>0</v>
      </c>
      <c r="E23" s="73">
        <f>'DOE25'!H24</f>
        <v>27691.45</v>
      </c>
      <c r="F23" s="73">
        <f>'DOE25'!I24</f>
        <v>0</v>
      </c>
      <c r="G23" s="73">
        <f>'DOE25'!J24</f>
        <v>0</v>
      </c>
      <c r="H23" s="13">
        <f t="shared" si="1"/>
        <v>27691.45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3689.97</v>
      </c>
      <c r="D28" s="73">
        <f>'DOE25'!G29</f>
        <v>0</v>
      </c>
      <c r="E28" s="73">
        <f>'DOE25'!H29</f>
        <v>0</v>
      </c>
      <c r="F28" s="73">
        <f>'DOE25'!I29</f>
        <v>0</v>
      </c>
      <c r="G28" s="23" t="s">
        <v>288</v>
      </c>
      <c r="H28" s="13">
        <f t="shared" si="1"/>
        <v>3689.97</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435040.98</v>
      </c>
      <c r="D30" s="73">
        <f>'DOE25'!G31</f>
        <v>354.5</v>
      </c>
      <c r="E30" s="73">
        <f>'DOE25'!H31</f>
        <v>0</v>
      </c>
      <c r="F30" s="73">
        <f>'DOE25'!I31</f>
        <v>0</v>
      </c>
      <c r="G30" s="73">
        <f>'DOE25'!J31</f>
        <v>0</v>
      </c>
      <c r="H30" s="13">
        <f t="shared" si="1"/>
        <v>435395.48</v>
      </c>
      <c r="I30" s="90"/>
    </row>
    <row r="31" spans="1:9" ht="12" thickTop="1" x14ac:dyDescent="0.2">
      <c r="A31" s="35" t="s">
        <v>160</v>
      </c>
      <c r="B31" s="2"/>
      <c r="C31" s="38">
        <f>SUM(C21:C30)</f>
        <v>440888.07999999996</v>
      </c>
      <c r="D31" s="38">
        <f>SUM(D21:D30)</f>
        <v>131120.49</v>
      </c>
      <c r="E31" s="38">
        <f>SUM(E21:E30)</f>
        <v>5514357.5099999998</v>
      </c>
      <c r="F31" s="38">
        <f>SUM(F21:F30)</f>
        <v>0</v>
      </c>
      <c r="G31" s="38">
        <f>SUM(G21:G30)</f>
        <v>0</v>
      </c>
      <c r="H31" s="38">
        <f t="shared" si="1"/>
        <v>6086366.0800000001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0</v>
      </c>
      <c r="D50" s="38">
        <f>SUM(D34:D49)</f>
        <v>0</v>
      </c>
      <c r="E50" s="38">
        <f>SUM(E34:E49)</f>
        <v>0</v>
      </c>
      <c r="F50" s="38">
        <f>SUM(F34:F49)</f>
        <v>0</v>
      </c>
      <c r="G50" s="38">
        <f>SUM(G34:G49)</f>
        <v>0</v>
      </c>
      <c r="H50" s="38">
        <f t="shared" si="2"/>
        <v>0</v>
      </c>
      <c r="I50" s="90"/>
    </row>
    <row r="51" spans="1:9" ht="12" thickTop="1" x14ac:dyDescent="0.2">
      <c r="A51" s="35" t="s">
        <v>881</v>
      </c>
      <c r="B51" s="2"/>
      <c r="C51" s="38">
        <f>C50+C31</f>
        <v>440888.07999999996</v>
      </c>
      <c r="D51" s="38">
        <f>D50+D31</f>
        <v>131120.49</v>
      </c>
      <c r="E51" s="38">
        <f>E50+E31</f>
        <v>5514357.5099999998</v>
      </c>
      <c r="F51" s="38">
        <f>F50+F31</f>
        <v>0</v>
      </c>
      <c r="G51" s="38">
        <f>G50+G31</f>
        <v>0</v>
      </c>
      <c r="H51" s="38">
        <f t="shared" si="2"/>
        <v>6086366.0800000001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23535837</v>
      </c>
      <c r="D56" s="73">
        <f>'DOE25'!G60</f>
        <v>0</v>
      </c>
      <c r="E56" s="73">
        <f>'DOE25'!H60</f>
        <v>0</v>
      </c>
      <c r="F56" s="73">
        <f>'DOE25'!I60</f>
        <v>0</v>
      </c>
      <c r="G56" s="73">
        <f>'DOE25'!J60</f>
        <v>0</v>
      </c>
      <c r="H56" s="13">
        <f t="shared" ref="H56:H63" si="3">SUM(C56:G56)</f>
        <v>23535837</v>
      </c>
      <c r="I56"/>
    </row>
    <row r="57" spans="1:9" x14ac:dyDescent="0.2">
      <c r="A57" s="1" t="s">
        <v>164</v>
      </c>
      <c r="B57" s="6" t="s">
        <v>165</v>
      </c>
      <c r="C57" s="73">
        <f>'DOE25'!F79</f>
        <v>1186316.31</v>
      </c>
      <c r="D57" s="23" t="s">
        <v>288</v>
      </c>
      <c r="E57" s="73">
        <f>'DOE25'!H79</f>
        <v>0</v>
      </c>
      <c r="F57" s="23" t="s">
        <v>288</v>
      </c>
      <c r="G57" s="23" t="s">
        <v>288</v>
      </c>
      <c r="H57" s="13">
        <f t="shared" si="3"/>
        <v>1186316.31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0</v>
      </c>
      <c r="H59" s="13">
        <f t="shared" si="3"/>
        <v>0</v>
      </c>
      <c r="I59"/>
    </row>
    <row r="60" spans="1:9" x14ac:dyDescent="0.2">
      <c r="A60" s="1" t="s">
        <v>170</v>
      </c>
      <c r="B60" s="22" t="s">
        <v>171</v>
      </c>
      <c r="C60" s="23" t="s">
        <v>288</v>
      </c>
      <c r="D60" s="73">
        <f>'DOE25'!G97</f>
        <v>157576.89000000001</v>
      </c>
      <c r="E60" s="23" t="s">
        <v>288</v>
      </c>
      <c r="F60" s="23" t="s">
        <v>288</v>
      </c>
      <c r="G60" s="23" t="s">
        <v>288</v>
      </c>
      <c r="H60" s="13">
        <f t="shared" si="3"/>
        <v>157576.89000000001</v>
      </c>
      <c r="I60"/>
    </row>
    <row r="61" spans="1:9" ht="12" thickBot="1" x14ac:dyDescent="0.25">
      <c r="A61" s="1" t="s">
        <v>172</v>
      </c>
      <c r="B61" s="22" t="s">
        <v>173</v>
      </c>
      <c r="C61" s="73">
        <f>SUM('DOE25'!F98:F110)</f>
        <v>453728.41000000003</v>
      </c>
      <c r="D61" s="73">
        <f>SUM('DOE25'!G98:G110)</f>
        <v>0</v>
      </c>
      <c r="E61" s="73">
        <f>SUM('DOE25'!H98:H110)</f>
        <v>0</v>
      </c>
      <c r="F61" s="73">
        <f>SUM('DOE25'!I98:I110)</f>
        <v>0</v>
      </c>
      <c r="G61" s="73">
        <f>SUM('DOE25'!J98:J110)</f>
        <v>0</v>
      </c>
      <c r="H61" s="13">
        <f t="shared" si="3"/>
        <v>453728.41000000003</v>
      </c>
      <c r="I61"/>
    </row>
    <row r="62" spans="1:9" ht="12.75" thickTop="1" thickBot="1" x14ac:dyDescent="0.25">
      <c r="A62" s="28" t="s">
        <v>174</v>
      </c>
      <c r="B62" s="6"/>
      <c r="C62" s="93">
        <f>SUM(C57:C61)</f>
        <v>1640044.7200000002</v>
      </c>
      <c r="D62" s="93">
        <f>SUM(D57:D61)</f>
        <v>157576.89000000001</v>
      </c>
      <c r="E62" s="93">
        <f>SUM(E57:E61)</f>
        <v>0</v>
      </c>
      <c r="F62" s="93">
        <f>SUM(F57:F61)</f>
        <v>0</v>
      </c>
      <c r="G62" s="93">
        <f>SUM(G57:G61)</f>
        <v>0</v>
      </c>
      <c r="H62" s="13">
        <f t="shared" si="3"/>
        <v>1797621.6100000003</v>
      </c>
      <c r="I62"/>
    </row>
    <row r="63" spans="1:9" ht="12" thickTop="1" x14ac:dyDescent="0.2">
      <c r="A63" s="28" t="s">
        <v>175</v>
      </c>
      <c r="B63" s="6"/>
      <c r="C63" s="21">
        <f>C56+C62</f>
        <v>25175881.719999999</v>
      </c>
      <c r="D63" s="21">
        <f>D56+D62</f>
        <v>157576.89000000001</v>
      </c>
      <c r="E63" s="21">
        <f>E56+E62</f>
        <v>0</v>
      </c>
      <c r="F63" s="21">
        <f>F56+F62</f>
        <v>0</v>
      </c>
      <c r="G63" s="21">
        <f>G56+G62</f>
        <v>0</v>
      </c>
      <c r="H63" s="13">
        <f t="shared" si="3"/>
        <v>25333458.609999999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9991991.4399999995</v>
      </c>
      <c r="D66" s="23" t="s">
        <v>288</v>
      </c>
      <c r="E66" s="23" t="s">
        <v>288</v>
      </c>
      <c r="F66" s="23" t="s">
        <v>288</v>
      </c>
      <c r="G66" s="23" t="s">
        <v>288</v>
      </c>
      <c r="H66" s="13">
        <f t="shared" ref="H66:H81" si="4">SUM(C66:G66)</f>
        <v>9991991.4399999995</v>
      </c>
      <c r="I66"/>
    </row>
    <row r="67" spans="1:9" x14ac:dyDescent="0.2">
      <c r="A67" s="1" t="s">
        <v>767</v>
      </c>
      <c r="B67" s="6">
        <v>3112</v>
      </c>
      <c r="C67" s="73">
        <f>'DOE25'!F118</f>
        <v>4669057</v>
      </c>
      <c r="D67" s="23"/>
      <c r="E67" s="23"/>
      <c r="F67" s="23"/>
      <c r="G67" s="23"/>
      <c r="H67" s="13">
        <f t="shared" si="4"/>
        <v>4669057</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14661048.439999999</v>
      </c>
      <c r="D70" s="97">
        <f>D69</f>
        <v>0</v>
      </c>
      <c r="E70" s="97">
        <f>E69</f>
        <v>0</v>
      </c>
      <c r="F70" s="97">
        <f>F69</f>
        <v>0</v>
      </c>
      <c r="G70" s="97">
        <f>G69</f>
        <v>0</v>
      </c>
      <c r="H70" s="13">
        <f t="shared" si="4"/>
        <v>14661048.439999999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487005</v>
      </c>
      <c r="D72" s="23" t="s">
        <v>288</v>
      </c>
      <c r="E72" s="23" t="s">
        <v>288</v>
      </c>
      <c r="F72" s="73">
        <f>'DOE25'!I123</f>
        <v>0</v>
      </c>
      <c r="G72" s="23" t="s">
        <v>288</v>
      </c>
      <c r="H72" s="13">
        <f t="shared" si="4"/>
        <v>487005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195792.58</v>
      </c>
      <c r="D75" s="23" t="s">
        <v>288</v>
      </c>
      <c r="E75" s="23" t="s">
        <v>288</v>
      </c>
      <c r="F75" s="23" t="s">
        <v>288</v>
      </c>
      <c r="G75" s="23" t="s">
        <v>288</v>
      </c>
      <c r="H75" s="13">
        <f t="shared" si="4"/>
        <v>195792.58</v>
      </c>
      <c r="I75"/>
    </row>
    <row r="76" spans="1:9" x14ac:dyDescent="0.2">
      <c r="A76" s="1" t="s">
        <v>257</v>
      </c>
      <c r="B76" s="6" t="s">
        <v>179</v>
      </c>
      <c r="C76" s="73">
        <f>SUM('DOE25'!F127:F130)</f>
        <v>669800.80000000005</v>
      </c>
      <c r="D76" s="23" t="s">
        <v>288</v>
      </c>
      <c r="E76" s="73">
        <f>SUM('DOE25'!H127:H130)</f>
        <v>0</v>
      </c>
      <c r="F76" s="73">
        <f>SUM('DOE25'!I127:I130)</f>
        <v>0</v>
      </c>
      <c r="G76" s="23" t="s">
        <v>288</v>
      </c>
      <c r="H76" s="13">
        <f t="shared" si="4"/>
        <v>669800.80000000005</v>
      </c>
      <c r="I76"/>
    </row>
    <row r="77" spans="1:9" ht="12" thickBot="1" x14ac:dyDescent="0.25">
      <c r="A77" s="1" t="s">
        <v>258</v>
      </c>
      <c r="B77" s="6" t="s">
        <v>180</v>
      </c>
      <c r="C77" s="73">
        <f>SUM('DOE25'!F131:F135)</f>
        <v>0</v>
      </c>
      <c r="D77" s="73">
        <f>SUM('DOE25'!G131:G135)</f>
        <v>76883</v>
      </c>
      <c r="E77" s="73">
        <f>SUM('DOE25'!H131:H135)</f>
        <v>0</v>
      </c>
      <c r="F77" s="73">
        <f>SUM('DOE25'!I131:I135)</f>
        <v>0</v>
      </c>
      <c r="G77" s="73">
        <f>SUM('DOE25'!J131:J135)</f>
        <v>0</v>
      </c>
      <c r="H77" s="13">
        <f t="shared" si="4"/>
        <v>76883</v>
      </c>
      <c r="I77"/>
    </row>
    <row r="78" spans="1:9" ht="12.75" thickTop="1" thickBot="1" x14ac:dyDescent="0.25">
      <c r="A78" s="28" t="s">
        <v>259</v>
      </c>
      <c r="B78" s="6"/>
      <c r="C78" s="93">
        <f>SUM(C72:C77)</f>
        <v>1352598.38</v>
      </c>
      <c r="D78" s="93">
        <f>SUM(D72:D77)</f>
        <v>76883</v>
      </c>
      <c r="E78" s="93">
        <f>SUM(E72:E77)</f>
        <v>0</v>
      </c>
      <c r="F78" s="93">
        <f>SUM(F72:F77)</f>
        <v>0</v>
      </c>
      <c r="G78" s="93">
        <f>SUM(G72:G77)</f>
        <v>0</v>
      </c>
      <c r="H78" s="13">
        <f t="shared" si="4"/>
        <v>1429481.38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16013646.82</v>
      </c>
      <c r="D81" s="93">
        <f>SUM(D79:D80)+D78+D70</f>
        <v>76883</v>
      </c>
      <c r="E81" s="93">
        <f>SUM(E79:E80)+E78+E70</f>
        <v>0</v>
      </c>
      <c r="F81" s="93">
        <f>SUM(F79:F80)+F78+F70</f>
        <v>0</v>
      </c>
      <c r="G81" s="93">
        <f>SUM(G79:G80)+G78+G70</f>
        <v>0</v>
      </c>
      <c r="H81" s="93">
        <f t="shared" si="4"/>
        <v>16090529.82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945446.52</v>
      </c>
      <c r="F87" s="73">
        <f>SUM('DOE25'!I149:I152)</f>
        <v>0</v>
      </c>
      <c r="G87" s="23" t="s">
        <v>288</v>
      </c>
      <c r="H87" s="13">
        <f t="shared" si="5"/>
        <v>945446.52</v>
      </c>
    </row>
    <row r="88" spans="1:9" x14ac:dyDescent="0.2">
      <c r="A88" s="216" t="s">
        <v>744</v>
      </c>
      <c r="B88" s="230" t="s">
        <v>184</v>
      </c>
      <c r="C88" s="252">
        <f>SUM('DOE25'!F153:F162)</f>
        <v>26212.35</v>
      </c>
      <c r="D88" s="252">
        <f>SUM('DOE25'!G153:G162)</f>
        <v>723214.5</v>
      </c>
      <c r="E88" s="252">
        <f>SUM('DOE25'!H153:H162)</f>
        <v>9043044.5700000003</v>
      </c>
      <c r="F88" s="252">
        <f>SUM('DOE25'!I153:I162)</f>
        <v>0</v>
      </c>
      <c r="G88" s="23" t="s">
        <v>288</v>
      </c>
      <c r="H88" s="13">
        <f t="shared" si="5"/>
        <v>9792471.4199999999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26212.35</v>
      </c>
      <c r="D91" s="94">
        <f>SUM(D85:D90)</f>
        <v>723214.5</v>
      </c>
      <c r="E91" s="94">
        <f>SUM(E85:E90)</f>
        <v>9988491.0899999999</v>
      </c>
      <c r="F91" s="94">
        <f>SUM(F85:F90)</f>
        <v>0</v>
      </c>
      <c r="G91" s="23" t="s">
        <v>288</v>
      </c>
      <c r="H91" s="13">
        <f t="shared" si="5"/>
        <v>10737917.939999999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375769.31</v>
      </c>
      <c r="E96" s="73">
        <f>'DOE25'!H180</f>
        <v>0</v>
      </c>
      <c r="F96" s="73">
        <f>'DOE25'!I180</f>
        <v>0</v>
      </c>
      <c r="G96" s="73">
        <f>'DOE25'!J180</f>
        <v>100000</v>
      </c>
      <c r="H96" s="13">
        <f t="shared" si="5"/>
        <v>475769.31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375769.31</v>
      </c>
      <c r="E103" s="68">
        <f>SUM(E93:E102)</f>
        <v>0</v>
      </c>
      <c r="F103" s="68">
        <f>SUM(F93:F102)</f>
        <v>0</v>
      </c>
      <c r="G103" s="68">
        <f>SUM(G93:G102)</f>
        <v>100000</v>
      </c>
      <c r="H103" s="68">
        <f t="shared" si="5"/>
        <v>475769.31</v>
      </c>
    </row>
    <row r="104" spans="1:8" ht="12.75" thickTop="1" thickBot="1" x14ac:dyDescent="0.25">
      <c r="A104" s="32" t="s">
        <v>758</v>
      </c>
      <c r="C104" s="68">
        <f>C63+C81+C91+C103</f>
        <v>41215740.890000001</v>
      </c>
      <c r="D104" s="68">
        <f>D63+D81+D91+D103</f>
        <v>1333443.7</v>
      </c>
      <c r="E104" s="68">
        <f>E63+E81+E91+E103</f>
        <v>9988491.0899999999</v>
      </c>
      <c r="F104" s="68">
        <f>F63+F81+F91+F103</f>
        <v>0</v>
      </c>
      <c r="G104" s="68">
        <f>G63+G81+G103</f>
        <v>100000</v>
      </c>
      <c r="H104" s="68">
        <f t="shared" si="5"/>
        <v>52637675.680000007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13551708.030000001</v>
      </c>
      <c r="D109" s="23" t="s">
        <v>288</v>
      </c>
      <c r="E109" s="73">
        <f>('DOE25'!L277)+('DOE25'!L296)+('DOE25'!L315)</f>
        <v>3032609.4699999997</v>
      </c>
      <c r="F109" s="23" t="s">
        <v>288</v>
      </c>
      <c r="G109" s="23" t="s">
        <v>288</v>
      </c>
      <c r="H109" s="13">
        <f t="shared" ref="H109:H115" si="6">SUM(C109:G109)</f>
        <v>16584317.5</v>
      </c>
    </row>
    <row r="110" spans="1:8" x14ac:dyDescent="0.2">
      <c r="A110" t="s">
        <v>198</v>
      </c>
      <c r="B110" s="31" t="s">
        <v>199</v>
      </c>
      <c r="C110" s="73">
        <f>('DOE25'!L199)+('DOE25'!L217)+('DOE25'!L235)</f>
        <v>9441057.8500000015</v>
      </c>
      <c r="D110" s="23" t="s">
        <v>288</v>
      </c>
      <c r="E110" s="73">
        <f>('DOE25'!L278)+('DOE25'!L297)+('DOE25'!L316)</f>
        <v>724328.45</v>
      </c>
      <c r="F110" s="23" t="s">
        <v>288</v>
      </c>
      <c r="G110" s="23" t="s">
        <v>288</v>
      </c>
      <c r="H110" s="13">
        <f t="shared" si="6"/>
        <v>10165386.300000001</v>
      </c>
    </row>
    <row r="111" spans="1:8" x14ac:dyDescent="0.2">
      <c r="A111" t="s">
        <v>200</v>
      </c>
      <c r="B111" s="31" t="s">
        <v>165</v>
      </c>
      <c r="C111" s="73">
        <f>('DOE25'!L200)+('DOE25'!L218)+('DOE25'!L236)</f>
        <v>1381508.6300000001</v>
      </c>
      <c r="D111" s="23" t="s">
        <v>288</v>
      </c>
      <c r="E111" s="73">
        <f>('DOE25'!L279)+('DOE25'!L298)+('DOE25'!L317)</f>
        <v>207201.55</v>
      </c>
      <c r="F111" s="23" t="s">
        <v>288</v>
      </c>
      <c r="G111" s="23" t="s">
        <v>288</v>
      </c>
      <c r="H111" s="13">
        <f t="shared" si="6"/>
        <v>1588710.1800000002</v>
      </c>
    </row>
    <row r="112" spans="1:8" x14ac:dyDescent="0.2">
      <c r="A112" t="s">
        <v>201</v>
      </c>
      <c r="B112" s="31" t="s">
        <v>167</v>
      </c>
      <c r="C112" s="73">
        <f>('DOE25'!L201)+('DOE25'!L219)+('DOE25'!L237)</f>
        <v>532732.12</v>
      </c>
      <c r="D112" s="23" t="s">
        <v>288</v>
      </c>
      <c r="E112" s="73">
        <f>+('DOE25'!L280)+('DOE25'!L299)+('DOE25'!L318)</f>
        <v>22777.25</v>
      </c>
      <c r="F112" s="23" t="s">
        <v>288</v>
      </c>
      <c r="G112" s="23" t="s">
        <v>288</v>
      </c>
      <c r="H112" s="13">
        <f t="shared" si="6"/>
        <v>555509.37</v>
      </c>
    </row>
    <row r="113" spans="1:8" x14ac:dyDescent="0.2">
      <c r="A113" t="s">
        <v>202</v>
      </c>
      <c r="B113" s="31" t="s">
        <v>169</v>
      </c>
      <c r="C113" s="73">
        <f>'DOE25'!L251</f>
        <v>0</v>
      </c>
      <c r="D113" s="23" t="s">
        <v>288</v>
      </c>
      <c r="E113" s="73">
        <f>+'DOE25'!L333</f>
        <v>56175</v>
      </c>
      <c r="F113" s="23" t="s">
        <v>288</v>
      </c>
      <c r="G113" s="23" t="s">
        <v>288</v>
      </c>
      <c r="H113" s="13">
        <f t="shared" si="6"/>
        <v>56175</v>
      </c>
    </row>
    <row r="114" spans="1:8" ht="12" thickBot="1" x14ac:dyDescent="0.25">
      <c r="A114" t="s">
        <v>203</v>
      </c>
      <c r="B114" s="31" t="s">
        <v>204</v>
      </c>
      <c r="C114" s="73">
        <f>SUM('DOE25'!L252:L254)</f>
        <v>400384.46</v>
      </c>
      <c r="D114" s="23" t="s">
        <v>288</v>
      </c>
      <c r="E114" s="73">
        <f>+ SUM('DOE25'!L334:L336)</f>
        <v>104140.61</v>
      </c>
      <c r="F114" s="23" t="s">
        <v>288</v>
      </c>
      <c r="G114" s="23" t="s">
        <v>288</v>
      </c>
      <c r="H114" s="13">
        <f t="shared" si="6"/>
        <v>504525.07</v>
      </c>
    </row>
    <row r="115" spans="1:8" ht="12.75" thickTop="1" thickBot="1" x14ac:dyDescent="0.25">
      <c r="A115" s="32" t="s">
        <v>205</v>
      </c>
      <c r="C115" s="68">
        <f>SUM(C109:C114)</f>
        <v>25307391.090000004</v>
      </c>
      <c r="D115" s="68">
        <f>SUM(D109:D114)</f>
        <v>0</v>
      </c>
      <c r="E115" s="68">
        <f>SUM(E109:E114)</f>
        <v>4147232.3299999996</v>
      </c>
      <c r="F115" s="68">
        <f>SUM(F109:F114)</f>
        <v>0</v>
      </c>
      <c r="G115" s="68">
        <f>SUM(G109:G114)</f>
        <v>0</v>
      </c>
      <c r="H115" s="68">
        <f t="shared" si="6"/>
        <v>29454623.420000002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2044224.2099999995</v>
      </c>
      <c r="D118" s="23" t="s">
        <v>288</v>
      </c>
      <c r="E118" s="73">
        <f>+('DOE25'!L282)+('DOE25'!L301)+('DOE25'!L320)</f>
        <v>765842.06</v>
      </c>
      <c r="F118" s="23" t="s">
        <v>288</v>
      </c>
      <c r="G118" s="23" t="s">
        <v>288</v>
      </c>
      <c r="H118" s="13">
        <f t="shared" ref="H118:H145" si="7">SUM(C118:G118)</f>
        <v>2810066.2699999996</v>
      </c>
    </row>
    <row r="119" spans="1:8" x14ac:dyDescent="0.2">
      <c r="A119" t="s">
        <v>208</v>
      </c>
      <c r="B119" s="31" t="s">
        <v>209</v>
      </c>
      <c r="C119" s="73">
        <f>('DOE25'!L204)+('DOE25'!L222)+('DOE25'!L240)</f>
        <v>1557551.92</v>
      </c>
      <c r="D119" s="23" t="s">
        <v>288</v>
      </c>
      <c r="E119" s="73">
        <f>+('DOE25'!L283)+('DOE25'!L302)+('DOE25'!L321)</f>
        <v>1030028.78</v>
      </c>
      <c r="F119" s="23" t="s">
        <v>288</v>
      </c>
      <c r="G119" s="23" t="s">
        <v>288</v>
      </c>
      <c r="H119" s="13">
        <f t="shared" si="7"/>
        <v>2587580.7000000002</v>
      </c>
    </row>
    <row r="120" spans="1:8" x14ac:dyDescent="0.2">
      <c r="A120" t="s">
        <v>210</v>
      </c>
      <c r="B120" s="31" t="s">
        <v>211</v>
      </c>
      <c r="C120" s="73">
        <f>('DOE25'!L205)+('DOE25'!L223)+('DOE25'!L241)</f>
        <v>1082444.06</v>
      </c>
      <c r="D120" s="23" t="s">
        <v>288</v>
      </c>
      <c r="E120" s="73">
        <f>+('DOE25'!L284)+('DOE25'!L303)+('DOE25'!L322)</f>
        <v>14087.57</v>
      </c>
      <c r="F120" s="23" t="s">
        <v>288</v>
      </c>
      <c r="G120" s="23" t="s">
        <v>288</v>
      </c>
      <c r="H120" s="13">
        <f t="shared" si="7"/>
        <v>1096531.6300000001</v>
      </c>
    </row>
    <row r="121" spans="1:8" x14ac:dyDescent="0.2">
      <c r="A121" t="s">
        <v>212</v>
      </c>
      <c r="B121" s="31" t="s">
        <v>213</v>
      </c>
      <c r="C121" s="73">
        <f>('DOE25'!L206)+('DOE25'!L224)+('DOE25'!L242)</f>
        <v>2487679.58</v>
      </c>
      <c r="D121" s="23" t="s">
        <v>288</v>
      </c>
      <c r="E121" s="73">
        <f>+('DOE25'!L285)+('DOE25'!L304)+('DOE25'!L323)</f>
        <v>0</v>
      </c>
      <c r="F121" s="23" t="s">
        <v>288</v>
      </c>
      <c r="G121" s="23" t="s">
        <v>288</v>
      </c>
      <c r="H121" s="13">
        <f t="shared" si="7"/>
        <v>2487679.58</v>
      </c>
    </row>
    <row r="122" spans="1:8" x14ac:dyDescent="0.2">
      <c r="A122" t="s">
        <v>214</v>
      </c>
      <c r="B122" s="31" t="s">
        <v>215</v>
      </c>
      <c r="C122" s="73">
        <f>('DOE25'!L207)+('DOE25'!L225)+('DOE25'!L243)</f>
        <v>488478.23</v>
      </c>
      <c r="D122" s="23" t="s">
        <v>288</v>
      </c>
      <c r="E122" s="73">
        <f>+('DOE25'!L286)+('DOE25'!L305)+('DOE25'!L324)</f>
        <v>10680</v>
      </c>
      <c r="F122" s="23" t="s">
        <v>288</v>
      </c>
      <c r="G122" s="23" t="s">
        <v>288</v>
      </c>
      <c r="H122" s="13">
        <f t="shared" si="7"/>
        <v>499158.23</v>
      </c>
    </row>
    <row r="123" spans="1:8" x14ac:dyDescent="0.2">
      <c r="A123" t="s">
        <v>216</v>
      </c>
      <c r="B123" s="31" t="s">
        <v>217</v>
      </c>
      <c r="C123" s="73">
        <f>('DOE25'!L208)+('DOE25'!L226)+('DOE25'!L244)</f>
        <v>4174761.79</v>
      </c>
      <c r="D123" s="23" t="s">
        <v>288</v>
      </c>
      <c r="E123" s="73">
        <f>+('DOE25'!L287)+('DOE25'!L306)+('DOE25'!L325)</f>
        <v>41094.32</v>
      </c>
      <c r="F123" s="23" t="s">
        <v>288</v>
      </c>
      <c r="G123" s="23" t="s">
        <v>288</v>
      </c>
      <c r="H123" s="13">
        <f t="shared" si="7"/>
        <v>4215856.1100000003</v>
      </c>
    </row>
    <row r="124" spans="1:8" x14ac:dyDescent="0.2">
      <c r="A124" t="s">
        <v>218</v>
      </c>
      <c r="B124" s="31" t="s">
        <v>219</v>
      </c>
      <c r="C124" s="73">
        <f>('DOE25'!L209)+('DOE25'!L227)+('DOE25'!L245+'DOE25'!L255)</f>
        <v>937877.27</v>
      </c>
      <c r="D124" s="23" t="s">
        <v>288</v>
      </c>
      <c r="E124" s="73">
        <f>+('DOE25'!L288)+('DOE25'!L307)+('DOE25'!L326)</f>
        <v>165753.5</v>
      </c>
      <c r="F124" s="23" t="s">
        <v>288</v>
      </c>
      <c r="G124" s="23" t="s">
        <v>288</v>
      </c>
      <c r="H124" s="13">
        <f t="shared" si="7"/>
        <v>1103630.77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1333443.7</v>
      </c>
      <c r="E127" s="23" t="s">
        <v>288</v>
      </c>
      <c r="F127" s="23" t="s">
        <v>288</v>
      </c>
      <c r="G127" s="23" t="s">
        <v>288</v>
      </c>
      <c r="H127" s="13">
        <f t="shared" si="7"/>
        <v>1333443.7</v>
      </c>
    </row>
    <row r="128" spans="1:8" ht="12.75" thickTop="1" thickBot="1" x14ac:dyDescent="0.25">
      <c r="A128" s="32" t="s">
        <v>226</v>
      </c>
      <c r="C128" s="68">
        <f>SUM(C118:C127)</f>
        <v>12773017.059999999</v>
      </c>
      <c r="D128" s="68">
        <f>SUM(D118:D127)</f>
        <v>1333443.7</v>
      </c>
      <c r="E128" s="68">
        <f>SUM(E118:E127)</f>
        <v>2027486.2300000002</v>
      </c>
      <c r="F128" s="68">
        <f>SUM(F118:F127)</f>
        <v>0</v>
      </c>
      <c r="G128" s="68">
        <f>SUM(G118:G127)</f>
        <v>0</v>
      </c>
      <c r="H128" s="68">
        <f t="shared" si="7"/>
        <v>16133946.989999998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741247.94000000006</v>
      </c>
      <c r="D130" s="23" t="s">
        <v>288</v>
      </c>
      <c r="E130" s="92">
        <f>'DOE25'!L337</f>
        <v>3813772.53</v>
      </c>
      <c r="F130" s="92">
        <f>SUM('DOE25'!L375:'DOE25'!L381)</f>
        <v>0</v>
      </c>
      <c r="G130" s="23" t="s">
        <v>288</v>
      </c>
      <c r="H130" s="13">
        <f t="shared" si="7"/>
        <v>4555020.47</v>
      </c>
    </row>
    <row r="131" spans="1:8" x14ac:dyDescent="0.2">
      <c r="A131" t="s">
        <v>229</v>
      </c>
      <c r="B131" s="31">
        <v>5110</v>
      </c>
      <c r="C131" s="73">
        <f>'DOE25'!L261</f>
        <v>1122844.3999999999</v>
      </c>
      <c r="D131" s="23" t="s">
        <v>288</v>
      </c>
      <c r="E131" s="92">
        <f>'DOE25'!L342</f>
        <v>0</v>
      </c>
      <c r="F131" s="23" t="s">
        <v>288</v>
      </c>
      <c r="G131" s="23" t="s">
        <v>288</v>
      </c>
      <c r="H131" s="13">
        <f t="shared" si="7"/>
        <v>1122844.3999999999</v>
      </c>
    </row>
    <row r="132" spans="1:8" x14ac:dyDescent="0.2">
      <c r="A132" t="s">
        <v>230</v>
      </c>
      <c r="B132" s="31">
        <v>5120</v>
      </c>
      <c r="C132" s="73">
        <f>'DOE25'!L262</f>
        <v>795471.09</v>
      </c>
      <c r="D132" s="23" t="s">
        <v>288</v>
      </c>
      <c r="E132" s="92">
        <f>'DOE25'!L343</f>
        <v>0</v>
      </c>
      <c r="F132" s="23" t="s">
        <v>288</v>
      </c>
      <c r="G132" s="23" t="s">
        <v>288</v>
      </c>
      <c r="H132" s="13">
        <f t="shared" si="7"/>
        <v>795471.09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375769.31</v>
      </c>
      <c r="D135" s="23" t="s">
        <v>288</v>
      </c>
      <c r="E135" s="92">
        <f>'DOE25'!L346</f>
        <v>0</v>
      </c>
      <c r="F135" s="23" t="s">
        <v>288</v>
      </c>
      <c r="G135" s="23" t="s">
        <v>288</v>
      </c>
      <c r="H135" s="13">
        <f t="shared" si="7"/>
        <v>375769.31</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100000</v>
      </c>
      <c r="D139" s="23" t="s">
        <v>288</v>
      </c>
      <c r="E139" s="23" t="s">
        <v>288</v>
      </c>
      <c r="F139" s="23" t="s">
        <v>288</v>
      </c>
      <c r="G139" s="23" t="s">
        <v>288</v>
      </c>
      <c r="H139" s="13">
        <f t="shared" si="7"/>
        <v>100000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0</v>
      </c>
      <c r="D141" s="23" t="s">
        <v>288</v>
      </c>
      <c r="E141" s="23" t="s">
        <v>288</v>
      </c>
      <c r="F141" s="23" t="s">
        <v>288</v>
      </c>
      <c r="G141" s="23" t="s">
        <v>288</v>
      </c>
      <c r="H141" s="13">
        <f t="shared" si="7"/>
        <v>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3135332.7399999998</v>
      </c>
      <c r="D144" s="98">
        <f>SUM(D130:D143)</f>
        <v>0</v>
      </c>
      <c r="E144" s="98">
        <f>SUM(E130:E143)</f>
        <v>3813772.53</v>
      </c>
      <c r="F144" s="98">
        <f>SUM(F130:F143)</f>
        <v>0</v>
      </c>
      <c r="G144" s="98">
        <f>SUM(G130:G143)</f>
        <v>0</v>
      </c>
      <c r="H144" s="98">
        <f t="shared" si="7"/>
        <v>6949105.2699999996</v>
      </c>
    </row>
    <row r="145" spans="1:9" ht="12.75" thickTop="1" thickBot="1" x14ac:dyDescent="0.25">
      <c r="A145" s="32" t="s">
        <v>244</v>
      </c>
      <c r="C145" s="68">
        <f>(C115+C128+C144)</f>
        <v>41215740.890000008</v>
      </c>
      <c r="D145" s="68">
        <f>(D115+D128+D144)</f>
        <v>1333443.7</v>
      </c>
      <c r="E145" s="68">
        <f>(E115+E128+E144)</f>
        <v>9988491.0899999999</v>
      </c>
      <c r="F145" s="68">
        <f>(F115+F128+F144)</f>
        <v>0</v>
      </c>
      <c r="G145" s="68">
        <f>(G115+G128+G144)</f>
        <v>0</v>
      </c>
      <c r="H145" s="68">
        <f t="shared" si="7"/>
        <v>52537675.680000007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Laconia</v>
      </c>
    </row>
    <row r="3" spans="1:4" x14ac:dyDescent="0.2">
      <c r="B3" s="136" t="s">
        <v>1792</v>
      </c>
    </row>
    <row r="4" spans="1:4" x14ac:dyDescent="0.2">
      <c r="B4" t="s">
        <v>61</v>
      </c>
      <c r="C4" s="128">
        <f>IF('DOE25'!F666+'DOE25'!F671=0,0,ROUND('DOE25'!F673,0))</f>
        <v>24610</v>
      </c>
    </row>
    <row r="5" spans="1:4" x14ac:dyDescent="0.2">
      <c r="B5" t="s">
        <v>700</v>
      </c>
      <c r="C5" s="128">
        <f>IF('DOE25'!G666+'DOE25'!G671=0,0,ROUND('DOE25'!G673,0))</f>
        <v>22089</v>
      </c>
    </row>
    <row r="6" spans="1:4" x14ac:dyDescent="0.2">
      <c r="B6" t="s">
        <v>62</v>
      </c>
      <c r="C6" s="128">
        <f>IF('DOE25'!H666+'DOE25'!H671=0,0,ROUND('DOE25'!H673,0))</f>
        <v>21018</v>
      </c>
    </row>
    <row r="7" spans="1:4" x14ac:dyDescent="0.2">
      <c r="B7" t="s">
        <v>701</v>
      </c>
      <c r="C7" s="128">
        <f>IF('DOE25'!I666+'DOE25'!I671=0,0,ROUND('DOE25'!I673,0))</f>
        <v>22815</v>
      </c>
    </row>
    <row r="9" spans="1:4" x14ac:dyDescent="0.2">
      <c r="A9" s="135" t="s">
        <v>94</v>
      </c>
      <c r="B9" s="136" t="s">
        <v>1793</v>
      </c>
      <c r="C9" s="130" t="s">
        <v>720</v>
      </c>
      <c r="D9" s="130" t="s">
        <v>721</v>
      </c>
    </row>
    <row r="10" spans="1:4" x14ac:dyDescent="0.2">
      <c r="A10">
        <v>1100</v>
      </c>
      <c r="B10" t="s">
        <v>702</v>
      </c>
      <c r="C10" s="128">
        <f>ROUND('DOE25'!L198+'DOE25'!L216+'DOE25'!L234+'DOE25'!L277+'DOE25'!L296+'DOE25'!L315,0)</f>
        <v>16584318</v>
      </c>
      <c r="D10" s="131">
        <f>ROUND((C10/$C$28)*100,1)</f>
        <v>35.9</v>
      </c>
    </row>
    <row r="11" spans="1:4" x14ac:dyDescent="0.2">
      <c r="A11">
        <v>1200</v>
      </c>
      <c r="B11" t="s">
        <v>703</v>
      </c>
      <c r="C11" s="128">
        <f>ROUND('DOE25'!L199+'DOE25'!L217+'DOE25'!L235+'DOE25'!L278+'DOE25'!L297+'DOE25'!L316,0)</f>
        <v>10165386</v>
      </c>
      <c r="D11" s="131">
        <f>ROUND((C11/$C$28)*100,1)</f>
        <v>22</v>
      </c>
    </row>
    <row r="12" spans="1:4" x14ac:dyDescent="0.2">
      <c r="A12">
        <v>1300</v>
      </c>
      <c r="B12" t="s">
        <v>704</v>
      </c>
      <c r="C12" s="128">
        <f>ROUND('DOE25'!L200+'DOE25'!L218+'DOE25'!L236+'DOE25'!L279+'DOE25'!L298+'DOE25'!L317,0)</f>
        <v>1588710</v>
      </c>
      <c r="D12" s="131">
        <f>ROUND((C12/$C$28)*100,1)</f>
        <v>3.4</v>
      </c>
    </row>
    <row r="13" spans="1:4" x14ac:dyDescent="0.2">
      <c r="A13">
        <v>1400</v>
      </c>
      <c r="B13" t="s">
        <v>705</v>
      </c>
      <c r="C13" s="128">
        <f>ROUND('DOE25'!L201+'DOE25'!L219+'DOE25'!L237+'DOE25'!L280+'DOE25'!L299+'DOE25'!L318,0)</f>
        <v>555509</v>
      </c>
      <c r="D13" s="131">
        <f>ROUND((C13/$C$28)*100,1)</f>
        <v>1.2</v>
      </c>
    </row>
    <row r="14" spans="1:4" x14ac:dyDescent="0.2">
      <c r="D14" s="131"/>
    </row>
    <row r="15" spans="1:4" x14ac:dyDescent="0.2">
      <c r="A15">
        <v>2100</v>
      </c>
      <c r="B15" t="s">
        <v>706</v>
      </c>
      <c r="C15" s="128">
        <f>ROUND('DOE25'!L203+'DOE25'!L221+'DOE25'!L239+'DOE25'!L282+'DOE25'!L301+'DOE25'!L320,0)</f>
        <v>2810066</v>
      </c>
      <c r="D15" s="131">
        <f t="shared" ref="D15:D27" si="0">ROUND((C15/$C$28)*100,1)</f>
        <v>6.1</v>
      </c>
    </row>
    <row r="16" spans="1:4" x14ac:dyDescent="0.2">
      <c r="A16">
        <v>2200</v>
      </c>
      <c r="B16" t="s">
        <v>707</v>
      </c>
      <c r="C16" s="128">
        <f>ROUND('DOE25'!L204+'DOE25'!L222+'DOE25'!L240+'DOE25'!L283+'DOE25'!L302+'DOE25'!L321,0)</f>
        <v>2587581</v>
      </c>
      <c r="D16" s="131">
        <f t="shared" si="0"/>
        <v>5.6</v>
      </c>
    </row>
    <row r="17" spans="1:4" x14ac:dyDescent="0.2">
      <c r="A17" s="132" t="s">
        <v>723</v>
      </c>
      <c r="B17" t="s">
        <v>738</v>
      </c>
      <c r="C17" s="128">
        <f>ROUND('DOE25'!L205+'DOE25'!L210+'DOE25'!L223+'DOE25'!L228+'DOE25'!L241+'DOE25'!L246+'DOE25'!L284+'DOE25'!L289+'DOE25'!L303+'DOE25'!L308+'DOE25'!L322+'DOE25'!L327,0)</f>
        <v>1096532</v>
      </c>
      <c r="D17" s="131">
        <f t="shared" si="0"/>
        <v>2.4</v>
      </c>
    </row>
    <row r="18" spans="1:4" x14ac:dyDescent="0.2">
      <c r="A18">
        <v>2400</v>
      </c>
      <c r="B18" t="s">
        <v>711</v>
      </c>
      <c r="C18" s="128">
        <f>ROUND('DOE25'!L206+'DOE25'!L224+'DOE25'!L242+'DOE25'!L285+'DOE25'!L304+'DOE25'!L323,0)</f>
        <v>2487680</v>
      </c>
      <c r="D18" s="131">
        <f t="shared" si="0"/>
        <v>5.4</v>
      </c>
    </row>
    <row r="19" spans="1:4" x14ac:dyDescent="0.2">
      <c r="A19">
        <v>2500</v>
      </c>
      <c r="B19" t="s">
        <v>708</v>
      </c>
      <c r="C19" s="128">
        <f>ROUND('DOE25'!L207+'DOE25'!L225+'DOE25'!L243+'DOE25'!L286+'DOE25'!L305+'DOE25'!L324,0)</f>
        <v>499158</v>
      </c>
      <c r="D19" s="131">
        <f t="shared" si="0"/>
        <v>1.1000000000000001</v>
      </c>
    </row>
    <row r="20" spans="1:4" x14ac:dyDescent="0.2">
      <c r="A20">
        <v>2600</v>
      </c>
      <c r="B20" t="s">
        <v>709</v>
      </c>
      <c r="C20" s="128">
        <f>ROUND('DOE25'!L208+'DOE25'!L226+'DOE25'!L244+'DOE25'!L287+'DOE25'!L306+'DOE25'!L325,0)</f>
        <v>4215856</v>
      </c>
      <c r="D20" s="131">
        <f t="shared" si="0"/>
        <v>9.1</v>
      </c>
    </row>
    <row r="21" spans="1:4" x14ac:dyDescent="0.2">
      <c r="A21">
        <v>2700</v>
      </c>
      <c r="B21" t="s">
        <v>710</v>
      </c>
      <c r="C21" s="128">
        <f>ROUND('DOE25'!L209+'DOE25'!L227+'DOE25'!L245+'DOE25'!L288+'DOE25'!L307+'DOE25'!L326,0)</f>
        <v>1103631</v>
      </c>
      <c r="D21" s="131">
        <f t="shared" si="0"/>
        <v>2.4</v>
      </c>
    </row>
    <row r="22" spans="1:4" x14ac:dyDescent="0.2">
      <c r="A22">
        <v>2900</v>
      </c>
      <c r="B22" t="s">
        <v>712</v>
      </c>
      <c r="C22" s="128">
        <v>0</v>
      </c>
      <c r="D22" s="131">
        <f t="shared" si="0"/>
        <v>0</v>
      </c>
    </row>
    <row r="23" spans="1:4" x14ac:dyDescent="0.2">
      <c r="A23">
        <v>1500</v>
      </c>
      <c r="B23" t="s">
        <v>714</v>
      </c>
      <c r="C23" s="128">
        <f>ROUND('DOE25'!L251+'DOE25'!L333,0)</f>
        <v>56175</v>
      </c>
      <c r="D23" s="131">
        <f t="shared" si="0"/>
        <v>0.1</v>
      </c>
    </row>
    <row r="24" spans="1:4" x14ac:dyDescent="0.2">
      <c r="A24" s="132" t="s">
        <v>722</v>
      </c>
      <c r="B24" t="s">
        <v>715</v>
      </c>
      <c r="C24" s="128">
        <f>ROUND('DOE25'!L252+'DOE25'!L253+'DOE25'!L254+'DOE25'!L255+'DOE25'!L334+'DOE25'!L335+'DOE25'!L336,0)</f>
        <v>504525</v>
      </c>
      <c r="D24" s="131">
        <f t="shared" si="0"/>
        <v>1.1000000000000001</v>
      </c>
    </row>
    <row r="25" spans="1:4" x14ac:dyDescent="0.2">
      <c r="A25">
        <v>5120</v>
      </c>
      <c r="B25" t="s">
        <v>716</v>
      </c>
      <c r="C25" s="128">
        <f>ROUND('DOE25'!L262+'DOE25'!L343,0)</f>
        <v>795471</v>
      </c>
      <c r="D25" s="131">
        <f t="shared" si="0"/>
        <v>1.7</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1175867.1099999999</v>
      </c>
      <c r="D27" s="131">
        <f t="shared" si="0"/>
        <v>2.5</v>
      </c>
    </row>
    <row r="28" spans="1:4" x14ac:dyDescent="0.2">
      <c r="B28" s="135" t="s">
        <v>719</v>
      </c>
      <c r="C28" s="129">
        <f>SUM(C10:C27)</f>
        <v>46226465.109999999</v>
      </c>
      <c r="D28" s="133">
        <f>ROUND(SUM(D10:D27),0)</f>
        <v>100</v>
      </c>
    </row>
    <row r="29" spans="1:4" x14ac:dyDescent="0.2">
      <c r="A29">
        <v>4000</v>
      </c>
      <c r="B29" t="s">
        <v>724</v>
      </c>
      <c r="C29" s="128">
        <f>ROUND('DOE25'!L256+'DOE25'!L337+'DOE25'!L375+'DOE25'!L376+'DOE25'!L377+'DOE25'!L378+'DOE25'!L379+'DOE25'!L380+'DOE25'!L381,0)</f>
        <v>4555020</v>
      </c>
    </row>
    <row r="30" spans="1:4" x14ac:dyDescent="0.2">
      <c r="B30" s="135" t="s">
        <v>725</v>
      </c>
      <c r="C30" s="129">
        <f>SUM(C28:C29)</f>
        <v>50781485.109999999</v>
      </c>
    </row>
    <row r="31" spans="1:4" x14ac:dyDescent="0.2">
      <c r="B31" s="32"/>
      <c r="C31" s="129"/>
    </row>
    <row r="32" spans="1:4" x14ac:dyDescent="0.2">
      <c r="A32">
        <v>5100</v>
      </c>
      <c r="B32" s="32" t="s">
        <v>726</v>
      </c>
      <c r="C32" s="129">
        <f>ROUND('DOE25'!L261+'DOE25'!L342,0)</f>
        <v>1122844</v>
      </c>
    </row>
    <row r="34" spans="1:4" x14ac:dyDescent="0.2">
      <c r="A34" s="135" t="s">
        <v>94</v>
      </c>
      <c r="B34" s="136" t="s">
        <v>1794</v>
      </c>
      <c r="C34" s="130" t="s">
        <v>720</v>
      </c>
      <c r="D34" s="130" t="s">
        <v>721</v>
      </c>
    </row>
    <row r="35" spans="1:4" x14ac:dyDescent="0.2">
      <c r="A35">
        <v>1100</v>
      </c>
      <c r="B35" s="71" t="s">
        <v>727</v>
      </c>
      <c r="C35" s="128">
        <f>ROUND('DOE25'!F60+'DOE25'!G60+'DOE25'!H60+'DOE25'!I60+'DOE25'!J60,0)</f>
        <v>23535837</v>
      </c>
      <c r="D35" s="131">
        <f t="shared" ref="D35:D40" si="1">ROUND((C35/$C$41)*100,1)</f>
        <v>45.3</v>
      </c>
    </row>
    <row r="36" spans="1:4" x14ac:dyDescent="0.2">
      <c r="B36" s="71" t="s">
        <v>739</v>
      </c>
      <c r="C36" s="128">
        <f>SUM('DOE25'!F112:J112)-SUM('DOE25'!G97:G110)+('DOE25'!F175+'DOE25'!F176+'DOE25'!I175+'DOE25'!I176)-C35</f>
        <v>1640044.7199999988</v>
      </c>
      <c r="D36" s="131">
        <f t="shared" si="1"/>
        <v>3.2</v>
      </c>
    </row>
    <row r="37" spans="1:4" x14ac:dyDescent="0.2">
      <c r="A37" s="132" t="s">
        <v>831</v>
      </c>
      <c r="B37" s="71" t="s">
        <v>728</v>
      </c>
      <c r="C37" s="128">
        <f>ROUND('DOE25'!F117+'DOE25'!F118,0)</f>
        <v>14661048</v>
      </c>
      <c r="D37" s="131">
        <f t="shared" si="1"/>
        <v>28.2</v>
      </c>
    </row>
    <row r="38" spans="1:4" x14ac:dyDescent="0.2">
      <c r="A38" s="132" t="s">
        <v>734</v>
      </c>
      <c r="B38" s="71" t="s">
        <v>729</v>
      </c>
      <c r="C38" s="128">
        <f>ROUND(SUM('DOE25'!F140:J140)-SUM('DOE25'!F117:F119),0)</f>
        <v>1429481</v>
      </c>
      <c r="D38" s="131">
        <f t="shared" si="1"/>
        <v>2.7</v>
      </c>
    </row>
    <row r="39" spans="1:4" x14ac:dyDescent="0.2">
      <c r="A39">
        <v>4000</v>
      </c>
      <c r="B39" s="71" t="s">
        <v>730</v>
      </c>
      <c r="C39" s="128">
        <f>ROUND('DOE25'!F170+'DOE25'!G170+'DOE25'!H170+'DOE25'!I170,0)</f>
        <v>10737918</v>
      </c>
      <c r="D39" s="131">
        <f t="shared" si="1"/>
        <v>20.6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52004328.719999999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Laconia</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79</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38</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43</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251</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329</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f>IF('School Level Expenditures'!$B$2='School Tables'!L41,'School Tables'!S41,"")</f>
        <v>38</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f>IF('School Level Expenditures'!$B$2='School Tables'!W46,'School Tables'!AD46,"")</f>
        <v>43</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f>IF('School Level Expenditures'!$B$2=A82,'School Tables'!H82,"")</f>
        <v>79</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f>IF('School Level Expenditures'!$B$2=A254,'School Tables'!H254,"")</f>
        <v>251</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f>IF('School Level Expenditures'!$B$2=A332,'School Tables'!H332,"")</f>
        <v>329</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2024-12-20T19:00:38Z</dcterms:modified>
</cp:coreProperties>
</file>