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36578EE5-F166-4283-B091-FA115887B564}" xr6:coauthVersionLast="47" xr6:coauthVersionMax="47" xr10:uidLastSave="{00000000-0000-0000-0000-000000000000}"/>
  <bookViews>
    <workbookView showHorizontalScroll="0" showVerticalScroll="0"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 i="1" l="1"/>
  <c r="G443" i="1"/>
  <c r="G449" i="1"/>
  <c r="J473" i="1"/>
  <c r="F182" i="1"/>
  <c r="F14" i="1" l="1"/>
  <c r="D6" i="14"/>
  <c r="F110" i="1" l="1"/>
  <c r="J469" i="1" l="1"/>
  <c r="H198" i="1"/>
  <c r="K6" i="14"/>
  <c r="K284" i="1"/>
  <c r="K5" i="14"/>
  <c r="G612" i="1"/>
  <c r="F612" i="1"/>
  <c r="H397" i="1"/>
  <c r="H203" i="1" l="1"/>
  <c r="C19" i="12"/>
  <c r="C20" i="12"/>
  <c r="C11" i="12"/>
  <c r="B19" i="12"/>
  <c r="B20" i="12"/>
  <c r="B11" i="12"/>
  <c r="B10" i="12"/>
  <c r="E13" i="17"/>
  <c r="E9" i="17"/>
  <c r="H155" i="1"/>
  <c r="H161"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F77" i="15" s="1"/>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AF59" i="15" s="1"/>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9" i="15" l="1"/>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F111" i="1"/>
  <c r="G111" i="1"/>
  <c r="H79" i="1"/>
  <c r="H94" i="1"/>
  <c r="E58" i="2" s="1"/>
  <c r="H111" i="1"/>
  <c r="I111" i="1"/>
  <c r="I112" i="1" s="1"/>
  <c r="J111" i="1"/>
  <c r="F121" i="1"/>
  <c r="F136" i="1"/>
  <c r="G121" i="1"/>
  <c r="G136" i="1"/>
  <c r="H121" i="1"/>
  <c r="H136" i="1"/>
  <c r="I121" i="1"/>
  <c r="I136" i="1"/>
  <c r="J121" i="1"/>
  <c r="J136" i="1"/>
  <c r="F147" i="1"/>
  <c r="F170" i="1" s="1"/>
  <c r="G147" i="1"/>
  <c r="D85" i="2" s="1"/>
  <c r="H147" i="1"/>
  <c r="H170" i="1" s="1"/>
  <c r="I147" i="1"/>
  <c r="F85" i="2"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7" i="2"/>
  <c r="E87" i="2"/>
  <c r="F87" i="2"/>
  <c r="C89" i="2"/>
  <c r="D89" i="2"/>
  <c r="E89" i="2"/>
  <c r="F89" i="2"/>
  <c r="C90" i="2"/>
  <c r="H90" i="2" s="1"/>
  <c r="C93" i="2"/>
  <c r="H93" i="2" s="1"/>
  <c r="F93" i="2"/>
  <c r="C94" i="2"/>
  <c r="F94" i="2"/>
  <c r="D96" i="2"/>
  <c r="E96" i="2"/>
  <c r="F96" i="2"/>
  <c r="G96" i="2"/>
  <c r="C97" i="2"/>
  <c r="H97" i="2" s="1"/>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C125" i="2"/>
  <c r="E125" i="2"/>
  <c r="F128" i="2"/>
  <c r="G128" i="2"/>
  <c r="C130"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2" i="1"/>
  <c r="J652" i="1" s="1"/>
  <c r="H653" i="1"/>
  <c r="G654" i="1"/>
  <c r="H654" i="1"/>
  <c r="H655" i="1"/>
  <c r="H656" i="1"/>
  <c r="G663" i="1" l="1"/>
  <c r="C112" i="2"/>
  <c r="H94" i="2"/>
  <c r="H26" i="2"/>
  <c r="H22" i="2"/>
  <c r="H38" i="2"/>
  <c r="H43" i="2"/>
  <c r="I170" i="1"/>
  <c r="G646" i="1"/>
  <c r="H135" i="2"/>
  <c r="H29" i="2"/>
  <c r="H96" i="2"/>
  <c r="C85" i="2"/>
  <c r="H30" i="2"/>
  <c r="E124" i="2"/>
  <c r="H102" i="2"/>
  <c r="H100" i="2"/>
  <c r="H98" i="2"/>
  <c r="H73" i="2"/>
  <c r="H23" i="2"/>
  <c r="H15" i="2"/>
  <c r="H143" i="2"/>
  <c r="C13" i="10"/>
  <c r="D29" i="13"/>
  <c r="C29" i="13" s="1"/>
  <c r="H125" i="2"/>
  <c r="H25" i="2"/>
  <c r="H17" i="2"/>
  <c r="I409" i="1"/>
  <c r="H80" i="2"/>
  <c r="H77" i="2"/>
  <c r="E111" i="2"/>
  <c r="E120" i="2"/>
  <c r="H69" i="2"/>
  <c r="H28" i="2"/>
  <c r="H89" i="2"/>
  <c r="H72" i="2"/>
  <c r="H34" i="2"/>
  <c r="J140" i="1"/>
  <c r="D18" i="13"/>
  <c r="C18" i="13" s="1"/>
  <c r="D15" i="13"/>
  <c r="C15" i="13" s="1"/>
  <c r="H44" i="2"/>
  <c r="H35" i="2"/>
  <c r="H11" i="2"/>
  <c r="H47" i="2"/>
  <c r="H137" i="2"/>
  <c r="H27" i="2"/>
  <c r="H24" i="2"/>
  <c r="H8" i="2"/>
  <c r="H132" i="2"/>
  <c r="G662" i="1"/>
  <c r="H36" i="2"/>
  <c r="H48" i="2"/>
  <c r="H13" i="2"/>
  <c r="H9" i="2"/>
  <c r="E13" i="13"/>
  <c r="C13" i="13" s="1"/>
  <c r="H101" i="2"/>
  <c r="H99" i="2"/>
  <c r="H87" i="2"/>
  <c r="H79" i="2"/>
  <c r="H76" i="2"/>
  <c r="H58" i="2"/>
  <c r="H113" i="2"/>
  <c r="J112" i="1"/>
  <c r="G409" i="1"/>
  <c r="H646" i="1" s="1"/>
  <c r="J646" i="1" s="1"/>
  <c r="E112" i="2"/>
  <c r="H112" i="2" s="1"/>
  <c r="H59" i="2"/>
  <c r="K36" i="14"/>
  <c r="K37" i="14" s="1"/>
  <c r="H477" i="1"/>
  <c r="H625" i="1" s="1"/>
  <c r="J625" i="1" s="1"/>
  <c r="K2" i="14"/>
  <c r="K3" i="14" s="1"/>
  <c r="C12" i="10"/>
  <c r="C120" i="2"/>
  <c r="C119" i="2"/>
  <c r="H140" i="1"/>
  <c r="H61" i="2"/>
  <c r="H12"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J51" i="1"/>
  <c r="G16" i="2"/>
  <c r="G18" i="2" s="1"/>
  <c r="J19" i="1"/>
  <c r="G622" i="1" s="1"/>
  <c r="F546" i="1"/>
  <c r="H435" i="1"/>
  <c r="D103" i="2"/>
  <c r="I140" i="1"/>
  <c r="A22" i="12"/>
  <c r="J653" i="1"/>
  <c r="G572" i="1"/>
  <c r="I435" i="1"/>
  <c r="G435" i="1"/>
  <c r="I664" i="1"/>
  <c r="H124" i="2" l="1"/>
  <c r="H91" i="2"/>
  <c r="H119" i="2"/>
  <c r="H120" i="2"/>
  <c r="H57" i="2"/>
  <c r="H122" i="2"/>
  <c r="D51" i="2"/>
  <c r="H85" i="2"/>
  <c r="H16" i="2"/>
  <c r="H111" i="2"/>
  <c r="D128" i="2"/>
  <c r="D145" i="2" s="1"/>
  <c r="H127" i="2"/>
  <c r="H78" i="2"/>
  <c r="I662" i="1"/>
  <c r="L572" i="1"/>
  <c r="H21" i="2"/>
  <c r="G144" i="2"/>
  <c r="G145" i="2" s="1"/>
  <c r="H134" i="2"/>
  <c r="H103" i="2"/>
  <c r="F194" i="1"/>
  <c r="G50" i="2"/>
  <c r="H50" i="2" s="1"/>
  <c r="H42" i="2"/>
  <c r="H114" i="2"/>
  <c r="H123" i="2"/>
  <c r="H62" i="2"/>
  <c r="C81" i="2"/>
  <c r="H81" i="2" s="1"/>
  <c r="H31" i="2"/>
  <c r="E5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G51" i="2" l="1"/>
  <c r="H51" i="2" s="1"/>
  <c r="C144" i="2"/>
  <c r="H144" i="2" s="1"/>
  <c r="H14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<sst xmlns="http://schemas.openxmlformats.org/spreadsheetml/2006/main" count="6649" uniqueCount="1842">
  <si>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</si>
  <si>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</si>
  <si>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</si>
  <si>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</si>
  <si>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</si>
  <si>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</si>
  <si>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</si>
  <si>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</si>
  <si>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</si>
  <si>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</si>
  <si>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</si>
  <si>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</si>
  <si>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</si>
  <si>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</si>
  <si>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</si>
  <si>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</si>
  <si>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</si>
  <si>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</si>
  <si>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</si>
  <si>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</si>
  <si>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</si>
  <si>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</si>
  <si>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</si>
  <si>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</si>
  <si>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</si>
  <si>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</si>
  <si>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</si>
  <si>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</si>
  <si>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</si>
  <si>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</si>
  <si>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</si>
  <si>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</si>
  <si>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</si>
  <si>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</si>
  <si>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</si>
  <si>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</si>
  <si>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</si>
  <si>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</si>
  <si>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</si>
  <si>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</si>
  <si>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</si>
  <si>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</si>
  <si>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</si>
  <si>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</si>
  <si>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</si>
  <si>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</si>
  <si>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</si>
  <si>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</si>
  <si>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</si>
  <si>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</si>
  <si>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</si>
  <si>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</si>
  <si>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</si>
  <si>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</si>
  <si>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</si>
  <si>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</si>
  <si>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</si>
  <si>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</si>
  <si>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</si>
  <si>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</si>
  <si>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</si>
  <si>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</si>
  <si>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</si>
  <si>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</si>
  <si>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</si>
  <si>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</si>
  <si>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</si>
  <si>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</si>
  <si>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</si>
  <si>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</si>
  <si>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</si>
  <si>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</si>
  <si>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</si>
  <si>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</si>
  <si>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</si>
  <si>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</si>
  <si>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</si>
  <si>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</si>
  <si>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</si>
  <si>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</si>
  <si>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</si>
  <si>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</si>
  <si>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</si>
  <si>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</si>
  <si>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</si>
  <si>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</si>
  <si>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</si>
  <si>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</si>
  <si>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</si>
  <si>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</si>
  <si>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</si>
  <si>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</si>
  <si>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</si>
  <si>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</si>
  <si>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</si>
  <si>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</si>
  <si>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</si>
  <si>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</si>
  <si>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</si>
  <si>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</si>
  <si>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</si>
  <si>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</si>
  <si>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</si>
  <si>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</si>
  <si>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</si>
  <si>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</si>
  <si>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</si>
  <si>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</si>
  <si>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</si>
  <si>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</si>
  <si>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</si>
  <si>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</si>
  <si>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</si>
  <si>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</si>
  <si>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</si>
  <si>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</si>
  <si>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</si>
  <si>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</si>
  <si>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</si>
  <si>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</si>
  <si>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</si>
  <si>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</si>
  <si>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</si>
  <si>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</si>
  <si>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</si>
  <si>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</si>
  <si>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</si>
  <si>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</si>
  <si>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</si>
  <si>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</si>
  <si>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</si>
  <si>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</si>
  <si>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</si>
  <si>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</si>
  <si>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</si>
  <si>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</si>
  <si>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</si>
  <si>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</si>
  <si>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</si>
  <si>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</si>
  <si>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</si>
  <si>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</si>
  <si>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</si>
  <si>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</si>
  <si>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</si>
  <si>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</si>
  <si>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</si>
  <si>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</si>
  <si>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</si>
  <si>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</si>
  <si>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</si>
  <si>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</si>
  <si>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</si>
  <si>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</si>
  <si>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</si>
  <si>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</si>
  <si>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</si>
  <si>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</si>
  <si>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</si>
  <si>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</si>
  <si>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</si>
  <si>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</si>
  <si>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</si>
  <si>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</si>
  <si>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</si>
  <si>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</si>
  <si>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</si>
  <si>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</si>
  <si>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</si>
  <si>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</si>
  <si>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</si>
  <si>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</si>
  <si>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</si>
  <si>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</si>
  <si>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</si>
  <si>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</si>
  <si>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</si>
  <si>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</si>
  <si>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</si>
  <si>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</si>
  <si>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</si>
  <si>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</si>
  <si>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</si>
  <si>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</si>
  <si>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</si>
  <si>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</si>
  <si>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</si>
  <si>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</si>
  <si>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</si>
  <si>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</si>
  <si>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</si>
  <si>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</si>
  <si>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</si>
  <si>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</si>
  <si>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</si>
  <si>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</si>
  <si>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</si>
  <si>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</si>
  <si>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</si>
  <si>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</si>
  <si>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</si>
  <si>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</si>
  <si>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</si>
  <si>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</si>
  <si>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</si>
  <si>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</si>
  <si>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</si>
  <si>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</si>
  <si>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</si>
  <si>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</si>
  <si>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</si>
  <si>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</si>
  <si>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</si>
  <si>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</si>
  <si>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</si>
  <si>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</si>
  <si>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</si>
  <si>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</si>
  <si>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</si>
  <si>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</si>
  <si>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</si>
  <si>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</si>
  <si>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</si>
  <si>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</si>
  <si>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</si>
  <si>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</si>
  <si>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</si>
  <si>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</si>
  <si>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</si>
  <si>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</si>
  <si>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</si>
  <si>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</si>
  <si>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</si>
  <si>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</si>
  <si>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</si>
  <si>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</si>
  <si>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</si>
  <si>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</si>
  <si>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</si>
  <si>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</si>
  <si>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</si>
  <si>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</si>
  <si>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</si>
  <si>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</si>
  <si>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</si>
  <si>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</si>
  <si>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</si>
  <si>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</si>
  <si>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</si>
  <si>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</si>
  <si>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</si>
  <si>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</si>
  <si>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</si>
  <si>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</si>
  <si>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</si>
  <si>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</si>
  <si>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</si>
  <si>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</si>
  <si>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</si>
  <si>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</si>
  <si>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</si>
  <si>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</si>
  <si>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</si>
  <si>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</si>
  <si>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</si>
  <si>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</si>
  <si>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</si>
  <si>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</si>
  <si>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</si>
  <si>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</si>
  <si>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</si>
  <si>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</si>
  <si>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</si>
  <si>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</si>
  <si>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</si>
  <si>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</si>
  <si>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</si>
  <si>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</si>
  <si>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</si>
  <si>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</si>
  <si>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</si>
  <si>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</si>
  <si>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</si>
  <si>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</si>
  <si>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</si>
  <si>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</si>
  <si>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</si>
  <si>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</si>
  <si>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</si>
  <si>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</si>
  <si>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</si>
  <si>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</si>
  <si>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</si>
  <si>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</si>
  <si>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</si>
  <si>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</si>
  <si>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</si>
  <si>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</si>
  <si>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</si>
  <si>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</si>
  <si>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</si>
  <si>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</si>
  <si>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</si>
  <si>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</si>
  <si>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</si>
  <si>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</si>
  <si>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</si>
  <si>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</si>
  <si>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</si>
  <si>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</si>
  <si>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</si>
  <si>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</si>
  <si>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</si>
  <si>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</si>
  <si>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</si>
  <si>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</si>
  <si>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</si>
  <si>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</si>
  <si>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</si>
  <si>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</si>
  <si>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</si>
  <si>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</si>
  <si>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</si>
  <si>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</si>
  <si>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</si>
  <si>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</si>
  <si>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</si>
  <si>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</si>
  <si>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</si>
  <si>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</si>
  <si>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</si>
  <si>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</si>
  <si>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</si>
  <si>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</si>
  <si>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</si>
  <si>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</si>
  <si>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</si>
  <si>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</si>
  <si>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</si>
  <si>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</si>
  <si>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</si>
  <si>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</si>
  <si>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</si>
  <si>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</si>
  <si>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</si>
  <si>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</si>
  <si>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</si>
  <si>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</si>
  <si>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</si>
  <si>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</si>
  <si>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</si>
  <si>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</si>
  <si>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</si>
  <si>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</si>
  <si>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</si>
  <si>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</si>
  <si>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</si>
  <si>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</si>
  <si>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</si>
  <si>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</si>
  <si>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</si>
  <si>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</si>
  <si>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</si>
  <si>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</si>
  <si>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</si>
  <si>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</si>
  <si>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</si>
  <si>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</si>
  <si>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</si>
  <si>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</si>
  <si>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</si>
  <si>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</si>
  <si>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</si>
  <si>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</si>
  <si>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</si>
  <si>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</si>
  <si>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</si>
  <si>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</si>
  <si>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</si>
  <si>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</si>
  <si>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</si>
  <si>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</si>
  <si>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</si>
  <si>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</si>
  <si>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</si>
  <si>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</si>
  <si>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</si>
  <si>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</si>
  <si>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</si>
  <si>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</si>
  <si>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</si>
  <si>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</si>
  <si>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</si>
  <si>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</si>
  <si>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</si>
  <si>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</si>
  <si>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</si>
  <si>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</si>
  <si>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</si>
  <si>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</si>
  <si>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</si>
  <si>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</si>
  <si>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</si>
  <si>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</si>
  <si>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</si>
  <si>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</si>
  <si>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</si>
  <si>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</si>
  <si>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</si>
  <si>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</si>
  <si>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</si>
  <si>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</si>
  <si>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</si>
  <si>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</si>
  <si>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</si>
  <si>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</si>
  <si>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</si>
  <si>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</si>
  <si>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</si>
  <si>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</si>
  <si>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</si>
  <si>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</si>
  <si>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</si>
  <si>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</si>
  <si>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</si>
  <si>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</si>
  <si>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</si>
  <si>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</si>
  <si>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</si>
  <si>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</si>
  <si>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</si>
  <si>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</si>
  <si>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</si>
  <si>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</si>
  <si>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</si>
  <si>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</si>
  <si>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</si>
  <si>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</si>
  <si>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</si>
  <si>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</si>
  <si>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</si>
  <si>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</si>
  <si>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</si>
  <si>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</si>
  <si>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</si>
  <si>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</si>
  <si>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</si>
  <si>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</si>
  <si>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</si>
  <si>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</si>
  <si>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</si>
  <si>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</si>
  <si>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</si>
  <si>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</si>
  <si>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</si>
  <si>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</si>
  <si>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</si>
  <si>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</si>
  <si>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</si>
  <si>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</si>
  <si>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</si>
  <si>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</si>
  <si>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</si>
  <si>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</si>
  <si>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</si>
  <si>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</si>
  <si>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</si>
  <si>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</si>
  <si>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</si>
  <si>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</si>
  <si>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</si>
  <si>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</si>
  <si>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</si>
  <si>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</si>
  <si>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</si>
  <si>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</si>
  <si>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</si>
  <si>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</si>
  <si>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</si>
  <si>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</si>
  <si>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</si>
  <si>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</si>
  <si>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</si>
  <si>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</si>
  <si>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</si>
  <si>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</si>
  <si>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</si>
  <si>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</si>
  <si>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</si>
  <si>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</si>
  <si>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</si>
  <si>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</si>
  <si>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</si>
  <si>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</si>
  <si>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</si>
  <si>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</si>
  <si>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</si>
  <si>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</si>
  <si>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</si>
  <si>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</si>
  <si>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</si>
  <si>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</si>
  <si>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</si>
  <si>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</si>
  <si>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</si>
  <si>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</si>
  <si>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</si>
  <si>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</si>
  <si>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</si>
  <si>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</si>
  <si>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</si>
  <si>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</si>
  <si>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</si>
  <si>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</si>
  <si>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</si>
  <si>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</si>
  <si>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</si>
  <si>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</si>
  <si>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</si>
  <si>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</si>
  <si>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</si>
  <si>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</si>
  <si>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</si>
  <si>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</si>
  <si>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</si>
  <si>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</si>
  <si>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</si>
  <si>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</si>
  <si>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</si>
  <si>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</si>
  <si>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</si>
  <si>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</si>
  <si>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</si>
  <si>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</si>
  <si>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</si>
  <si>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</si>
  <si>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</si>
  <si>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</si>
  <si>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</si>
  <si>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</si>
  <si>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</si>
  <si>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</si>
  <si>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</si>
  <si>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</si>
  <si>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</si>
  <si>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</si>
  <si>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</si>
  <si>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</si>
  <si>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</si>
  <si>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</si>
  <si>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</si>
  <si>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</si>
  <si>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</si>
  <si>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</si>
  <si>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</si>
  <si>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</si>
  <si>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</si>
  <si>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</si>
  <si>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</si>
  <si>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</si>
  <si>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</si>
  <si>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</si>
  <si>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</si>
  <si>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</si>
  <si>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</si>
  <si>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</si>
  <si>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</si>
  <si>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</si>
  <si>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</si>
  <si>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</si>
  <si>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</si>
  <si>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</si>
  <si>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</si>
  <si>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</si>
  <si>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</si>
  <si>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</si>
  <si>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</si>
  <si>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</si>
  <si>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</si>
  <si>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</si>
  <si>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</si>
  <si>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</si>
  <si>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</si>
  <si>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</si>
  <si>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</si>
  <si>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</si>
  <si>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</si>
  <si>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</si>
  <si>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</si>
  <si>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</si>
  <si>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</si>
  <si>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</si>
  <si>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</si>
  <si>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</si>
  <si>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</si>
  <si>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</si>
  <si>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</si>
  <si>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</si>
  <si>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</si>
  <si>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</si>
  <si>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</si>
  <si>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</si>
  <si>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</si>
  <si>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</si>
  <si>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</si>
  <si>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</si>
  <si>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</si>
  <si>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</si>
  <si>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</si>
  <si>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</si>
  <si>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</si>
  <si>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</si>
  <si>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</si>
  <si>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</si>
  <si>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</si>
  <si>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</si>
  <si>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</si>
  <si>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</si>
  <si>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</si>
  <si>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</si>
  <si>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</si>
  <si>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</si>
  <si>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</si>
  <si>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</si>
  <si>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</si>
  <si>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</si>
  <si>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</si>
  <si>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</si>
  <si>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</si>
  <si>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</si>
  <si>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</si>
  <si>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</si>
  <si>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</si>
  <si>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</si>
  <si>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</si>
  <si>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</si>
  <si>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</si>
  <si>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</si>
  <si>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</si>
  <si>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</si>
  <si>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</si>
  <si>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</si>
  <si>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</si>
  <si>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</si>
  <si>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</si>
  <si>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</si>
  <si>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</si>
  <si>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</si>
  <si>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</si>
  <si>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</si>
  <si>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</si>
  <si>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</si>
  <si>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</si>
  <si>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</si>
  <si>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</si>
  <si>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</si>
  <si>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</si>
  <si>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</si>
  <si>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</si>
  <si>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</si>
  <si>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</si>
  <si>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</si>
  <si>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</si>
  <si>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</si>
  <si>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</si>
  <si>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</si>
  <si>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</si>
  <si>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</si>
  <si>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</si>
  <si>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</si>
  <si>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</si>
  <si>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</si>
  <si>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</si>
  <si>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</si>
  <si>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</si>
  <si>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</si>
  <si>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</si>
  <si>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</si>
  <si>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</si>
  <si>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</si>
  <si>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</si>
  <si>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</si>
  <si>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</si>
  <si>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</si>
  <si>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</si>
  <si>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</si>
  <si>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</si>
  <si>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</si>
  <si>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</si>
  <si>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</si>
  <si>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</si>
  <si>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</si>
  <si>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</si>
  <si>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</si>
  <si>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</si>
  <si>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</si>
  <si>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</si>
  <si>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</si>
  <si>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</si>
  <si>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</si>
  <si>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</si>
  <si>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</si>
  <si>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</si>
  <si>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</si>
  <si>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</si>
  <si>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</si>
  <si>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</si>
  <si>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</si>
  <si>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</si>
  <si>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</si>
  <si>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</si>
  <si>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</si>
  <si>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</si>
  <si>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</si>
  <si>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</si>
  <si>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</si>
  <si>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</si>
  <si>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</si>
  <si>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</si>
  <si>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</si>
  <si>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</si>
  <si>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</si>
  <si>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</si>
  <si>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</si>
  <si>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</si>
  <si>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</si>
  <si>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</si>
  <si>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</si>
  <si>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</si>
  <si>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</si>
  <si>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</si>
  <si>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</si>
  <si>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</si>
  <si>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</si>
  <si>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</si>
  <si>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</si>
  <si>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</si>
  <si>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</si>
  <si>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</si>
  <si>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</si>
  <si>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</si>
  <si>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</si>
  <si>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</si>
  <si>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</si>
  <si>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</si>
  <si>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</si>
  <si>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</si>
  <si>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</si>
  <si>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</si>
  <si>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</si>
  <si>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</si>
  <si>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</si>
  <si>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</si>
  <si>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</si>
  <si>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</si>
  <si>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</si>
  <si>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</si>
  <si>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</si>
  <si>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</si>
  <si>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</si>
  <si>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</si>
  <si>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</si>
  <si>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</si>
  <si>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</si>
  <si>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</si>
  <si>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</si>
  <si>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</si>
  <si>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</si>
  <si>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</si>
  <si>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</si>
  <si>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</si>
  <si>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</si>
  <si>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</si>
  <si>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</si>
  <si>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</si>
  <si>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</si>
  <si>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</si>
  <si>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</si>
  <si>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</si>
  <si>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</si>
  <si>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</si>
  <si>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</si>
  <si>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</si>
  <si>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</si>
  <si>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</si>
  <si>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</si>
  <si>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</si>
  <si>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</si>
  <si>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</si>
  <si>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</si>
  <si>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</si>
  <si>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</si>
  <si>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</si>
  <si>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</si>
  <si>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</si>
  <si>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</si>
  <si>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</si>
  <si>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</si>
  <si>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</si>
  <si>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</si>
  <si>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</si>
  <si>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</si>
  <si>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</si>
  <si>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</si>
  <si>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</si>
  <si>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</si>
  <si>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</si>
  <si>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</si>
  <si>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</si>
  <si>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</si>
  <si>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</si>
  <si>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</si>
  <si>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</si>
  <si>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</si>
  <si>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</si>
  <si>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</si>
  <si>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</si>
  <si>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</si>
  <si>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</si>
  <si>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</si>
  <si>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</si>
  <si>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</si>
  <si>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</si>
  <si>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</si>
  <si>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</si>
  <si>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</si>
  <si>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</si>
  <si>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</si>
  <si>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</si>
  <si>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</si>
  <si>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</si>
  <si>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</si>
  <si>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</si>
  <si>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</si>
  <si>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</si>
  <si>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</si>
  <si>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</si>
  <si>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</si>
  <si>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</si>
  <si>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</si>
  <si>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</si>
  <si>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</si>
  <si>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</si>
  <si>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</si>
  <si>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</si>
  <si>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</si>
  <si>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</si>
  <si>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</si>
  <si>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</si>
  <si>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</si>
  <si>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</si>
  <si>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</si>
  <si>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</si>
  <si>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</si>
  <si>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</si>
  <si>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</si>
  <si>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</si>
  <si>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</si>
  <si>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</si>
  <si>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</si>
  <si>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</si>
  <si>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</si>
  <si>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</si>
  <si>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</si>
  <si>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</si>
  <si>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</si>
  <si>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</si>
  <si>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</si>
  <si>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</si>
  <si>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</si>
  <si>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</si>
  <si>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</si>
  <si>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</si>
  <si>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</si>
  <si>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</si>
  <si>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</si>
  <si>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</si>
  <si>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</si>
  <si>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</si>
  <si>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</si>
  <si>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</si>
  <si>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</si>
  <si>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</si>
  <si>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</si>
  <si>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</si>
  <si>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</si>
  <si>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</si>
  <si>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</si>
  <si>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</si>
  <si>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</si>
  <si>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</si>
  <si>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</si>
  <si>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</si>
  <si>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</si>
  <si>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</si>
  <si>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</si>
  <si>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</si>
  <si>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</si>
  <si>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</si>
  <si>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</si>
  <si>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</si>
  <si>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</si>
  <si>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</si>
  <si>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</si>
  <si>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</si>
  <si>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</si>
  <si>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</si>
  <si>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</si>
  <si>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</si>
  <si>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</si>
  <si>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</si>
  <si>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</si>
  <si>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</si>
  <si>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</si>
  <si>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</si>
  <si>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</si>
  <si>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</si>
  <si>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</si>
  <si>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</si>
  <si>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</si>
  <si>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</si>
  <si>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</si>
  <si>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</si>
  <si>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</si>
  <si>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</si>
  <si>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</si>
  <si>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</si>
  <si>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</si>
  <si>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</si>
  <si>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</si>
  <si>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</si>
  <si>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</si>
  <si>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</si>
  <si>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</si>
  <si>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</si>
  <si>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</si>
  <si>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</si>
  <si>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</si>
  <si>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</si>
  <si>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</si>
  <si>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</si>
  <si>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</si>
  <si>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</si>
  <si>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</si>
  <si>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</si>
  <si>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</si>
  <si>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</si>
  <si>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</si>
  <si>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</si>
  <si>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</si>
  <si>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</si>
  <si>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</si>
  <si>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</si>
  <si>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</si>
  <si>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</si>
  <si>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</si>
  <si>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</si>
  <si>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</si>
  <si>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</si>
  <si>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</si>
  <si>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</si>
  <si>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</si>
  <si>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</si>
  <si>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</si>
  <si>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</si>
  <si>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</si>
  <si>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</si>
  <si>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</si>
  <si>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</si>
  <si>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</si>
  <si>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</si>
  <si>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</si>
  <si>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</si>
  <si>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</si>
  <si>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</si>
  <si>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</si>
  <si>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</si>
  <si>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</si>
  <si>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</si>
  <si>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</si>
  <si>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</si>
  <si>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</si>
  <si>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</si>
  <si>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</si>
  <si>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</si>
  <si>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</si>
  <si>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</si>
  <si>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</si>
  <si>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</si>
  <si>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</si>
  <si>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</si>
  <si>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</si>
  <si>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</si>
  <si>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</si>
  <si>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</si>
  <si>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</si>
  <si>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</si>
  <si>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</si>
  <si>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</si>
  <si>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</si>
  <si>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</si>
  <si>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</si>
  <si>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</si>
  <si>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</si>
  <si>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</si>
  <si>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</si>
  <si>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</si>
  <si>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</si>
  <si>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</si>
  <si>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</si>
  <si>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</si>
  <si>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</si>
  <si>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</si>
  <si>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</si>
  <si>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</si>
  <si>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</si>
  <si>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</si>
  <si>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</si>
  <si>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</si>
  <si>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</si>
  <si>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</si>
  <si>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</si>
  <si>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</si>
  <si>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</si>
  <si>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</si>
  <si>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</si>
  <si>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</si>
  <si>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</si>
  <si>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</si>
  <si>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</si>
  <si>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</si>
  <si>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</si>
  <si>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</si>
  <si>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</si>
  <si>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</si>
  <si>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</si>
  <si>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</si>
  <si>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</si>
  <si>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</si>
  <si>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</si>
  <si>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</si>
  <si>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</si>
  <si>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</si>
  <si>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</si>
  <si>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</si>
  <si>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</si>
  <si>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</si>
  <si>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</si>
  <si>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</si>
  <si>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</si>
  <si>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</si>
  <si>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</si>
  <si>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</si>
  <si>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</si>
  <si>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</si>
  <si>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</si>
  <si>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</si>
  <si>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</si>
  <si>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</si>
  <si>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</si>
  <si>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</si>
  <si>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</si>
  <si>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</si>
  <si>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</si>
  <si>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</si>
  <si>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</si>
  <si>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</si>
  <si>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</si>
  <si>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</si>
  <si>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</si>
  <si>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</si>
  <si>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</si>
  <si>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</si>
  <si>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</si>
  <si>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</si>
  <si>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</si>
  <si>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</si>
  <si>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</si>
  <si>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</si>
  <si>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</si>
  <si>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</si>
  <si>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</si>
  <si>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</si>
  <si>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</si>
  <si>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</si>
  <si>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</si>
  <si>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</si>
  <si>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</si>
  <si>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</si>
  <si>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</si>
  <si>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</si>
  <si>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</si>
  <si>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</si>
  <si>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</si>
  <si>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</si>
  <si>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</si>
  <si>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</si>
  <si>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</si>
  <si>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</si>
  <si>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</si>
  <si>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</si>
  <si>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</si>
  <si>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</si>
  <si>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</si>
  <si>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</si>
  <si>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</si>
  <si>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</si>
  <si>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</si>
  <si>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</si>
  <si>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</si>
  <si>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</si>
  <si>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</si>
  <si>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</si>
  <si>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</si>
  <si>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</si>
  <si>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</si>
  <si>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</si>
  <si>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</si>
  <si>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</si>
  <si>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</si>
  <si>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</si>
  <si>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</si>
  <si>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</si>
  <si>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</si>
  <si>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</si>
  <si>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</si>
  <si>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</si>
  <si>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</si>
  <si>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</si>
  <si>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</si>
  <si>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</si>
  <si>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</si>
  <si>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</si>
  <si>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</si>
  <si>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</si>
  <si>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</si>
  <si>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</si>
  <si>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</si>
  <si>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</si>
  <si>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</si>
  <si>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</si>
  <si>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</si>
  <si>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</si>
  <si>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</si>
  <si>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</si>
  <si>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</si>
  <si>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</si>
  <si>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</si>
  <si>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</si>
  <si>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</si>
  <si>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</si>
  <si>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</si>
  <si>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</si>
  <si>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</si>
  <si>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</si>
  <si>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</si>
  <si>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</si>
  <si>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</si>
  <si>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</si>
  <si>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</si>
  <si>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</si>
  <si>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</si>
  <si>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</si>
  <si>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</si>
  <si>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</si>
  <si>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</si>
  <si>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</si>
  <si>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</si>
  <si>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</si>
  <si>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</si>
  <si>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</si>
  <si>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</si>
  <si>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</si>
  <si>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</si>
  <si>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</si>
  <si>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</si>
  <si>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</si>
  <si>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</si>
  <si>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</si>
  <si>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</si>
  <si>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</si>
  <si>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</si>
  <si>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</si>
  <si>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</si>
  <si>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</si>
  <si>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</si>
  <si>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</si>
  <si>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</si>
  <si>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</si>
  <si>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</si>
  <si>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</si>
  <si>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</si>
  <si>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</si>
  <si>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</si>
  <si>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</si>
  <si>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</si>
  <si>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</si>
  <si>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</si>
  <si>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</si>
  <si>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</si>
  <si>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</si>
  <si>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</si>
  <si>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</si>
  <si>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</si>
  <si>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</si>
  <si>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</si>
  <si>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</si>
  <si>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</si>
  <si>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</si>
  <si>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</si>
  <si>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</si>
  <si>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</si>
  <si>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</si>
  <si>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</si>
  <si>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</si>
  <si>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</si>
  <si>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</si>
  <si>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</si>
  <si>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</si>
  <si>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</si>
  <si>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</si>
  <si>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</si>
  <si>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</si>
  <si>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</si>
  <si>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</si>
  <si>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</si>
  <si>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</si>
  <si>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</si>
  <si>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</si>
  <si>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</si>
  <si>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</si>
  <si>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</si>
  <si>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</si>
  <si>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</si>
  <si>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</si>
  <si>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</si>
  <si>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</si>
  <si>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</si>
  <si>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</si>
  <si>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</si>
  <si>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</si>
  <si>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</si>
  <si>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</si>
  <si>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</si>
  <si>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</si>
  <si>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</si>
  <si>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</si>
  <si>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</si>
  <si>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</si>
  <si>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</si>
  <si>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</si>
  <si>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</si>
  <si>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</si>
  <si>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</si>
  <si>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</si>
  <si>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</si>
  <si>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</si>
  <si>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</si>
  <si>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</si>
  <si>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</si>
  <si>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</si>
  <si>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</si>
  <si>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</si>
  <si>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</si>
  <si>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</si>
  <si>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</si>
  <si>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</si>
  <si>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</si>
  <si>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</si>
  <si>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</si>
  <si>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</si>
  <si>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</si>
  <si>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</si>
  <si>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</si>
  <si>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</si>
  <si>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</si>
  <si>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</si>
  <si>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</si>
  <si>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</si>
  <si>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</si>
  <si>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</si>
  <si>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</si>
  <si>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</si>
  <si>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</si>
  <si>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</si>
  <si>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</si>
  <si>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</si>
  <si>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</si>
  <si>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</si>
  <si>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</si>
  <si>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</si>
  <si>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</si>
  <si>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</si>
  <si>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</si>
  <si>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</si>
  <si>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</si>
  <si>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</si>
  <si>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</si>
  <si>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</si>
  <si>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</si>
  <si>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</si>
  <si>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</si>
  <si>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</si>
  <si>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</si>
  <si>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</si>
  <si>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</si>
  <si>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</si>
  <si>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</si>
  <si>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</si>
  <si>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</si>
  <si>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</si>
  <si>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</si>
  <si>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</si>
  <si>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</si>
  <si>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</si>
  <si>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</si>
  <si>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</si>
  <si>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</si>
  <si>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</si>
  <si>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</si>
  <si>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</si>
  <si>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</si>
  <si>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</si>
  <si>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</si>
  <si>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</si>
  <si>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</si>
  <si>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</si>
  <si>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</si>
  <si>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</si>
  <si>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</si>
  <si>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</si>
  <si>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</si>
  <si>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</si>
  <si>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</si>
  <si>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</si>
  <si>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</si>
  <si>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</si>
  <si>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</si>
  <si>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</si>
  <si>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</si>
  <si>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</si>
  <si>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</si>
  <si>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</si>
  <si>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</si>
  <si>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</si>
  <si>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</si>
  <si>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</si>
  <si>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</si>
  <si>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</si>
  <si>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</si>
  <si>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</si>
  <si>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</si>
  <si>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</si>
  <si>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</si>
  <si>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</si>
  <si>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</si>
  <si>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</si>
  <si>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</si>
  <si>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</si>
  <si>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</si>
  <si>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</si>
  <si>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</si>
  <si>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</si>
  <si>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</si>
  <si>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</si>
  <si>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</si>
  <si>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</si>
  <si>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</si>
  <si>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</si>
  <si>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</si>
  <si>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</si>
  <si>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</si>
  <si>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</si>
  <si>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</si>
  <si>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</si>
  <si>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</si>
  <si>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</si>
  <si>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</si>
  <si>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</si>
  <si>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</si>
  <si>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</si>
  <si>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</si>
  <si>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</si>
  <si>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</si>
  <si>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</si>
  <si>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</si>
  <si>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</si>
  <si>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</si>
  <si>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</si>
  <si>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</si>
  <si>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</si>
  <si>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</si>
  <si>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</si>
  <si>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</si>
  <si>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</si>
  <si>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</si>
  <si>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</si>
  <si>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</si>
  <si>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</si>
  <si>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</si>
  <si>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</si>
  <si>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</si>
  <si>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</si>
  <si>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</si>
  <si>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</si>
  <si>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</si>
  <si>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</si>
  <si>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</si>
  <si>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</si>
  <si>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</si>
  <si>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</si>
  <si>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</si>
  <si>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</si>
  <si>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</si>
  <si>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</si>
  <si>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</si>
  <si>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</si>
  <si>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</si>
  <si>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</si>
  <si>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</si>
  <si>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</si>
  <si>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</si>
  <si>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</si>
  <si>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</si>
  <si>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</si>
  <si>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</si>
  <si>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</si>
  <si>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</si>
  <si>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</si>
  <si>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</si>
  <si>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</si>
  <si>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</si>
  <si>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</si>
  <si>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</si>
  <si>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</si>
  <si>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</si>
  <si>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</si>
  <si>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</si>
  <si>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</si>
  <si>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</si>
  <si>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</si>
  <si>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</si>
  <si>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</si>
  <si>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</si>
  <si>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</si>
  <si>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</si>
  <si>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</si>
  <si>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</si>
  <si>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</si>
  <si>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</si>
  <si>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</si>
  <si>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</si>
  <si>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</si>
  <si>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</si>
  <si>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</si>
  <si>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</si>
  <si>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</si>
  <si>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</si>
  <si>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</si>
  <si>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</si>
  <si>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</si>
  <si>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</si>
  <si>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</si>
  <si>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</si>
  <si>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</si>
  <si>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</si>
  <si>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</si>
  <si>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</si>
  <si>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</si>
  <si>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</si>
  <si>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</si>
  <si>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</si>
  <si>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</si>
  <si>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</si>
  <si>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</si>
  <si>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</si>
  <si>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</si>
  <si>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</si>
  <si>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</si>
  <si>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</si>
  <si>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</si>
  <si>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</si>
  <si>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</si>
  <si>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</si>
  <si>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</si>
  <si>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</si>
  <si>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</si>
  <si>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</si>
  <si>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</si>
  <si>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</si>
  <si>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</si>
  <si>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</si>
  <si>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</si>
  <si>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</si>
  <si>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</si>
  <si>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</si>
  <si>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</si>
  <si>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</si>
  <si>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</si>
  <si>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</si>
  <si>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</si>
  <si>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</si>
  <si>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</si>
  <si>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</si>
  <si>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</si>
  <si>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</si>
  <si>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</si>
  <si>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</si>
  <si>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</si>
  <si>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</si>
  <si>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</si>
  <si>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</si>
  <si>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</si>
  <si>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</si>
  <si>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</si>
  <si>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</si>
  <si>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</si>
  <si>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</si>
  <si>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</si>
  <si>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</si>
  <si>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</si>
  <si>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</si>
  <si>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</si>
  <si>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</si>
  <si>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</si>
  <si>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</si>
  <si>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</si>
  <si>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</si>
  <si>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</si>
  <si>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</si>
  <si>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</si>
  <si>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</si>
  <si>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</si>
  <si>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</si>
  <si>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</si>
  <si>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</si>
  <si>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</si>
  <si>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</si>
  <si>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</si>
  <si>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</si>
  <si>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</si>
  <si>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</si>
  <si>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</si>
  <si>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</si>
  <si>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</si>
  <si>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</si>
  <si>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</si>
  <si>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</si>
  <si>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</si>
  <si>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</si>
  <si>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</si>
  <si>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</si>
  <si>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</si>
  <si>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</si>
  <si>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</si>
  <si>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</si>
  <si>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</si>
  <si>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</si>
  <si>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</si>
  <si>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</si>
  <si>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</si>
  <si>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</si>
  <si>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</si>
  <si>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</si>
  <si>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</si>
  <si>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</si>
  <si>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</si>
  <si>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</si>
  <si>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</si>
  <si>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</si>
  <si>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</si>
  <si>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</si>
  <si>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</si>
  <si>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</si>
  <si>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</si>
  <si>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</si>
  <si>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</si>
  <si>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</si>
  <si>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</si>
  <si>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</si>
  <si>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</si>
  <si>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</si>
  <si>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</si>
  <si>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</si>
  <si>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</si>
  <si>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</si>
  <si>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</si>
  <si>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</si>
  <si>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</si>
  <si>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</si>
  <si>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</si>
  <si>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</si>
  <si>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</si>
  <si>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</si>
  <si>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</si>
  <si>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</si>
  <si>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</si>
  <si>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</si>
  <si>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</si>
  <si>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</si>
  <si>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</si>
  <si>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</si>
  <si>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</si>
  <si>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</si>
  <si>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</si>
  <si>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</si>
  <si>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</si>
  <si>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</si>
  <si>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</si>
  <si>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</si>
  <si>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</si>
  <si>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</si>
  <si>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</si>
  <si>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</si>
  <si>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</si>
  <si>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</si>
  <si>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</si>
  <si>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</si>
  <si>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</si>
  <si>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</si>
  <si>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</si>
  <si>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</si>
  <si>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</si>
  <si>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</si>
  <si>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</si>
  <si>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</si>
  <si>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</si>
  <si>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</si>
  <si>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</si>
  <si>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</si>
  <si>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</si>
  <si>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</si>
  <si>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</si>
  <si>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</si>
  <si>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</si>
  <si>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</si>
  <si>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</si>
  <si>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</si>
  <si>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</si>
  <si>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</si>
  <si>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</si>
  <si>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</si>
  <si>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</si>
  <si>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</si>
  <si>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</si>
  <si>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</si>
  <si>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</si>
  <si>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</si>
  <si>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</si>
  <si>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</si>
  <si>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</si>
  <si>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</si>
  <si>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</si>
  <si>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</si>
  <si>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</si>
  <si>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</si>
  <si>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</si>
  <si>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</si>
  <si>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</si>
  <si>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</si>
  <si>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</si>
  <si>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</si>
  <si>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</si>
  <si>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</si>
  <si>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</si>
  <si>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</si>
  <si>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</si>
  <si>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</si>
  <si>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</si>
  <si>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</si>
  <si>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</si>
  <si>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</si>
  <si>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</si>
  <si>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</si>
  <si>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</si>
  <si>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</si>
  <si>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</si>
  <si>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</si>
  <si>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</si>
  <si>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</si>
  <si>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</si>
  <si>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</si>
  <si>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</si>
  <si>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</si>
  <si>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</si>
  <si>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</si>
  <si>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</si>
  <si>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</si>
  <si>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</si>
  <si>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</si>
  <si>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</si>
  <si>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</si>
  <si>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</si>
  <si>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</si>
  <si>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</si>
  <si>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</si>
  <si>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</si>
  <si>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</si>
  <si>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</si>
  <si>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</si>
  <si>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</si>
  <si>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</si>
  <si>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</si>
  <si>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</si>
  <si>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</si>
  <si>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</si>
  <si>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</si>
  <si>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</si>
  <si>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</si>
  <si>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</si>
  <si>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</si>
  <si>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</si>
  <si>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</si>
  <si>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</si>
  <si>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</si>
  <si>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</si>
  <si>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</si>
  <si>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</si>
  <si>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</si>
  <si>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</si>
  <si>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</si>
  <si>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</si>
  <si>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</si>
  <si>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</si>
  <si>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</si>
  <si>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</si>
  <si>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</si>
  <si>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</si>
  <si>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</si>
  <si>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</si>
  <si>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</si>
  <si>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</si>
  <si>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</si>
  <si>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</si>
  <si>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</si>
  <si>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</si>
  <si>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</si>
  <si>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</si>
  <si>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</si>
  <si>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</si>
  <si>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</si>
  <si>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</si>
  <si>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</si>
  <si>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</si>
  <si>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</si>
  <si>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</si>
  <si>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</si>
  <si>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</si>
  <si>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</si>
  <si>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</si>
  <si>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</si>
  <si>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</si>
  <si>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</si>
  <si>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</si>
  <si>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</si>
  <si>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</si>
  <si>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</si>
  <si>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</si>
  <si>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</si>
  <si>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</si>
  <si>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</si>
  <si>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</si>
  <si>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</si>
  <si>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</si>
  <si>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</si>
  <si>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</si>
  <si>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</si>
  <si>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</si>
  <si>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</si>
  <si>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</si>
  <si>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</si>
  <si>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</si>
  <si>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</si>
  <si>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</si>
  <si>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</si>
  <si>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</si>
  <si>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</si>
  <si>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</si>
  <si>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</si>
  <si>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</si>
  <si>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</si>
  <si>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</si>
  <si>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</si>
  <si>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</si>
  <si>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</si>
  <si>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</si>
  <si>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</si>
  <si>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</si>
  <si>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</si>
  <si>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</si>
  <si>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</si>
  <si>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</si>
  <si>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</si>
  <si>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</si>
  <si>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</si>
  <si>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</si>
  <si>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</si>
  <si>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</si>
  <si>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</si>
  <si>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</si>
  <si>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</si>
  <si>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</si>
  <si>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</si>
  <si>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</si>
  <si>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</si>
  <si>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</si>
  <si>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</si>
  <si>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</si>
  <si>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</si>
  <si>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</si>
  <si>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</si>
  <si>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</si>
  <si>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</si>
  <si>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</si>
  <si>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</si>
  <si>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</si>
  <si>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</si>
  <si>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</si>
  <si>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</si>
  <si>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</si>
  <si>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</si>
  <si>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</si>
  <si>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</si>
  <si>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</si>
  <si>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</si>
  <si>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</si>
  <si>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</si>
  <si>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</si>
  <si>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</si>
  <si>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</si>
  <si>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</si>
  <si>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</si>
  <si>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</si>
  <si>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</si>
  <si>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</si>
  <si>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</si>
  <si>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</si>
  <si>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</si>
  <si>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</si>
  <si>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</si>
  <si>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</si>
  <si>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Rounding errors and audit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</si>
</sst>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H469" sqref="H469"/>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1159</v>
      </c>
      <c r="B2">
        <f>INDEX('School Tables'!$AH$3:$AH$213,MATCH('DOE25'!A2,'School Tables'!$AJ$3:$AJ$213,0))</f>
        <v>291</v>
      </c>
      <c r="C2">
        <f>INDEX('School Tables'!$AI$3:$AI$213,MATCH('DOE25'!A2,'School Tables'!$AJ$3:$AJ$213,0))</f>
        <v>291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118335.49</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f>3071.62+34042.4+10156.86</f>
        <v>47270.880000000005</v>
      </c>
      <c r="G12" s="18"/>
      <c r="H12" s="18">
        <v>3666.77</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c r="H13" s="18">
        <v>6736.39</v>
      </c>
      <c r="I13" s="18"/>
      <c r="J13" s="13">
        <f>SUM(I443)</f>
        <v>298577.09999999998</v>
      </c>
      <c r="K13" s="23" t="s">
        <v>288</v>
      </c>
      <c r="L13" s="23" t="s">
        <v>288</v>
      </c>
      <c r="M13" s="8"/>
      <c r="N13" s="164"/>
    </row>
    <row r="14" spans="1:14" s="3" customFormat="1" ht="12.2" customHeight="1" x14ac:dyDescent="0.15">
      <c r="A14" s="1" t="s">
        <v>565</v>
      </c>
      <c r="B14" s="2" t="s">
        <v>289</v>
      </c>
      <c r="C14" s="6">
        <v>6</v>
      </c>
      <c r="D14" s="2" t="s">
        <v>428</v>
      </c>
      <c r="E14" s="6">
        <v>150</v>
      </c>
      <c r="F14" s="18">
        <f>916.42</f>
        <v>916.42</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166522.79</v>
      </c>
      <c r="G19" s="38">
        <f>SUM(G9:G18)</f>
        <v>0</v>
      </c>
      <c r="H19" s="38">
        <f>SUM(H9:H18)</f>
        <v>10403.16</v>
      </c>
      <c r="I19" s="38">
        <f>SUM(I9:I18)</f>
        <v>0</v>
      </c>
      <c r="J19" s="38">
        <f>SUM(J9:J18)</f>
        <v>298577.09999999998</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v>6736.39</v>
      </c>
      <c r="I22" s="18"/>
      <c r="J22" s="13">
        <f>SUM(I449)</f>
        <v>44199.26</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1069.17</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v>3666.77</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1069.17</v>
      </c>
      <c r="G32" s="38">
        <f>SUM(G22:G31)</f>
        <v>0</v>
      </c>
      <c r="H32" s="38">
        <f>SUM(H22:H31)</f>
        <v>10403.16</v>
      </c>
      <c r="I32" s="38">
        <f>SUM(I22:I31)</f>
        <v>0</v>
      </c>
      <c r="J32" s="38">
        <f>SUM(J22:J31)</f>
        <v>44199.26</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254377.84</v>
      </c>
      <c r="K43" s="23" t="s">
        <v>288</v>
      </c>
      <c r="L43" s="23" t="s">
        <v>288</v>
      </c>
      <c r="M43" s="8"/>
      <c r="N43" s="164"/>
    </row>
    <row r="44" spans="1:14" s="3" customFormat="1" ht="12.2" customHeight="1" x14ac:dyDescent="0.15">
      <c r="A44" s="1" t="s">
        <v>833</v>
      </c>
      <c r="B44" s="6">
        <v>1</v>
      </c>
      <c r="C44" s="6">
        <v>30</v>
      </c>
      <c r="D44" s="2" t="s">
        <v>653</v>
      </c>
      <c r="E44" s="6">
        <v>755</v>
      </c>
      <c r="F44" s="18">
        <v>95000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0</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70453.62</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165453.62</v>
      </c>
      <c r="G51" s="38">
        <f>SUM(G35:G50)</f>
        <v>0</v>
      </c>
      <c r="H51" s="38">
        <f>SUM(H35:H50)</f>
        <v>0</v>
      </c>
      <c r="I51" s="38">
        <f>SUM(I35:I50)</f>
        <v>0</v>
      </c>
      <c r="J51" s="38">
        <f>SUM(J35:J50)</f>
        <v>254377.84</v>
      </c>
      <c r="K51" s="42" t="s">
        <v>288</v>
      </c>
      <c r="L51" s="42" t="s">
        <v>288</v>
      </c>
      <c r="N51" s="130"/>
    </row>
    <row r="52" spans="1:14" s="3" customFormat="1" ht="12.2" customHeight="1" thickTop="1" x14ac:dyDescent="0.15">
      <c r="A52" s="35" t="s">
        <v>455</v>
      </c>
      <c r="B52" s="36" t="s">
        <v>289</v>
      </c>
      <c r="C52" s="6">
        <v>37</v>
      </c>
      <c r="D52" s="36" t="s">
        <v>653</v>
      </c>
      <c r="E52" s="36"/>
      <c r="F52" s="38">
        <f>F51+F32</f>
        <v>166522.79</v>
      </c>
      <c r="G52" s="38">
        <f>G51+G32</f>
        <v>0</v>
      </c>
      <c r="H52" s="38">
        <f>H51+H32</f>
        <v>10403.16</v>
      </c>
      <c r="I52" s="38">
        <f>I51+I32</f>
        <v>0</v>
      </c>
      <c r="J52" s="38">
        <f>J51+J32</f>
        <v>298577.09999999998</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781810</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781810</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34004.699999999997</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t="s">
        <v>286</v>
      </c>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34004.699999999997</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125.03</v>
      </c>
      <c r="G96" s="18"/>
      <c r="H96" s="18"/>
      <c r="I96" s="18"/>
      <c r="J96" s="18">
        <v>942.93</v>
      </c>
      <c r="K96" s="23" t="s">
        <v>288</v>
      </c>
      <c r="L96" s="23" t="s">
        <v>288</v>
      </c>
      <c r="M96" s="8"/>
      <c r="N96" s="164"/>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v>123.88</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4389.84+128</f>
        <v>4517.84</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4642.87</v>
      </c>
      <c r="G111" s="38">
        <f>SUM(G96:G110)</f>
        <v>0</v>
      </c>
      <c r="H111" s="38">
        <f>SUM(H96:H110)</f>
        <v>123.88</v>
      </c>
      <c r="I111" s="38">
        <f>SUM(I96:I110)</f>
        <v>0</v>
      </c>
      <c r="J111" s="38">
        <f>SUM(J96:J110)</f>
        <v>942.93</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820457.57</v>
      </c>
      <c r="G112" s="38">
        <f>G60+G111</f>
        <v>0</v>
      </c>
      <c r="H112" s="38">
        <f>H60+H79+H94+H111</f>
        <v>123.88</v>
      </c>
      <c r="I112" s="38">
        <f>I60+I111</f>
        <v>0</v>
      </c>
      <c r="J112" s="38">
        <f>J60+J111</f>
        <v>942.93</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140476.24</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85553</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t="s">
        <v>286</v>
      </c>
      <c r="G120" s="18"/>
      <c r="H120" s="18">
        <v>1073.81</v>
      </c>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226029.24</v>
      </c>
      <c r="G121" s="38">
        <f>SUM(G117:G120)</f>
        <v>0</v>
      </c>
      <c r="H121" s="38">
        <f>SUM(H117:H120)</f>
        <v>1073.81</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t="s">
        <v>286</v>
      </c>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226029.24</v>
      </c>
      <c r="G140" s="38">
        <f>G121+SUM(G136:G137)</f>
        <v>0</v>
      </c>
      <c r="H140" s="38">
        <f>H121+SUM(H136:H139)</f>
        <v>1073.81</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v>5627.95</v>
      </c>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1410+3300+4565.96+124.75</f>
        <v>9400.7099999999991</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10395.540000000001</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5948.21</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f>401.86+17561.95+2000</f>
        <v>19963.810000000001</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5948.21</v>
      </c>
      <c r="G163" s="38">
        <f>SUM(G150:G162)</f>
        <v>0</v>
      </c>
      <c r="H163" s="38">
        <f>SUM(H150:H162)</f>
        <v>45388.01</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2429.9</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8378.11</v>
      </c>
      <c r="G170" s="38">
        <f>G147+G163+SUM(G164:G169)</f>
        <v>0</v>
      </c>
      <c r="H170" s="38">
        <f>H147+H163+SUM(H164:H169)</f>
        <v>45388.01</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29000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f>34042.4+10156.86</f>
        <v>44199.26</v>
      </c>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44199.26</v>
      </c>
      <c r="G184" s="38">
        <f>SUM(G180:G183)</f>
        <v>0</v>
      </c>
      <c r="H184" s="38">
        <f>SUM(H180:H183)</f>
        <v>0</v>
      </c>
      <c r="I184" s="38">
        <f>SUM(I180:I183)</f>
        <v>0</v>
      </c>
      <c r="J184" s="38">
        <f>SUM(J180:J183)</f>
        <v>29000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44199.26</v>
      </c>
      <c r="G193" s="38">
        <f>G184+SUM(G189:G192)</f>
        <v>0</v>
      </c>
      <c r="H193" s="38">
        <f>+H184+SUM(H189:H192)</f>
        <v>0</v>
      </c>
      <c r="I193" s="38">
        <f>I178+I184+SUM(I189:I192)</f>
        <v>0</v>
      </c>
      <c r="J193" s="38">
        <f>J184</f>
        <v>29000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1099064.18</v>
      </c>
      <c r="G194" s="38">
        <f>G112+G140+G170+G193</f>
        <v>0</v>
      </c>
      <c r="H194" s="38">
        <f>H112+H140+H170+H193</f>
        <v>46585.700000000004</v>
      </c>
      <c r="I194" s="38">
        <f>I112+I140+I170+I193</f>
        <v>0</v>
      </c>
      <c r="J194" s="38">
        <f>J112+J140+J193</f>
        <v>29942.93</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103068.8</v>
      </c>
      <c r="G198" s="18">
        <v>30683.93</v>
      </c>
      <c r="H198" s="18">
        <f>8321.43+106849.92+11856.86</f>
        <v>127028.21</v>
      </c>
      <c r="I198" s="18">
        <v>10332.66</v>
      </c>
      <c r="J198" s="18"/>
      <c r="K198" s="18"/>
      <c r="L198" s="13">
        <f>SUM(F198:K198)</f>
        <v>271113.59999999998</v>
      </c>
      <c r="M198" s="8"/>
      <c r="N198" s="164"/>
    </row>
    <row r="199" spans="1:14" s="3" customFormat="1" ht="12.2" customHeight="1" x14ac:dyDescent="0.15">
      <c r="A199" s="1" t="s">
        <v>439</v>
      </c>
      <c r="B199" s="2" t="s">
        <v>341</v>
      </c>
      <c r="C199" s="2" t="s">
        <v>291</v>
      </c>
      <c r="D199" s="2" t="s">
        <v>431</v>
      </c>
      <c r="E199" s="6">
        <v>1200</v>
      </c>
      <c r="F199" s="18">
        <v>29087.360000000001</v>
      </c>
      <c r="G199" s="18">
        <v>2943.76</v>
      </c>
      <c r="H199" s="18">
        <v>67299.5</v>
      </c>
      <c r="I199" s="18">
        <v>224.26</v>
      </c>
      <c r="J199" s="18"/>
      <c r="K199" s="18"/>
      <c r="L199" s="13">
        <f>SUM(F199:K199)</f>
        <v>99554.87999999999</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2399.29</v>
      </c>
      <c r="G203" s="18">
        <v>1545.08</v>
      </c>
      <c r="H203" s="18">
        <f>27169.47-1594.88-1594.89</f>
        <v>23979.7</v>
      </c>
      <c r="I203" s="18">
        <v>87.9</v>
      </c>
      <c r="J203" s="18"/>
      <c r="K203" s="18"/>
      <c r="L203" s="13">
        <f t="shared" ref="L203:L209" si="0">SUM(F203:K203)</f>
        <v>28011.97</v>
      </c>
      <c r="M203" s="8"/>
      <c r="N203" s="164"/>
    </row>
    <row r="204" spans="1:14" s="3" customFormat="1" ht="12.2" customHeight="1" x14ac:dyDescent="0.15">
      <c r="A204" s="1" t="s">
        <v>443</v>
      </c>
      <c r="B204" s="2" t="s">
        <v>341</v>
      </c>
      <c r="C204" s="2" t="s">
        <v>295</v>
      </c>
      <c r="D204" s="2" t="s">
        <v>431</v>
      </c>
      <c r="E204" s="6">
        <v>2200</v>
      </c>
      <c r="F204" s="18"/>
      <c r="G204" s="18"/>
      <c r="H204" s="18">
        <v>5681</v>
      </c>
      <c r="I204" s="18"/>
      <c r="J204" s="18"/>
      <c r="K204" s="18"/>
      <c r="L204" s="13">
        <f t="shared" si="0"/>
        <v>5681</v>
      </c>
      <c r="M204" s="8"/>
      <c r="N204" s="164"/>
    </row>
    <row r="205" spans="1:14" s="3" customFormat="1" ht="12.2" customHeight="1" x14ac:dyDescent="0.15">
      <c r="A205" s="1" t="s">
        <v>444</v>
      </c>
      <c r="B205" s="2" t="s">
        <v>341</v>
      </c>
      <c r="C205" s="2" t="s">
        <v>296</v>
      </c>
      <c r="D205" s="2" t="s">
        <v>431</v>
      </c>
      <c r="E205" s="6">
        <v>2300</v>
      </c>
      <c r="F205" s="18">
        <v>1799.98</v>
      </c>
      <c r="G205" s="18">
        <v>125.84</v>
      </c>
      <c r="H205" s="18">
        <v>53040.84</v>
      </c>
      <c r="I205" s="18"/>
      <c r="J205" s="18"/>
      <c r="K205" s="18"/>
      <c r="L205" s="13">
        <f t="shared" si="0"/>
        <v>54966.659999999996</v>
      </c>
      <c r="M205" s="8"/>
      <c r="N205" s="164"/>
    </row>
    <row r="206" spans="1:14" s="3" customFormat="1" ht="12.2" customHeight="1" x14ac:dyDescent="0.15">
      <c r="A206" s="1" t="s">
        <v>445</v>
      </c>
      <c r="B206" s="2" t="s">
        <v>341</v>
      </c>
      <c r="C206" s="2" t="s">
        <v>297</v>
      </c>
      <c r="D206" s="2" t="s">
        <v>431</v>
      </c>
      <c r="E206" s="6">
        <v>2400</v>
      </c>
      <c r="F206" s="18"/>
      <c r="G206" s="18"/>
      <c r="H206" s="18">
        <v>3619.77</v>
      </c>
      <c r="I206" s="18">
        <v>253</v>
      </c>
      <c r="J206" s="18"/>
      <c r="K206" s="18"/>
      <c r="L206" s="13">
        <f t="shared" si="0"/>
        <v>3872.77</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210</v>
      </c>
      <c r="G208" s="18">
        <v>41.07</v>
      </c>
      <c r="H208" s="18">
        <v>51989.9</v>
      </c>
      <c r="I208" s="18">
        <v>10156.549999999999</v>
      </c>
      <c r="J208" s="18">
        <v>159.32</v>
      </c>
      <c r="K208" s="18"/>
      <c r="L208" s="13">
        <f t="shared" si="0"/>
        <v>62556.840000000004</v>
      </c>
      <c r="M208" s="8"/>
      <c r="N208" s="164"/>
    </row>
    <row r="209" spans="1:14" s="3" customFormat="1" ht="12.2" customHeight="1" x14ac:dyDescent="0.15">
      <c r="A209" s="1" t="s">
        <v>448</v>
      </c>
      <c r="B209" s="2" t="s">
        <v>341</v>
      </c>
      <c r="C209" s="2" t="s">
        <v>300</v>
      </c>
      <c r="D209" s="2" t="s">
        <v>431</v>
      </c>
      <c r="E209" s="6">
        <v>2700</v>
      </c>
      <c r="F209" s="18"/>
      <c r="G209" s="18"/>
      <c r="H209" s="18">
        <v>54056.59</v>
      </c>
      <c r="I209" s="18"/>
      <c r="J209" s="18"/>
      <c r="K209" s="18"/>
      <c r="L209" s="13">
        <f t="shared" si="0"/>
        <v>54056.59</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136565.43000000002</v>
      </c>
      <c r="G212" s="38">
        <f t="shared" si="1"/>
        <v>35339.68</v>
      </c>
      <c r="H212" s="38">
        <f t="shared" si="1"/>
        <v>386695.51</v>
      </c>
      <c r="I212" s="38">
        <f t="shared" si="1"/>
        <v>21054.37</v>
      </c>
      <c r="J212" s="38">
        <f t="shared" si="1"/>
        <v>159.32</v>
      </c>
      <c r="K212" s="38">
        <f t="shared" si="1"/>
        <v>0</v>
      </c>
      <c r="L212" s="38">
        <f t="shared" si="1"/>
        <v>579814.30999999994</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v>152639.57999999999</v>
      </c>
      <c r="I216" s="18"/>
      <c r="J216" s="18"/>
      <c r="K216" s="18"/>
      <c r="L216" s="13">
        <f>SUM(F216:K216)</f>
        <v>152639.57999999999</v>
      </c>
      <c r="M216" s="8"/>
      <c r="N216" s="164"/>
    </row>
    <row r="217" spans="1:14" s="3" customFormat="1" ht="12.2" customHeight="1" x14ac:dyDescent="0.15">
      <c r="A217" s="1" t="s">
        <v>439</v>
      </c>
      <c r="B217" s="2" t="s">
        <v>346</v>
      </c>
      <c r="C217" s="2" t="s">
        <v>291</v>
      </c>
      <c r="D217" s="2" t="s">
        <v>431</v>
      </c>
      <c r="E217" s="6">
        <v>1200</v>
      </c>
      <c r="F217" s="18"/>
      <c r="G217" s="18"/>
      <c r="H217" s="18">
        <v>28070.5</v>
      </c>
      <c r="I217" s="18"/>
      <c r="J217" s="18"/>
      <c r="K217" s="18"/>
      <c r="L217" s="13">
        <f>SUM(F217:K217)</f>
        <v>28070.5</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v>1594.88</v>
      </c>
      <c r="I221" s="18"/>
      <c r="J221" s="18"/>
      <c r="K221" s="18"/>
      <c r="L221" s="13">
        <f t="shared" ref="L221:L227" si="2">SUM(F221:K221)</f>
        <v>1594.88</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182304.96</v>
      </c>
      <c r="I230" s="38">
        <f>SUM(I216:I229)</f>
        <v>0</v>
      </c>
      <c r="J230" s="38">
        <f>SUM(J216:J229)</f>
        <v>0</v>
      </c>
      <c r="K230" s="38">
        <f t="shared" si="3"/>
        <v>0</v>
      </c>
      <c r="L230" s="38">
        <f t="shared" si="3"/>
        <v>182304.96</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317873.03999999998</v>
      </c>
      <c r="I234" s="18"/>
      <c r="J234" s="18"/>
      <c r="K234" s="18"/>
      <c r="L234" s="13">
        <f>SUM(F234:K234)</f>
        <v>317873.03999999998</v>
      </c>
      <c r="M234" s="8"/>
      <c r="N234" s="164"/>
    </row>
    <row r="235" spans="1:14" s="3" customFormat="1" ht="12.2" customHeight="1" x14ac:dyDescent="0.15">
      <c r="A235" s="1" t="s">
        <v>439</v>
      </c>
      <c r="B235" s="2" t="s">
        <v>350</v>
      </c>
      <c r="C235" s="2" t="s">
        <v>291</v>
      </c>
      <c r="D235" s="2" t="s">
        <v>431</v>
      </c>
      <c r="E235" s="6">
        <v>1200</v>
      </c>
      <c r="F235" s="18"/>
      <c r="G235" s="18"/>
      <c r="H235" s="18">
        <v>20820.54</v>
      </c>
      <c r="I235" s="18"/>
      <c r="J235" s="18"/>
      <c r="K235" s="18"/>
      <c r="L235" s="13">
        <f>SUM(F235:K235)</f>
        <v>20820.54</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v>1594.89</v>
      </c>
      <c r="I239" s="18"/>
      <c r="J239" s="18"/>
      <c r="K239" s="18"/>
      <c r="L239" s="13">
        <f t="shared" ref="L239:L245" si="4">SUM(F239:K239)</f>
        <v>1594.89</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340288.47</v>
      </c>
      <c r="I248" s="38">
        <f t="shared" si="5"/>
        <v>0</v>
      </c>
      <c r="J248" s="38">
        <f t="shared" si="5"/>
        <v>0</v>
      </c>
      <c r="K248" s="38">
        <f t="shared" si="5"/>
        <v>0</v>
      </c>
      <c r="L248" s="38">
        <f t="shared" si="5"/>
        <v>340288.47</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v>30055.63</v>
      </c>
      <c r="G254" s="18">
        <v>9708.26</v>
      </c>
      <c r="H254" s="18">
        <v>500.6</v>
      </c>
      <c r="I254" s="18"/>
      <c r="J254" s="18"/>
      <c r="K254" s="18"/>
      <c r="L254" s="13">
        <f t="shared" si="6"/>
        <v>40264.49</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30055.63</v>
      </c>
      <c r="G257" s="38">
        <f t="shared" si="7"/>
        <v>9708.26</v>
      </c>
      <c r="H257" s="38">
        <f t="shared" si="7"/>
        <v>500.6</v>
      </c>
      <c r="I257" s="38">
        <f t="shared" si="7"/>
        <v>0</v>
      </c>
      <c r="J257" s="38">
        <f t="shared" si="7"/>
        <v>0</v>
      </c>
      <c r="K257" s="38">
        <f t="shared" si="7"/>
        <v>0</v>
      </c>
      <c r="L257" s="38">
        <f>SUM(F257:K257)</f>
        <v>40264.49</v>
      </c>
      <c r="M257" s="8"/>
      <c r="N257" s="164"/>
    </row>
    <row r="258" spans="1:14" s="3" customFormat="1" ht="12.2" customHeight="1" thickTop="1" x14ac:dyDescent="0.15">
      <c r="A258" s="35" t="s">
        <v>462</v>
      </c>
      <c r="B258" s="37">
        <v>10</v>
      </c>
      <c r="C258" s="37">
        <v>8</v>
      </c>
      <c r="D258" s="36" t="s">
        <v>431</v>
      </c>
      <c r="E258" s="37"/>
      <c r="F258" s="38">
        <f t="shared" ref="F258:L258" si="8">F212+F230+F248+F257</f>
        <v>166621.06000000003</v>
      </c>
      <c r="G258" s="38">
        <f t="shared" si="8"/>
        <v>45047.94</v>
      </c>
      <c r="H258" s="38">
        <f t="shared" si="8"/>
        <v>909789.53999999992</v>
      </c>
      <c r="I258" s="38">
        <f t="shared" si="8"/>
        <v>21054.37</v>
      </c>
      <c r="J258" s="38">
        <f t="shared" si="8"/>
        <v>159.32</v>
      </c>
      <c r="K258" s="38">
        <f t="shared" si="8"/>
        <v>0</v>
      </c>
      <c r="L258" s="38">
        <f t="shared" si="8"/>
        <v>1142672.2299999997</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29000</v>
      </c>
      <c r="L267" s="13">
        <f t="shared" si="9"/>
        <v>29000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29000</v>
      </c>
      <c r="L271" s="38">
        <f t="shared" si="9"/>
        <v>29000</v>
      </c>
      <c r="M271" s="8"/>
      <c r="N271" s="164"/>
    </row>
    <row r="272" spans="1:14" s="33" customFormat="1" ht="12.2" customHeight="1" thickTop="1" x14ac:dyDescent="0.2">
      <c r="A272" s="40" t="s">
        <v>464</v>
      </c>
      <c r="B272" s="37">
        <v>10</v>
      </c>
      <c r="C272" s="37">
        <v>18</v>
      </c>
      <c r="D272" s="36" t="s">
        <v>431</v>
      </c>
      <c r="E272" s="37"/>
      <c r="F272" s="39">
        <f t="shared" ref="F272:L272" si="11">F258+F271</f>
        <v>166621.06000000003</v>
      </c>
      <c r="G272" s="39">
        <f t="shared" si="11"/>
        <v>45047.94</v>
      </c>
      <c r="H272" s="39">
        <f t="shared" si="11"/>
        <v>909789.53999999992</v>
      </c>
      <c r="I272" s="39">
        <f t="shared" si="11"/>
        <v>21054.37</v>
      </c>
      <c r="J272" s="39">
        <f t="shared" si="11"/>
        <v>159.32</v>
      </c>
      <c r="K272" s="39">
        <f t="shared" si="11"/>
        <v>29000</v>
      </c>
      <c r="L272" s="39">
        <f t="shared" si="11"/>
        <v>1171672.2299999997</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8195.34</v>
      </c>
      <c r="G277" s="18">
        <v>904.25</v>
      </c>
      <c r="H277" s="18">
        <v>6168.5</v>
      </c>
      <c r="I277" s="18">
        <v>7017.53</v>
      </c>
      <c r="J277" s="18"/>
      <c r="K277" s="18"/>
      <c r="L277" s="13">
        <f>SUM(F277:K277)</f>
        <v>22285.62</v>
      </c>
      <c r="M277" s="8"/>
      <c r="N277" s="164"/>
    </row>
    <row r="278" spans="1:14" s="3" customFormat="1" ht="12.2" customHeight="1" x14ac:dyDescent="0.15">
      <c r="A278" s="1" t="s">
        <v>439</v>
      </c>
      <c r="B278" s="2" t="s">
        <v>357</v>
      </c>
      <c r="C278" s="2" t="s">
        <v>291</v>
      </c>
      <c r="D278" s="2" t="s">
        <v>431</v>
      </c>
      <c r="E278" s="6">
        <v>1200</v>
      </c>
      <c r="F278" s="18">
        <v>3059.16</v>
      </c>
      <c r="G278" s="18">
        <v>834.84</v>
      </c>
      <c r="H278" s="18" t="s">
        <v>286</v>
      </c>
      <c r="I278" s="18"/>
      <c r="J278" s="18"/>
      <c r="K278" s="18"/>
      <c r="L278" s="13">
        <f>SUM(F278:K278)</f>
        <v>3894</v>
      </c>
      <c r="M278" s="8"/>
      <c r="N278" s="164"/>
    </row>
    <row r="279" spans="1:14" s="3" customFormat="1" ht="12.2" customHeight="1" x14ac:dyDescent="0.15">
      <c r="A279" s="1" t="s">
        <v>440</v>
      </c>
      <c r="B279" s="2" t="s">
        <v>357</v>
      </c>
      <c r="C279" s="2" t="s">
        <v>292</v>
      </c>
      <c r="D279" s="2" t="s">
        <v>431</v>
      </c>
      <c r="E279" s="6">
        <v>1300</v>
      </c>
      <c r="F279" s="18"/>
      <c r="G279" s="18"/>
      <c r="H279" s="18" t="s">
        <v>286</v>
      </c>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1000</v>
      </c>
      <c r="G280" s="18">
        <v>73.81</v>
      </c>
      <c r="H280" s="18"/>
      <c r="I280" s="18">
        <v>123.88</v>
      </c>
      <c r="J280" s="18"/>
      <c r="K280" s="18"/>
      <c r="L280" s="13">
        <f>SUM(F280:K280)</f>
        <v>1197.69</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v>12658</v>
      </c>
      <c r="I282" s="18"/>
      <c r="J282" s="18"/>
      <c r="K282" s="18"/>
      <c r="L282" s="13">
        <f t="shared" ref="L282:L288" si="12">SUM(F282:K282)</f>
        <v>12658</v>
      </c>
      <c r="M282" s="8"/>
      <c r="N282" s="164"/>
    </row>
    <row r="283" spans="1:14" s="3" customFormat="1" ht="12.2" customHeight="1" x14ac:dyDescent="0.15">
      <c r="A283" s="1" t="s">
        <v>443</v>
      </c>
      <c r="B283" s="2" t="s">
        <v>357</v>
      </c>
      <c r="C283" s="2" t="s">
        <v>295</v>
      </c>
      <c r="D283" s="2" t="s">
        <v>431</v>
      </c>
      <c r="E283" s="6">
        <v>2200</v>
      </c>
      <c r="F283" s="18">
        <v>375</v>
      </c>
      <c r="G283" s="18">
        <v>26.86</v>
      </c>
      <c r="H283" s="18"/>
      <c r="I283" s="18"/>
      <c r="J283" s="18"/>
      <c r="K283" s="18"/>
      <c r="L283" s="13">
        <f t="shared" si="12"/>
        <v>401.86</v>
      </c>
      <c r="M283" s="8"/>
      <c r="N283" s="164"/>
    </row>
    <row r="284" spans="1:14" s="3" customFormat="1" ht="12.2" customHeight="1" x14ac:dyDescent="0.15">
      <c r="A284" s="1" t="s">
        <v>444</v>
      </c>
      <c r="B284" s="2" t="s">
        <v>357</v>
      </c>
      <c r="C284" s="2" t="s">
        <v>296</v>
      </c>
      <c r="D284" s="2" t="s">
        <v>431</v>
      </c>
      <c r="E284" s="6">
        <v>2300</v>
      </c>
      <c r="F284" s="18"/>
      <c r="G284" s="18"/>
      <c r="H284" s="18">
        <v>3300</v>
      </c>
      <c r="I284" s="18"/>
      <c r="J284" s="18"/>
      <c r="K284" s="18">
        <f>952.13-103.6</f>
        <v>848.53</v>
      </c>
      <c r="L284" s="13">
        <f t="shared" si="12"/>
        <v>4148.53</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v>2000</v>
      </c>
      <c r="I287" s="18"/>
      <c r="J287" s="18"/>
      <c r="K287" s="18"/>
      <c r="L287" s="13">
        <f t="shared" si="12"/>
        <v>2000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12629.5</v>
      </c>
      <c r="G291" s="39">
        <f t="shared" si="13"/>
        <v>1839.76</v>
      </c>
      <c r="H291" s="39">
        <f t="shared" si="13"/>
        <v>24126.5</v>
      </c>
      <c r="I291" s="39">
        <f t="shared" si="13"/>
        <v>7141.41</v>
      </c>
      <c r="J291" s="39">
        <f t="shared" si="13"/>
        <v>0</v>
      </c>
      <c r="K291" s="39">
        <f t="shared" si="13"/>
        <v>848.53</v>
      </c>
      <c r="L291" s="38">
        <f t="shared" si="13"/>
        <v>46585.7</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t="s">
        <v>286</v>
      </c>
      <c r="G336" s="18" t="s">
        <v>286</v>
      </c>
      <c r="H336" s="18" t="s">
        <v>286</v>
      </c>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12629.5</v>
      </c>
      <c r="G339" s="38">
        <f t="shared" si="20"/>
        <v>1839.76</v>
      </c>
      <c r="H339" s="38">
        <f t="shared" si="20"/>
        <v>24126.5</v>
      </c>
      <c r="I339" s="38">
        <f t="shared" si="20"/>
        <v>7141.41</v>
      </c>
      <c r="J339" s="38">
        <f t="shared" si="20"/>
        <v>0</v>
      </c>
      <c r="K339" s="38">
        <f t="shared" si="20"/>
        <v>848.53</v>
      </c>
      <c r="L339" s="38">
        <f t="shared" si="20"/>
        <v>46585.7</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12629.5</v>
      </c>
      <c r="G353" s="38">
        <f>G339</f>
        <v>1839.76</v>
      </c>
      <c r="H353" s="38">
        <f>H339</f>
        <v>24126.5</v>
      </c>
      <c r="I353" s="38">
        <f>I339</f>
        <v>7141.41</v>
      </c>
      <c r="J353" s="38">
        <f>J339</f>
        <v>0</v>
      </c>
      <c r="K353" s="38">
        <f>K339+K352</f>
        <v>848.53</v>
      </c>
      <c r="L353" s="38">
        <f>L339+L352</f>
        <v>46585.7</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f>210.96+164.94+66.49</f>
        <v>442.39</v>
      </c>
      <c r="I397" s="18"/>
      <c r="J397" s="23" t="s">
        <v>288</v>
      </c>
      <c r="K397" s="23" t="s">
        <v>288</v>
      </c>
      <c r="L397" s="13">
        <f t="shared" si="26"/>
        <v>442.39</v>
      </c>
      <c r="M397" s="8"/>
      <c r="N397" s="164"/>
    </row>
    <row r="398" spans="1:14" s="3" customFormat="1" ht="12.2" customHeight="1" x14ac:dyDescent="0.15">
      <c r="A398" s="62" t="s">
        <v>515</v>
      </c>
      <c r="B398" s="2" t="s">
        <v>381</v>
      </c>
      <c r="C398" s="6">
        <v>10</v>
      </c>
      <c r="D398" s="2" t="s">
        <v>432</v>
      </c>
      <c r="E398" s="6"/>
      <c r="F398" s="18"/>
      <c r="G398" s="18"/>
      <c r="H398" s="18">
        <v>405.21</v>
      </c>
      <c r="I398" s="18"/>
      <c r="J398" s="23" t="s">
        <v>288</v>
      </c>
      <c r="K398" s="23" t="s">
        <v>288</v>
      </c>
      <c r="L398" s="13">
        <f t="shared" si="26"/>
        <v>405.21</v>
      </c>
      <c r="M398" s="8"/>
      <c r="N398" s="164"/>
    </row>
    <row r="399" spans="1:14" s="3" customFormat="1" ht="12.2" customHeight="1" x14ac:dyDescent="0.15">
      <c r="A399" s="62" t="s">
        <v>558</v>
      </c>
      <c r="B399" s="2" t="s">
        <v>381</v>
      </c>
      <c r="C399" s="6">
        <v>11</v>
      </c>
      <c r="D399" s="2" t="s">
        <v>432</v>
      </c>
      <c r="E399" s="6"/>
      <c r="F399" s="18"/>
      <c r="G399" s="18">
        <v>25000</v>
      </c>
      <c r="H399" s="18">
        <v>69.5</v>
      </c>
      <c r="I399" s="18"/>
      <c r="J399" s="23" t="s">
        <v>288</v>
      </c>
      <c r="K399" s="23" t="s">
        <v>288</v>
      </c>
      <c r="L399" s="13">
        <f t="shared" si="26"/>
        <v>25069.5</v>
      </c>
      <c r="M399" s="8"/>
      <c r="N399" s="164"/>
    </row>
    <row r="400" spans="1:14" s="3" customFormat="1" ht="12.2" customHeight="1" x14ac:dyDescent="0.15">
      <c r="A400" s="62" t="s">
        <v>559</v>
      </c>
      <c r="B400" s="2" t="s">
        <v>381</v>
      </c>
      <c r="C400" s="6">
        <v>12</v>
      </c>
      <c r="D400" s="2" t="s">
        <v>432</v>
      </c>
      <c r="E400" s="6"/>
      <c r="F400" s="18"/>
      <c r="G400" s="18">
        <v>4000</v>
      </c>
      <c r="H400" s="18">
        <v>25.83</v>
      </c>
      <c r="I400" s="18"/>
      <c r="J400" s="23" t="s">
        <v>288</v>
      </c>
      <c r="K400" s="23" t="s">
        <v>288</v>
      </c>
      <c r="L400" s="13">
        <f t="shared" si="26"/>
        <v>4025.83</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29000</v>
      </c>
      <c r="H402" s="38">
        <f>SUM(H396:H401)</f>
        <v>942.93</v>
      </c>
      <c r="I402" s="38">
        <f>SUM(I396:I401)</f>
        <v>0</v>
      </c>
      <c r="J402" s="42" t="s">
        <v>288</v>
      </c>
      <c r="K402" s="42" t="s">
        <v>288</v>
      </c>
      <c r="L402" s="38">
        <f>SUM(L396:L401)</f>
        <v>29942.93</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29000</v>
      </c>
      <c r="H409" s="38">
        <f>H394+H402+H408</f>
        <v>942.93</v>
      </c>
      <c r="I409" s="38">
        <f>I394+I402+I408</f>
        <v>0</v>
      </c>
      <c r="J409" s="23" t="s">
        <v>288</v>
      </c>
      <c r="K409" s="23" t="s">
        <v>288</v>
      </c>
      <c r="L409" s="38">
        <f>L394+L402+L408</f>
        <v>29942.93</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v>34042.400000000001</v>
      </c>
      <c r="L423" s="13">
        <f t="shared" si="29"/>
        <v>34042.400000000001</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v>10156.86</v>
      </c>
      <c r="L426" s="13">
        <f t="shared" si="29"/>
        <v>10156.86</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44199.26</v>
      </c>
      <c r="L428" s="38">
        <f t="shared" si="30"/>
        <v>44199.26</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44199.26</v>
      </c>
      <c r="L435" s="38">
        <f t="shared" si="32"/>
        <v>44199.26</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f>254377.84+34042.4+10156.86</f>
        <v>298577.09999999998</v>
      </c>
      <c r="H443" s="18"/>
      <c r="I443" s="13">
        <f t="shared" si="33"/>
        <v>298577.09999999998</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298577.09999999998</v>
      </c>
      <c r="H447" s="13">
        <f>SUM(H440:H446)</f>
        <v>0</v>
      </c>
      <c r="I447" s="13">
        <f>SUM(I440:I446)</f>
        <v>298577.09999999998</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f>34042.4+10156.86</f>
        <v>44199.26</v>
      </c>
      <c r="H449" s="18"/>
      <c r="I449" s="13">
        <f>SUM(F449:H449)</f>
        <v>44199.26</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44199.26</v>
      </c>
      <c r="H453" s="57">
        <f>SUM(H449:H452)</f>
        <v>0</v>
      </c>
      <c r="I453" s="57">
        <f>SUM(I449:I452)</f>
        <v>44199.26</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v>254377.84</v>
      </c>
      <c r="H457" s="18"/>
      <c r="I457" s="13">
        <f t="shared" si="34"/>
        <v>254377.84</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254377.84</v>
      </c>
      <c r="H461" s="65">
        <f>SUM(H455:H460)</f>
        <v>0</v>
      </c>
      <c r="I461" s="65">
        <f>SUM(I455:I460)</f>
        <v>254377.84</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298577.09999999998</v>
      </c>
      <c r="H462" s="39">
        <f>H453+H461</f>
        <v>0</v>
      </c>
      <c r="I462" s="39">
        <f>I453+I461</f>
        <v>298577.09999999998</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238092.04</v>
      </c>
      <c r="G466" s="18"/>
      <c r="H466" s="18">
        <v>0</v>
      </c>
      <c r="I466" s="18"/>
      <c r="J466" s="18">
        <v>268634.17</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1099064.18</v>
      </c>
      <c r="G469" s="18"/>
      <c r="H469" s="18">
        <v>46585.7</v>
      </c>
      <c r="I469" s="18"/>
      <c r="J469" s="18">
        <f>69.5+25.83+405.21+210.96+164.94+66.49+29000</f>
        <v>29942.93</v>
      </c>
      <c r="K469" s="23" t="s">
        <v>288</v>
      </c>
      <c r="L469" s="23" t="s">
        <v>288</v>
      </c>
      <c r="N469" s="130"/>
    </row>
    <row r="470" spans="1:14" ht="12.2" customHeight="1" x14ac:dyDescent="0.2">
      <c r="A470" s="71" t="s">
        <v>611</v>
      </c>
      <c r="B470" s="22">
        <v>19</v>
      </c>
      <c r="C470" s="31">
        <v>3</v>
      </c>
      <c r="D470" s="2" t="s">
        <v>432</v>
      </c>
      <c r="E470" s="31"/>
      <c r="F470" s="18"/>
      <c r="G470" s="18"/>
      <c r="H470" s="18"/>
      <c r="I470" s="18"/>
      <c r="J470" s="18" t="s">
        <v>286</v>
      </c>
      <c r="K470" s="23" t="s">
        <v>288</v>
      </c>
      <c r="L470" s="23" t="s">
        <v>288</v>
      </c>
      <c r="N470" s="130"/>
    </row>
    <row r="471" spans="1:14" ht="12.2" customHeight="1" x14ac:dyDescent="0.2">
      <c r="A471" s="32" t="s">
        <v>425</v>
      </c>
      <c r="B471" s="22">
        <v>19</v>
      </c>
      <c r="C471" s="31">
        <v>4</v>
      </c>
      <c r="D471" s="2" t="s">
        <v>432</v>
      </c>
      <c r="E471" s="31"/>
      <c r="F471" s="19">
        <f>SUM(F469:F470)</f>
        <v>1099064.18</v>
      </c>
      <c r="G471" s="19">
        <f>SUM(G469:G470)</f>
        <v>0</v>
      </c>
      <c r="H471" s="19">
        <f>SUM(H469:H470)</f>
        <v>46585.7</v>
      </c>
      <c r="I471" s="19">
        <f>SUM(I469:I470)</f>
        <v>0</v>
      </c>
      <c r="J471" s="19">
        <f>SUM(J469:J470)</f>
        <v>29942.93</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1171672.23</v>
      </c>
      <c r="G473" s="18"/>
      <c r="H473" s="18">
        <v>46585.7</v>
      </c>
      <c r="I473" s="18"/>
      <c r="J473" s="18">
        <f>34042.4+10156.86</f>
        <v>44199.26</v>
      </c>
      <c r="K473" s="23" t="s">
        <v>288</v>
      </c>
      <c r="L473" s="23" t="s">
        <v>288</v>
      </c>
      <c r="N473" s="130"/>
    </row>
    <row r="474" spans="1:14" ht="12.2" customHeight="1" x14ac:dyDescent="0.2">
      <c r="A474" s="71" t="s">
        <v>613</v>
      </c>
      <c r="B474" s="22">
        <v>19</v>
      </c>
      <c r="C474" s="31">
        <v>6</v>
      </c>
      <c r="D474" s="2" t="s">
        <v>432</v>
      </c>
      <c r="E474" s="31"/>
      <c r="F474" s="18">
        <v>30.37</v>
      </c>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1171702.6000000001</v>
      </c>
      <c r="G475" s="19">
        <f>SUM(G473:G474)</f>
        <v>0</v>
      </c>
      <c r="H475" s="19">
        <f>SUM(H473:H474)</f>
        <v>46585.7</v>
      </c>
      <c r="I475" s="19">
        <f>SUM(I473:I474)</f>
        <v>0</v>
      </c>
      <c r="J475" s="19">
        <f>SUM(J473:J474)</f>
        <v>44199.26</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165453.61999999988</v>
      </c>
      <c r="G477" s="19">
        <f>(G466+G471)- G475</f>
        <v>0</v>
      </c>
      <c r="H477" s="19">
        <f>(H466+H471)- H475</f>
        <v>0</v>
      </c>
      <c r="I477" s="19">
        <f>(I466+I471)- I475</f>
        <v>0</v>
      </c>
      <c r="J477" s="19">
        <f>(J466+J471)- J475</f>
        <v>254377.83999999997</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1841</v>
      </c>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32146.52</v>
      </c>
      <c r="G522" s="18">
        <v>3778.6</v>
      </c>
      <c r="H522" s="18">
        <v>116190.54</v>
      </c>
      <c r="I522" s="18">
        <v>224.26</v>
      </c>
      <c r="J522" s="18"/>
      <c r="K522" s="18"/>
      <c r="L522" s="69">
        <f>SUM(F522:K522)</f>
        <v>152339.92000000001</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32146.52</v>
      </c>
      <c r="G525" s="81">
        <f t="shared" ref="G525:L525" si="36">SUM(G522:G524)</f>
        <v>3778.6</v>
      </c>
      <c r="H525" s="81">
        <f t="shared" si="36"/>
        <v>116190.54</v>
      </c>
      <c r="I525" s="81">
        <f t="shared" si="36"/>
        <v>224.26</v>
      </c>
      <c r="J525" s="81">
        <f t="shared" si="36"/>
        <v>0</v>
      </c>
      <c r="K525" s="81">
        <f t="shared" si="36"/>
        <v>0</v>
      </c>
      <c r="L525" s="70">
        <f t="shared" si="36"/>
        <v>152339.92000000001</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2399.29</v>
      </c>
      <c r="G527" s="18">
        <v>1545.08</v>
      </c>
      <c r="H527" s="18">
        <v>35117.47</v>
      </c>
      <c r="I527" s="18">
        <v>87.9</v>
      </c>
      <c r="J527" s="18"/>
      <c r="K527" s="18"/>
      <c r="L527" s="69">
        <f>SUM(F527:K527)</f>
        <v>39149.740000000005</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2399.29</v>
      </c>
      <c r="G530" s="70">
        <f t="shared" ref="G530:L530" si="37">SUM(G527:G529)</f>
        <v>1545.08</v>
      </c>
      <c r="H530" s="70">
        <f t="shared" si="37"/>
        <v>35117.47</v>
      </c>
      <c r="I530" s="70">
        <f t="shared" si="37"/>
        <v>87.9</v>
      </c>
      <c r="J530" s="70">
        <f t="shared" si="37"/>
        <v>0</v>
      </c>
      <c r="K530" s="70">
        <f t="shared" si="37"/>
        <v>0</v>
      </c>
      <c r="L530" s="70">
        <f t="shared" si="37"/>
        <v>39149.740000000005</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0</v>
      </c>
      <c r="I545" s="140">
        <f t="shared" si="40"/>
        <v>0</v>
      </c>
      <c r="J545" s="140">
        <f t="shared" si="40"/>
        <v>0</v>
      </c>
      <c r="K545" s="140">
        <f t="shared" si="40"/>
        <v>0</v>
      </c>
      <c r="L545" s="140">
        <f t="shared" si="40"/>
        <v>0</v>
      </c>
      <c r="M545" s="8"/>
      <c r="N545" s="164"/>
    </row>
    <row r="546" spans="1:14" s="3" customFormat="1" ht="12.2" customHeight="1" thickTop="1" x14ac:dyDescent="0.15">
      <c r="A546" s="75" t="s">
        <v>72</v>
      </c>
      <c r="B546" s="41">
        <v>21</v>
      </c>
      <c r="C546" s="41">
        <v>21</v>
      </c>
      <c r="D546" s="115" t="s">
        <v>432</v>
      </c>
      <c r="E546" s="41"/>
      <c r="F546" s="70">
        <f>F525+F530+F535+F540+F545</f>
        <v>34545.81</v>
      </c>
      <c r="G546" s="70">
        <f t="shared" ref="G546:L546" si="41">G525+G530+G535+G540+G545</f>
        <v>5323.68</v>
      </c>
      <c r="H546" s="70">
        <f t="shared" si="41"/>
        <v>151308.01</v>
      </c>
      <c r="I546" s="70">
        <f t="shared" si="41"/>
        <v>312.15999999999997</v>
      </c>
      <c r="J546" s="70">
        <f t="shared" si="41"/>
        <v>0</v>
      </c>
      <c r="K546" s="70">
        <f t="shared" si="41"/>
        <v>0</v>
      </c>
      <c r="L546" s="70">
        <f t="shared" si="41"/>
        <v>191489.66000000003</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152339.92000000001</v>
      </c>
      <c r="G550" s="69">
        <f>L527</f>
        <v>39149.740000000005</v>
      </c>
      <c r="H550" s="69">
        <f>L532</f>
        <v>0</v>
      </c>
      <c r="I550" s="69">
        <f>L537</f>
        <v>0</v>
      </c>
      <c r="J550" s="69">
        <f>L542</f>
        <v>0</v>
      </c>
      <c r="K550" s="69">
        <f>SUM(F550:J550)</f>
        <v>191489.66000000003</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152339.92000000001</v>
      </c>
      <c r="G553" s="70">
        <f t="shared" si="42"/>
        <v>39149.740000000005</v>
      </c>
      <c r="H553" s="70">
        <f t="shared" si="42"/>
        <v>0</v>
      </c>
      <c r="I553" s="70">
        <f t="shared" si="42"/>
        <v>0</v>
      </c>
      <c r="J553" s="70">
        <f t="shared" si="42"/>
        <v>0</v>
      </c>
      <c r="K553" s="70">
        <f t="shared" si="42"/>
        <v>191489.66000000003</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106849.92</v>
      </c>
      <c r="G576" s="18">
        <v>152639.57999999999</v>
      </c>
      <c r="H576" s="18">
        <v>317873.03999999998</v>
      </c>
      <c r="I576" s="69">
        <f>SUM(F576:H576)</f>
        <v>577362.54</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v>28070.5</v>
      </c>
      <c r="H580" s="18">
        <v>20820.54</v>
      </c>
      <c r="I580" s="69">
        <f t="shared" si="47"/>
        <v>48891.040000000001</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106849.92</v>
      </c>
      <c r="G589" s="79">
        <f t="shared" ref="G589:I589" si="48">SUM(G576:G588)</f>
        <v>180710.08</v>
      </c>
      <c r="H589" s="79">
        <f t="shared" si="48"/>
        <v>338693.57999999996</v>
      </c>
      <c r="I589" s="79">
        <f t="shared" si="48"/>
        <v>626253.58000000007</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51994</v>
      </c>
      <c r="I592" s="18"/>
      <c r="J592" s="18"/>
      <c r="K592" s="80">
        <f t="shared" ref="K592:K598" si="49">SUM(H592:J592)</f>
        <v>51994</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c r="K593" s="80">
        <f t="shared" si="49"/>
        <v>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1435.38</v>
      </c>
      <c r="I596" s="18"/>
      <c r="J596" s="18"/>
      <c r="K596" s="80">
        <f t="shared" si="49"/>
        <v>1435.38</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627.21</v>
      </c>
      <c r="I598" s="18"/>
      <c r="J598" s="18"/>
      <c r="K598" s="80">
        <f t="shared" si="49"/>
        <v>627.21</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54056.59</v>
      </c>
      <c r="I599" s="81">
        <f>SUM(I592:I598)</f>
        <v>0</v>
      </c>
      <c r="J599" s="81">
        <f>SUM(J592:J598)</f>
        <v>0</v>
      </c>
      <c r="K599" s="81">
        <f>SUM(K592:K598)</f>
        <v>54056.59</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159.32</v>
      </c>
      <c r="I605" s="18"/>
      <c r="J605" s="18"/>
      <c r="K605" s="80">
        <f>SUM(H605:J605)</f>
        <v>159.32</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159.32</v>
      </c>
      <c r="I606" s="81">
        <f>SUM(I603:I605)</f>
        <v>0</v>
      </c>
      <c r="J606" s="81">
        <f>SUM(J603:J605)</f>
        <v>0</v>
      </c>
      <c r="K606" s="81">
        <f>SUM(K603:K605)</f>
        <v>159.32</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f>1423.5</f>
        <v>1423.5</v>
      </c>
      <c r="G612" s="18">
        <f>108.9+279.57</f>
        <v>388.47</v>
      </c>
      <c r="H612" s="18"/>
      <c r="I612" s="18"/>
      <c r="J612" s="18"/>
      <c r="K612" s="18"/>
      <c r="L612" s="69">
        <f>SUM(F612:K612)</f>
        <v>1811.97</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1423.5</v>
      </c>
      <c r="G615" s="81">
        <f t="shared" si="50"/>
        <v>388.47</v>
      </c>
      <c r="H615" s="81">
        <f t="shared" si="50"/>
        <v>0</v>
      </c>
      <c r="I615" s="81">
        <f t="shared" si="50"/>
        <v>0</v>
      </c>
      <c r="J615" s="81">
        <f t="shared" si="50"/>
        <v>0</v>
      </c>
      <c r="K615" s="81">
        <f t="shared" si="50"/>
        <v>0</v>
      </c>
      <c r="L615" s="70">
        <f t="shared" si="50"/>
        <v>1811.97</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166522.79</v>
      </c>
      <c r="H618" s="80">
        <f>SUM(F52)</f>
        <v>166522.79</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872</v>
      </c>
      <c r="J619" s="80">
        <f>G619-H619</f>
        <v>0</v>
      </c>
      <c r="K619" s="80"/>
      <c r="L619" s="80"/>
      <c r="M619" s="8"/>
    </row>
    <row r="620" spans="1:14" s="3" customFormat="1" ht="12.2" customHeight="1" x14ac:dyDescent="0.15">
      <c r="A620" s="74"/>
      <c r="B620" s="22"/>
      <c r="C620" s="22"/>
      <c r="D620" s="22"/>
      <c r="E620" s="22"/>
      <c r="F620" s="87" t="s">
        <v>685</v>
      </c>
      <c r="G620" s="80">
        <f>SUM(H19)</f>
        <v>10403.16</v>
      </c>
      <c r="H620" s="80">
        <f>SUM(H52)</f>
        <v>10403.16</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298577.09999999998</v>
      </c>
      <c r="H622" s="80">
        <f>SUM(J52)</f>
        <v>298577.09999999998</v>
      </c>
      <c r="I622" s="87" t="s">
        <v>875</v>
      </c>
      <c r="J622" s="80">
        <f>G622-H622</f>
        <v>0</v>
      </c>
      <c r="K622" s="80"/>
      <c r="L622" s="80"/>
      <c r="M622" s="8"/>
    </row>
    <row r="623" spans="1:14" s="3" customFormat="1" ht="12.2" customHeight="1" x14ac:dyDescent="0.15">
      <c r="A623" s="74"/>
      <c r="B623" s="22"/>
      <c r="C623" s="22"/>
      <c r="D623" s="22"/>
      <c r="E623" s="22"/>
      <c r="F623" s="87" t="s">
        <v>861</v>
      </c>
      <c r="G623" s="80">
        <f>F51</f>
        <v>165453.62</v>
      </c>
      <c r="H623" s="80">
        <f>F477</f>
        <v>165453.61999999988</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254377.84</v>
      </c>
      <c r="H627" s="80">
        <f>J477</f>
        <v>254377.83999999997</v>
      </c>
      <c r="I627" s="87" t="s">
        <v>105</v>
      </c>
      <c r="J627" s="80">
        <f t="shared" si="51"/>
        <v>0</v>
      </c>
      <c r="K627" s="67"/>
      <c r="L627" s="69"/>
      <c r="M627" s="8"/>
    </row>
    <row r="628" spans="1:13" s="3" customFormat="1" ht="12.2" customHeight="1" x14ac:dyDescent="0.15">
      <c r="A628" s="21"/>
      <c r="B628" s="22"/>
      <c r="C628" s="22"/>
      <c r="D628" s="22"/>
      <c r="E628" s="22"/>
      <c r="F628" s="86" t="s">
        <v>658</v>
      </c>
      <c r="G628" s="80">
        <f>F194</f>
        <v>1099064.18</v>
      </c>
      <c r="H628" s="80">
        <f>SUM(F469)</f>
        <v>1099064.18</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46585.700000000004</v>
      </c>
      <c r="H630" s="80">
        <f>SUM(H469)</f>
        <v>46585.7</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29942.93</v>
      </c>
      <c r="H632" s="80">
        <f>SUM(J469)</f>
        <v>29942.93</v>
      </c>
      <c r="I632" s="87" t="s">
        <v>110</v>
      </c>
      <c r="J632" s="80">
        <f>G632-H632</f>
        <v>0</v>
      </c>
      <c r="K632" s="67"/>
      <c r="L632" s="69"/>
      <c r="M632" s="8"/>
    </row>
    <row r="633" spans="1:13" s="3" customFormat="1" ht="12.2" customHeight="1" x14ac:dyDescent="0.15">
      <c r="A633" s="21"/>
      <c r="B633" s="22"/>
      <c r="C633" s="22"/>
      <c r="D633" s="22"/>
      <c r="E633" s="22"/>
      <c r="F633" s="86" t="s">
        <v>394</v>
      </c>
      <c r="G633" s="80">
        <f>SUM(L272)</f>
        <v>1171672.2299999997</v>
      </c>
      <c r="H633" s="80">
        <f>SUM(F473)</f>
        <v>1171672.23</v>
      </c>
      <c r="I633" s="87" t="s">
        <v>111</v>
      </c>
      <c r="J633" s="80">
        <f t="shared" si="51"/>
        <v>0</v>
      </c>
      <c r="K633" s="67"/>
      <c r="L633" s="69"/>
      <c r="M633" s="8"/>
    </row>
    <row r="634" spans="1:13" s="3" customFormat="1" ht="12.2" customHeight="1" x14ac:dyDescent="0.15">
      <c r="A634" s="21"/>
      <c r="B634" s="22"/>
      <c r="C634" s="22"/>
      <c r="D634" s="22"/>
      <c r="E634" s="22"/>
      <c r="F634" s="86" t="s">
        <v>395</v>
      </c>
      <c r="G634" s="80">
        <f>SUM(L353)</f>
        <v>46585.7</v>
      </c>
      <c r="H634" s="80">
        <f>SUM(H473)</f>
        <v>46585.7</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29942.93</v>
      </c>
      <c r="H638" s="108">
        <f>SUM(J469)</f>
        <v>29942.93</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44199.26</v>
      </c>
      <c r="H639" s="108">
        <f>SUM(J473)</f>
        <v>44199.26</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298577.09999999998</v>
      </c>
      <c r="H641" s="80">
        <f>SUM(G462)</f>
        <v>298577.09999999998</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298577.09999999998</v>
      </c>
      <c r="H643" s="80">
        <f>SUM(I462)</f>
        <v>298577.09999999998</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942.93</v>
      </c>
      <c r="H645" s="80">
        <f>H409</f>
        <v>942.93</v>
      </c>
      <c r="I645" s="87" t="s">
        <v>480</v>
      </c>
      <c r="J645" s="80">
        <f t="shared" si="51"/>
        <v>0</v>
      </c>
      <c r="K645" s="67"/>
      <c r="L645" s="69"/>
      <c r="M645" s="8"/>
    </row>
    <row r="646" spans="1:13" s="3" customFormat="1" ht="12.2" customHeight="1" x14ac:dyDescent="0.15">
      <c r="A646" s="21"/>
      <c r="B646" s="22"/>
      <c r="C646" s="22"/>
      <c r="D646" s="22"/>
      <c r="E646" s="22"/>
      <c r="F646" s="86" t="s">
        <v>664</v>
      </c>
      <c r="G646" s="80">
        <f>J184</f>
        <v>29000</v>
      </c>
      <c r="H646" s="80">
        <f>G409</f>
        <v>29000</v>
      </c>
      <c r="I646" s="87" t="s">
        <v>481</v>
      </c>
      <c r="J646" s="80">
        <f t="shared" si="51"/>
        <v>0</v>
      </c>
      <c r="K646" s="67"/>
      <c r="L646" s="69"/>
      <c r="M646" s="8"/>
    </row>
    <row r="647" spans="1:13" s="3" customFormat="1" ht="12.2" customHeight="1" x14ac:dyDescent="0.15">
      <c r="A647" s="21"/>
      <c r="B647" s="22"/>
      <c r="C647" s="22"/>
      <c r="D647" s="22"/>
      <c r="E647" s="22"/>
      <c r="F647" s="86" t="s">
        <v>662</v>
      </c>
      <c r="G647" s="80">
        <f>J194</f>
        <v>29942.93</v>
      </c>
      <c r="H647" s="80">
        <f>L409</f>
        <v>29942.93</v>
      </c>
      <c r="I647" s="87" t="s">
        <v>477</v>
      </c>
      <c r="J647" s="80">
        <f t="shared" si="51"/>
        <v>0</v>
      </c>
      <c r="K647" s="67"/>
      <c r="L647" s="69"/>
      <c r="M647" s="8"/>
    </row>
    <row r="648" spans="1:13" s="3" customFormat="1" ht="12.2" customHeight="1" x14ac:dyDescent="0.15">
      <c r="A648" s="21"/>
      <c r="B648" s="22"/>
      <c r="C648" s="22"/>
      <c r="D648" s="22"/>
      <c r="E648" s="22"/>
      <c r="F648" s="86" t="s">
        <v>51</v>
      </c>
      <c r="G648" s="80">
        <f>K599</f>
        <v>54056.59</v>
      </c>
      <c r="H648" s="80">
        <f>L209+L227+L245</f>
        <v>54056.59</v>
      </c>
      <c r="I648" s="87" t="s">
        <v>396</v>
      </c>
      <c r="J648" s="80">
        <f t="shared" si="51"/>
        <v>0</v>
      </c>
      <c r="K648" s="67"/>
      <c r="L648" s="69"/>
      <c r="M648" s="8"/>
    </row>
    <row r="649" spans="1:13" s="3" customFormat="1" ht="12.2" customHeight="1" x14ac:dyDescent="0.15">
      <c r="A649" s="21"/>
      <c r="B649" s="22"/>
      <c r="C649" s="22"/>
      <c r="D649" s="22"/>
      <c r="E649" s="22"/>
      <c r="F649" s="86" t="s">
        <v>52</v>
      </c>
      <c r="G649" s="80">
        <f>K606</f>
        <v>159.32</v>
      </c>
      <c r="H649" s="80">
        <f>(J258+J339)-(J256+J337)</f>
        <v>159.32</v>
      </c>
      <c r="I649" s="87" t="s">
        <v>699</v>
      </c>
      <c r="J649" s="80">
        <f t="shared" si="51"/>
        <v>0</v>
      </c>
      <c r="K649" s="67"/>
      <c r="L649" s="69"/>
      <c r="M649" s="8"/>
    </row>
    <row r="650" spans="1:13" s="3" customFormat="1" ht="12.2" customHeight="1" x14ac:dyDescent="0.15">
      <c r="A650" s="21"/>
      <c r="B650" s="22"/>
      <c r="C650" s="22"/>
      <c r="D650" s="22"/>
      <c r="E650" s="22"/>
      <c r="F650" s="86" t="s">
        <v>387</v>
      </c>
      <c r="G650" s="80">
        <f>L209</f>
        <v>54056.59</v>
      </c>
      <c r="H650" s="80">
        <f>H599</f>
        <v>54056.59</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29000</v>
      </c>
      <c r="H656" s="80">
        <f>K267+K348</f>
        <v>29000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626400.00999999989</v>
      </c>
      <c r="G661" s="13">
        <f>(L230+L310+L360)</f>
        <v>182304.96</v>
      </c>
      <c r="H661" s="13">
        <f>(L248+L329+L361)</f>
        <v>340288.47</v>
      </c>
      <c r="I661" s="13">
        <f>SUM(F661:H661)</f>
        <v>1148993.44</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54056.59</v>
      </c>
      <c r="G663" s="13">
        <f>(L227+L307)-(J227+J307)</f>
        <v>0</v>
      </c>
      <c r="H663" s="13">
        <f>(L245+L326)-(J245+J326)</f>
        <v>0</v>
      </c>
      <c r="I663" s="13">
        <f>SUM(F663:H663)</f>
        <v>54056.59</v>
      </c>
      <c r="J663"/>
      <c r="K663" s="13"/>
      <c r="L663" s="13"/>
      <c r="M663" s="9"/>
    </row>
    <row r="664" spans="1:13" s="3" customFormat="1" ht="12.2" customHeight="1" x14ac:dyDescent="0.15">
      <c r="A664" s="141" t="s">
        <v>129</v>
      </c>
      <c r="B664" s="124"/>
      <c r="C664" s="124"/>
      <c r="D664" s="124"/>
      <c r="E664" s="124"/>
      <c r="F664" s="142">
        <f>SUM(F576:F588)+SUM(H603:H605)+SUM(L612)</f>
        <v>108821.21</v>
      </c>
      <c r="G664" s="142">
        <f>SUM(G576:G588)+SUM(I603:I605)+L613</f>
        <v>180710.08</v>
      </c>
      <c r="H664" s="142">
        <f>SUM(H576:H588)+SUM(J603:J605)+L614</f>
        <v>338693.57999999996</v>
      </c>
      <c r="I664" s="13">
        <f>SUM(F664:H664)</f>
        <v>628224.86999999988</v>
      </c>
      <c r="J664" s="13"/>
      <c r="K664" s="13"/>
      <c r="L664" s="13"/>
      <c r="M664" s="9"/>
    </row>
    <row r="665" spans="1:13" s="3" customFormat="1" ht="12.2" customHeight="1" x14ac:dyDescent="0.15">
      <c r="A665" s="1" t="s">
        <v>130</v>
      </c>
      <c r="F665" s="13">
        <f>F661-SUM(F662:F664)</f>
        <v>463522.2099999999</v>
      </c>
      <c r="G665" s="13">
        <f>G661-SUM(G662:G664)</f>
        <v>1594.8800000000047</v>
      </c>
      <c r="H665" s="13">
        <f>H661-SUM(H662:H664)</f>
        <v>1594.890000000014</v>
      </c>
      <c r="I665" s="13">
        <f>I661-SUM(I662:I664)</f>
        <v>466711.9800000001</v>
      </c>
      <c r="J665" s="13"/>
      <c r="K665" s="13"/>
      <c r="L665" s="13"/>
      <c r="M665" s="8"/>
    </row>
    <row r="666" spans="1:13" s="3" customFormat="1" ht="12.2" customHeight="1" x14ac:dyDescent="0.2">
      <c r="A666" s="1" t="s">
        <v>131</v>
      </c>
      <c r="F666" s="182">
        <v>20.55</v>
      </c>
      <c r="G666" s="183"/>
      <c r="H666" s="183"/>
      <c r="I666" s="13">
        <f>SUM(F666:H666)</f>
        <v>20.55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22555.83</v>
      </c>
      <c r="G668" s="13" t="e">
        <f>ROUND(G665/G666,2)</f>
        <v>#DIV/0!</v>
      </c>
      <c r="H668" s="13" t="e">
        <f>ROUND(H665/H666,2)</f>
        <v>#DIV/0!</v>
      </c>
      <c r="I668" s="13">
        <f>ROUND(I665/I666,2)</f>
        <v>22711.05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f t="shared" si="52"/>
        <v>-1594.8800000000047</v>
      </c>
      <c r="H670" s="73">
        <f t="shared" si="52"/>
        <v>-1594.890000000014</v>
      </c>
      <c r="I670" s="13">
        <f>SUM(F670:H670)</f>
        <v>-3189.7700000000186</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22555.83</v>
      </c>
      <c r="G673" s="13" t="e">
        <f>ROUND((G665+G670)/(G666+G671),2)</f>
        <v>#DIV/0!</v>
      </c>
      <c r="H673" s="13" t="e">
        <f>ROUND((H665+H670)/(H666+H671),2)</f>
        <v>#DIV/0!</v>
      </c>
      <c r="I673" s="13">
        <f>ROUND((I665+I670)/(I666+I671),2)</f>
        <v>22555.83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3"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9400.7099999999991</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124.75+1410</f>
        <v>1534.75</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4565.96+3300</f>
        <v>7865.96</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5627.95</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Landaff</v>
      </c>
      <c r="C5" s="321"/>
      <c r="D5" s="321"/>
      <c r="E5" s="321"/>
      <c r="F5" s="321"/>
    </row>
    <row r="8" spans="1:9" ht="18" x14ac:dyDescent="0.25">
      <c r="A8" s="239" t="s">
        <v>1548</v>
      </c>
      <c r="F8" s="246" t="s">
        <v>1566</v>
      </c>
    </row>
    <row r="9" spans="1:9" ht="15" x14ac:dyDescent="0.2">
      <c r="A9" s="237" t="s">
        <v>1549</v>
      </c>
      <c r="B9" s="240">
        <f>'DOE25'!G97</f>
        <v>0</v>
      </c>
      <c r="F9" s="237" t="s">
        <v>1562</v>
      </c>
    </row>
    <row r="10" spans="1:9" ht="15" x14ac:dyDescent="0.2">
      <c r="A10" s="237" t="s">
        <v>1550</v>
      </c>
      <c r="B10" s="240">
        <f>'DOE25'!G112-'DOE25'!G97</f>
        <v>0</v>
      </c>
      <c r="F10" s="237" t="s">
        <v>1563</v>
      </c>
    </row>
    <row r="11" spans="1:9" ht="15" x14ac:dyDescent="0.2">
      <c r="A11" s="237" t="s">
        <v>1551</v>
      </c>
      <c r="B11" s="240">
        <f>'DOE25'!G140</f>
        <v>0</v>
      </c>
      <c r="F11" s="237" t="s">
        <v>1564</v>
      </c>
    </row>
    <row r="12" spans="1:9" ht="15" x14ac:dyDescent="0.2">
      <c r="A12" s="237" t="s">
        <v>1552</v>
      </c>
      <c r="B12" s="240">
        <f>'DOE25'!G170</f>
        <v>0</v>
      </c>
      <c r="F12" s="237" t="s">
        <v>1565</v>
      </c>
    </row>
    <row r="13" spans="1:9" ht="15" x14ac:dyDescent="0.2">
      <c r="A13" s="237" t="s">
        <v>1553</v>
      </c>
      <c r="B13" s="240">
        <f>'DOE25'!G193-'DOE25'!G180</f>
        <v>0</v>
      </c>
      <c r="F13" s="237" t="s">
        <v>1575</v>
      </c>
    </row>
    <row r="14" spans="1:9" ht="18" x14ac:dyDescent="0.25">
      <c r="A14" s="239" t="s">
        <v>732</v>
      </c>
      <c r="B14" s="241">
        <f>SUM(B9:B13)</f>
        <v>0</v>
      </c>
    </row>
    <row r="16" spans="1:9" ht="18" x14ac:dyDescent="0.25">
      <c r="A16" s="239" t="s">
        <v>783</v>
      </c>
      <c r="F16" s="246" t="s">
        <v>1567</v>
      </c>
    </row>
    <row r="17" spans="1:6" ht="15" x14ac:dyDescent="0.2">
      <c r="A17" s="237" t="s">
        <v>1554</v>
      </c>
      <c r="B17" s="240">
        <f>'DOE25'!L363-'DOE25'!L362</f>
        <v>0</v>
      </c>
      <c r="F17" s="237" t="s">
        <v>1568</v>
      </c>
    </row>
    <row r="18" spans="1:6" ht="15" x14ac:dyDescent="0.2">
      <c r="A18" s="237" t="s">
        <v>1555</v>
      </c>
      <c r="B18" s="250">
        <v>0</v>
      </c>
      <c r="F18" s="246" t="s">
        <v>1592</v>
      </c>
    </row>
    <row r="19" spans="1:6" ht="18" x14ac:dyDescent="0.25">
      <c r="A19" s="239" t="s">
        <v>725</v>
      </c>
      <c r="B19" s="241">
        <f>SUM(B17:B18)</f>
        <v>0</v>
      </c>
    </row>
    <row r="21" spans="1:6" ht="18.75" thickBot="1" x14ac:dyDescent="0.3">
      <c r="A21" s="239" t="s">
        <v>1556</v>
      </c>
    </row>
    <row r="22" spans="1:6" ht="18.75" thickTop="1" x14ac:dyDescent="0.25">
      <c r="A22" s="239" t="s">
        <v>1557</v>
      </c>
      <c r="B22" s="245">
        <f>B14-B19</f>
        <v>0</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v>0</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F41" sqref="F41"/>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Landaff</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111264.14</v>
      </c>
      <c r="C9" s="166">
        <f>'DOE25'!G198+'DOE25'!G216+'DOE25'!G234+'DOE25'!G277+'DOE25'!G296+'DOE25'!G315</f>
        <v>31588.18</v>
      </c>
    </row>
    <row r="10" spans="1:3" x14ac:dyDescent="0.2">
      <c r="A10" t="s">
        <v>772</v>
      </c>
      <c r="B10" s="176">
        <f>103068.8-26665.1-5310+1356.84+75</f>
        <v>72525.540000000008</v>
      </c>
      <c r="C10" s="176">
        <v>14391.96</v>
      </c>
    </row>
    <row r="11" spans="1:3" x14ac:dyDescent="0.2">
      <c r="A11" t="s">
        <v>773</v>
      </c>
      <c r="B11" s="176">
        <f>26665.1+1176+5587.5</f>
        <v>33428.6</v>
      </c>
      <c r="C11" s="176">
        <f>7116.95+9673.05</f>
        <v>16790</v>
      </c>
    </row>
    <row r="12" spans="1:3" x14ac:dyDescent="0.2">
      <c r="A12" t="s">
        <v>774</v>
      </c>
      <c r="B12" s="176">
        <v>5310</v>
      </c>
      <c r="C12" s="176">
        <v>406.22</v>
      </c>
    </row>
    <row r="13" spans="1:3" x14ac:dyDescent="0.2">
      <c r="A13" t="str">
        <f>IF(B9=B13,IF(C9=C13,"Check Total OK","Check Total Error"),"Check Total Error")</f>
        <v>Check Total OK</v>
      </c>
      <c r="B13" s="168">
        <f>SUM(B10:B12)</f>
        <v>111264.14000000001</v>
      </c>
      <c r="C13" s="168">
        <f>SUM(C10:C12)</f>
        <v>31588.18</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32146.52</v>
      </c>
      <c r="C18" s="166">
        <f>'DOE25'!G199+'DOE25'!G217+'DOE25'!G235+'DOE25'!G278+'DOE25'!G297+'DOE25'!G316</f>
        <v>3778.6000000000004</v>
      </c>
    </row>
    <row r="19" spans="1:3" x14ac:dyDescent="0.2">
      <c r="A19" t="s">
        <v>772</v>
      </c>
      <c r="B19" s="176">
        <f>3000+3059.16</f>
        <v>6059.16</v>
      </c>
      <c r="C19" s="176">
        <f>69.44+589.2+0.02+834.84</f>
        <v>1493.5</v>
      </c>
    </row>
    <row r="20" spans="1:3" x14ac:dyDescent="0.2">
      <c r="A20" t="s">
        <v>773</v>
      </c>
      <c r="B20" s="176">
        <f>26087.36</f>
        <v>26087.360000000001</v>
      </c>
      <c r="C20" s="176">
        <f>60+1995.6+229.5</f>
        <v>2285.1</v>
      </c>
    </row>
    <row r="21" spans="1:3" x14ac:dyDescent="0.2">
      <c r="A21" t="s">
        <v>774</v>
      </c>
      <c r="B21" s="176"/>
      <c r="C21" s="176"/>
    </row>
    <row r="22" spans="1:3" x14ac:dyDescent="0.2">
      <c r="A22" t="str">
        <f>IF(B18=B22,IF(C18=C22,"Check Total OK","Check Total Error"),"Check Total Error")</f>
        <v>Check Total OK</v>
      </c>
      <c r="B22" s="168">
        <f>SUM(B19:B21)</f>
        <v>32146.52</v>
      </c>
      <c r="C22" s="168">
        <f>SUM(C19:C21)</f>
        <v>3778.6</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1000</v>
      </c>
      <c r="C36" s="172">
        <f>'DOE25'!G201+'DOE25'!G219+'DOE25'!G237+'DOE25'!G280+'DOE25'!G299+'DOE25'!G318</f>
        <v>73.81</v>
      </c>
    </row>
    <row r="37" spans="1:3" x14ac:dyDescent="0.2">
      <c r="A37" t="s">
        <v>772</v>
      </c>
      <c r="B37" s="176">
        <v>1000</v>
      </c>
      <c r="C37" s="176">
        <v>73.81</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1000</v>
      </c>
      <c r="C40" s="168">
        <f>SUM(C37:C39)</f>
        <v>73.81</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C31" sqref="C3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Landaff</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890072.1399999999</v>
      </c>
      <c r="D5" s="19">
        <f>SUM('DOE25'!L198:L201)+SUM('DOE25'!L216:L219)+SUM('DOE25'!L234:L237)-F5-G5-H5</f>
        <v>890072.1399999999</v>
      </c>
      <c r="E5" s="179"/>
      <c r="F5" s="180"/>
      <c r="G5" s="19">
        <f>SUM('DOE25'!J198:J201)+SUM('DOE25'!J216:J219)+SUM('DOE25'!J234:J237)</f>
        <v>0</v>
      </c>
      <c r="H5" s="19">
        <f>SUM('DOE25'!K198:K201)+SUM('DOE25'!K216:K219)+SUM('DOE25'!K234:K237)</f>
        <v>0</v>
      </c>
      <c r="I5" s="191"/>
    </row>
    <row r="6" spans="1:9" x14ac:dyDescent="0.2">
      <c r="A6" s="31">
        <v>2100</v>
      </c>
      <c r="B6" t="s">
        <v>793</v>
      </c>
      <c r="C6" s="205">
        <f t="shared" si="0"/>
        <v>31201.74</v>
      </c>
      <c r="D6" s="19">
        <f>'DOE25'!L203+'DOE25'!L221+'DOE25'!L239-F6-G6-H6</f>
        <v>31201.74</v>
      </c>
      <c r="E6" s="179"/>
      <c r="F6" s="180"/>
      <c r="G6" s="19">
        <f>'DOE25'!J203+'DOE25'!J221+'DOE25'!J239</f>
        <v>0</v>
      </c>
      <c r="H6" s="19">
        <f>'DOE25'!K203+'DOE25'!K221+'DOE25'!K239</f>
        <v>0</v>
      </c>
      <c r="I6" s="191"/>
    </row>
    <row r="7" spans="1:9" x14ac:dyDescent="0.2">
      <c r="A7" s="31">
        <v>2200</v>
      </c>
      <c r="B7" t="s">
        <v>817</v>
      </c>
      <c r="C7" s="205">
        <f t="shared" si="0"/>
        <v>5681</v>
      </c>
      <c r="D7" s="19">
        <f>'DOE25'!L204+'DOE25'!L222+'DOE25'!L240-F7-G7-H7</f>
        <v>5681</v>
      </c>
      <c r="E7" s="179"/>
      <c r="F7" s="180"/>
      <c r="G7" s="19">
        <f>'DOE25'!J204+'DOE25'!J222+'DOE25'!J240</f>
        <v>0</v>
      </c>
      <c r="H7" s="19">
        <f>'DOE25'!K204+'DOE25'!K222+'DOE25'!K240</f>
        <v>0</v>
      </c>
      <c r="I7" s="191"/>
    </row>
    <row r="8" spans="1:9" x14ac:dyDescent="0.2">
      <c r="A8" s="31">
        <v>2300</v>
      </c>
      <c r="B8" t="s">
        <v>794</v>
      </c>
      <c r="C8" s="205">
        <f t="shared" si="0"/>
        <v>26060.999999999996</v>
      </c>
      <c r="D8" s="179"/>
      <c r="E8" s="19">
        <f>'DOE25'!L205+'DOE25'!L223+'DOE25'!L241-F8-G8-H8-D9-D11</f>
        <v>26060.999999999996</v>
      </c>
      <c r="F8" s="180"/>
      <c r="G8" s="19">
        <f>'DOE25'!J205+'DOE25'!J223+'DOE25'!J241</f>
        <v>0</v>
      </c>
      <c r="H8" s="19">
        <f>'DOE25'!K205+'DOE25'!K223+'DOE25'!K241</f>
        <v>0</v>
      </c>
      <c r="I8" s="191"/>
    </row>
    <row r="9" spans="1:9" ht="14.25" x14ac:dyDescent="0.2">
      <c r="A9" s="31">
        <v>2310</v>
      </c>
      <c r="B9" s="71" t="s">
        <v>884</v>
      </c>
      <c r="C9" s="205">
        <f t="shared" si="0"/>
        <v>28905.66</v>
      </c>
      <c r="D9" s="180">
        <v>28905.66</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3872.77</v>
      </c>
      <c r="D12" s="19">
        <f>'DOE25'!L206+'DOE25'!L224+'DOE25'!L242-F12-G12-H12</f>
        <v>3872.77</v>
      </c>
      <c r="E12" s="179"/>
      <c r="F12" s="180"/>
      <c r="G12" s="19">
        <f>'DOE25'!J206+'DOE25'!J224+'DOE25'!J242</f>
        <v>0</v>
      </c>
      <c r="H12" s="19">
        <f>'DOE25'!K206+'DOE25'!K224+'DOE25'!K242</f>
        <v>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62556.840000000004</v>
      </c>
      <c r="D14" s="19">
        <f>'DOE25'!L208+'DOE25'!L226+'DOE25'!L244-F14-G14-H14</f>
        <v>62397.520000000004</v>
      </c>
      <c r="E14" s="179"/>
      <c r="F14" s="180"/>
      <c r="G14" s="19">
        <f>'DOE25'!J208+'DOE25'!J226+'DOE25'!J244</f>
        <v>159.32</v>
      </c>
      <c r="H14" s="19">
        <f>'DOE25'!K208+'DOE25'!K226+'DOE25'!K244</f>
        <v>0</v>
      </c>
      <c r="I14" s="191"/>
    </row>
    <row r="15" spans="1:9" x14ac:dyDescent="0.2">
      <c r="A15" s="31">
        <v>2700</v>
      </c>
      <c r="B15" t="s">
        <v>796</v>
      </c>
      <c r="C15" s="205">
        <f t="shared" si="0"/>
        <v>54056.59</v>
      </c>
      <c r="D15" s="19">
        <f>'DOE25'!L209+'DOE25'!L227+'DOE25'!L245-F15-G15-H15</f>
        <v>24999.999999999996</v>
      </c>
      <c r="E15" s="179"/>
      <c r="F15" s="180">
        <v>29056.59</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40264.49</v>
      </c>
      <c r="D19" s="19">
        <f>'DOE25'!L254-F19-G19-H19</f>
        <v>40264.49</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0</v>
      </c>
      <c r="D29" s="211">
        <f>'DOE25'!L359+'DOE25'!L360+'DOE25'!L361-'DOE25'!I368-F29-G29-H29-F39</f>
        <v>0</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46585.7</v>
      </c>
      <c r="D31" s="19">
        <f>'DOE25'!L291+'DOE25'!L310+'DOE25'!L329+'DOE25'!L334+'DOE25'!L335+'DOE25'!L336-F31-G31-H31</f>
        <v>45737.17</v>
      </c>
      <c r="E31" s="179"/>
      <c r="F31" s="180"/>
      <c r="G31" s="19">
        <f>'DOE25'!J291+'DOE25'!J310+'DOE25'!J329+'DOE25'!J334+'DOE25'!J335+'DOE25'!J336</f>
        <v>0</v>
      </c>
      <c r="H31" s="19">
        <f>'DOE25'!K291+'DOE25'!K310+'DOE25'!K329+'DOE25'!K334+'DOE25'!K335+'DOE25'!K336</f>
        <v>848.53</v>
      </c>
      <c r="I31" s="191"/>
    </row>
    <row r="32" spans="1:9" ht="12" thickBot="1" x14ac:dyDescent="0.25">
      <c r="C32" s="206"/>
      <c r="G32" s="187"/>
      <c r="H32" s="187"/>
      <c r="I32" s="193"/>
    </row>
    <row r="33" spans="1:9" ht="12" thickTop="1" x14ac:dyDescent="0.2">
      <c r="B33" t="s">
        <v>806</v>
      </c>
      <c r="D33" s="181">
        <f t="shared" ref="D33:I33" si="1">SUM(D5:D31)</f>
        <v>1133132.49</v>
      </c>
      <c r="E33" s="181">
        <f t="shared" si="1"/>
        <v>26060.999999999996</v>
      </c>
      <c r="F33" s="181">
        <f t="shared" si="1"/>
        <v>29056.59</v>
      </c>
      <c r="G33" s="181">
        <f t="shared" si="1"/>
        <v>159.32</v>
      </c>
      <c r="H33" s="181">
        <f t="shared" si="1"/>
        <v>848.53</v>
      </c>
      <c r="I33" s="181">
        <f t="shared" si="1"/>
        <v>0</v>
      </c>
    </row>
    <row r="34" spans="1:9" ht="12" thickBot="1" x14ac:dyDescent="0.25"/>
    <row r="35" spans="1:9" ht="12" thickBot="1" x14ac:dyDescent="0.25">
      <c r="B35" s="187" t="s">
        <v>827</v>
      </c>
      <c r="D35" s="188">
        <f>E33</f>
        <v>26060.999999999996</v>
      </c>
      <c r="E35" s="184"/>
      <c r="F35" s="294" t="s">
        <v>1596</v>
      </c>
      <c r="G35" s="295"/>
      <c r="H35" s="295"/>
      <c r="I35" s="296"/>
    </row>
    <row r="36" spans="1:9" ht="12" thickTop="1" x14ac:dyDescent="0.2">
      <c r="B36" t="s">
        <v>807</v>
      </c>
      <c r="D36" s="19">
        <f>D33</f>
        <v>1133132.49</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0</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23" zoomScale="90" zoomScaleNormal="90" workbookViewId="0">
      <selection activeCell="A49" sqref="A49"/>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Landaff</v>
      </c>
      <c r="B2">
        <f>'DOE25'!B2</f>
        <v>291</v>
      </c>
      <c r="J2" s="223" t="s">
        <v>1799</v>
      </c>
      <c r="K2" s="308">
        <f>SUM('DOE25'!L198:L201)+SUM('DOE25'!L277:L280)</f>
        <v>398045.79</v>
      </c>
      <c r="L2" s="308">
        <f>'DOE25'!L203+'DOE25'!L282</f>
        <v>40669.97</v>
      </c>
      <c r="M2" s="308">
        <f>'DOE25'!L204+'DOE25'!L283</f>
        <v>6082.86</v>
      </c>
      <c r="N2" s="308">
        <f>'DOE25'!L206+'DOE25'!L285</f>
        <v>3872.77</v>
      </c>
      <c r="O2" s="316">
        <f>'Salaries-Benefits'!B10+'Salaries-Benefits'!B12+'Salaries-Benefits'!B19+'Salaries-Benefits'!B21+'Salaries-Benefits'!B28+'Salaries-Benefits'!B30+'Salaries-Benefits'!B37+'Salaries-Benefits'!B39</f>
        <v>84894.700000000012</v>
      </c>
      <c r="P2" s="316">
        <f>'Salaries-Benefits'!B11+'Salaries-Benefits'!B20+'Salaries-Benefits'!B29+'Salaries-Benefits'!B38</f>
        <v>59515.96</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626400.01</v>
      </c>
      <c r="G4" s="228">
        <f>'DOE25'!L212+'DOE25'!L291</f>
        <v>626400.00999999989</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106849.92</v>
      </c>
      <c r="E5" s="219"/>
      <c r="F5" s="231">
        <f>D5+E5</f>
        <v>106849.92</v>
      </c>
      <c r="G5" s="222"/>
      <c r="H5" s="222"/>
      <c r="J5" s="71" t="s">
        <v>1840</v>
      </c>
      <c r="K5" s="20">
        <f>106849.92</f>
        <v>106849.92</v>
      </c>
      <c r="L5" s="20"/>
      <c r="M5" s="20"/>
      <c r="N5" s="20"/>
      <c r="O5" s="20"/>
      <c r="P5" s="20"/>
      <c r="Q5" s="20"/>
    </row>
    <row r="6" spans="1:22" x14ac:dyDescent="0.2">
      <c r="A6" t="str" cm="1">
        <f t="array" ref="A6">IFERROR(INDEX('School Tables'!$A$4:$G$365,'School Tables'!$J4,3),"")</f>
        <v>Landaff Blue School</v>
      </c>
      <c r="B6" s="229">
        <f>IFERROR(VLOOKUP(A6,'School Tables'!$C$3:$D$365,2,FALSE),"")</f>
        <v>21410</v>
      </c>
      <c r="C6" s="222" t="str">
        <f>IFERROR(INDEX('School Tables'!$B$3:$B$365,MATCH('School Level Expenditures'!B6,'School Tables'!$D$3:$D$365,0)),"")</f>
        <v>Landaff</v>
      </c>
      <c r="D6" s="219">
        <f>626400.01-106849.92-46585.7</f>
        <v>472964.39</v>
      </c>
      <c r="E6" s="219">
        <v>46585.7</v>
      </c>
      <c r="F6" s="231">
        <f t="shared" ref="F6:F20" si="2">D6+E6</f>
        <v>519550.09</v>
      </c>
      <c r="G6" s="222"/>
      <c r="H6" s="222"/>
      <c r="J6" t="str">
        <f t="shared" ref="J6:J20" si="3">A6</f>
        <v>Landaff Blue School</v>
      </c>
      <c r="K6" s="20">
        <f>398045.79-106849.92</f>
        <v>291195.87</v>
      </c>
      <c r="L6" s="20">
        <v>40669.97</v>
      </c>
      <c r="M6" s="307">
        <v>6082.86</v>
      </c>
      <c r="N6" s="20">
        <v>3872.77</v>
      </c>
      <c r="O6" s="20">
        <v>84894.7</v>
      </c>
      <c r="P6" s="20">
        <v>59515.96</v>
      </c>
      <c r="Q6" s="20">
        <v>10463.870000000001</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579814.31000000006</v>
      </c>
      <c r="E21" s="261">
        <f>SUM(E5:E20)</f>
        <v>46585.7</v>
      </c>
      <c r="F21" s="216"/>
      <c r="G21" s="216"/>
      <c r="H21" s="216"/>
      <c r="K21" s="262">
        <f t="shared" ref="K21:Q21" si="4">SUM(K5:K20)</f>
        <v>398045.79</v>
      </c>
      <c r="L21" s="262">
        <f t="shared" si="4"/>
        <v>40669.97</v>
      </c>
      <c r="M21" s="262">
        <f t="shared" si="4"/>
        <v>6082.86</v>
      </c>
      <c r="N21" s="262">
        <f t="shared" si="4"/>
        <v>3872.77</v>
      </c>
      <c r="O21" s="262">
        <f t="shared" si="4"/>
        <v>84894.7</v>
      </c>
      <c r="P21" s="262">
        <f t="shared" si="4"/>
        <v>59515.96</v>
      </c>
      <c r="Q21" s="262">
        <f t="shared" si="4"/>
        <v>10463.870000000001</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180710.08</v>
      </c>
      <c r="L23" s="19">
        <f>'DOE25'!L221+'DOE25'!L301</f>
        <v>1594.88</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182304.96</v>
      </c>
      <c r="G25" s="228">
        <f>'DOE25'!L230+'DOE25'!L310</f>
        <v>182304.96</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182304.96</v>
      </c>
      <c r="E26" s="219"/>
      <c r="F26" s="231">
        <f>D26+E26</f>
        <v>182304.96</v>
      </c>
      <c r="G26" s="222"/>
      <c r="H26" s="222"/>
      <c r="J26" s="71" t="s">
        <v>1840</v>
      </c>
      <c r="K26" s="315">
        <v>180710.08</v>
      </c>
      <c r="L26" s="315">
        <v>1594.88</v>
      </c>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182304.96</v>
      </c>
      <c r="E34" s="261">
        <f>SUM(E26:E33)</f>
        <v>0</v>
      </c>
      <c r="F34" s="216"/>
      <c r="G34" s="216"/>
      <c r="H34" s="216"/>
      <c r="K34" s="262">
        <f t="shared" ref="K34:Q34" si="8">SUM(K26:K33)</f>
        <v>180710.08</v>
      </c>
      <c r="L34" s="262">
        <f t="shared" si="8"/>
        <v>1594.88</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338693.57999999996</v>
      </c>
      <c r="L36" s="19">
        <f>'DOE25'!L239+'DOE25'!L320</f>
        <v>1594.89</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340288.47</v>
      </c>
      <c r="G38" s="228">
        <f>'DOE25'!L248+'DOE25'!L329</f>
        <v>340288.47</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340288.47</v>
      </c>
      <c r="E39" s="219"/>
      <c r="F39" s="231">
        <f t="shared" ref="F39:F44" si="10">D39+E39</f>
        <v>340288.47</v>
      </c>
      <c r="G39" s="222"/>
      <c r="H39" s="222"/>
      <c r="J39" s="71" t="s">
        <v>1840</v>
      </c>
      <c r="K39" s="315">
        <v>338693.58</v>
      </c>
      <c r="L39" s="315">
        <v>1594.89</v>
      </c>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340288.47</v>
      </c>
      <c r="E45" s="262">
        <f>SUM(E39:E44)</f>
        <v>0</v>
      </c>
      <c r="K45" s="262">
        <f t="shared" ref="K45:Q45" si="11">SUM(K39:K44)</f>
        <v>338693.58</v>
      </c>
      <c r="L45" s="262">
        <f t="shared" si="11"/>
        <v>1594.89</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rintOptions gridLines="1"/>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Landaff</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118335.49</v>
      </c>
      <c r="D8" s="73">
        <f>'DOE25'!G9</f>
        <v>0</v>
      </c>
      <c r="E8" s="73">
        <f>'DOE25'!H9</f>
        <v>0</v>
      </c>
      <c r="F8" s="73">
        <f>'DOE25'!I9</f>
        <v>0</v>
      </c>
      <c r="G8" s="73">
        <f>'DOE25'!J9</f>
        <v>0</v>
      </c>
      <c r="H8" s="13">
        <f>SUM(C8:G8)</f>
        <v>118335.49</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47270.880000000005</v>
      </c>
      <c r="D11" s="73">
        <f>'DOE25'!G12</f>
        <v>0</v>
      </c>
      <c r="E11" s="73">
        <f>'DOE25'!H12</f>
        <v>3666.77</v>
      </c>
      <c r="F11" s="73">
        <f>'DOE25'!I12</f>
        <v>0</v>
      </c>
      <c r="G11" s="73">
        <f>'DOE25'!J12</f>
        <v>0</v>
      </c>
      <c r="H11" s="13">
        <f t="shared" si="0"/>
        <v>50937.65</v>
      </c>
      <c r="I11" s="90"/>
    </row>
    <row r="12" spans="1:9" x14ac:dyDescent="0.2">
      <c r="A12" s="1" t="s">
        <v>143</v>
      </c>
      <c r="B12" s="6">
        <v>140</v>
      </c>
      <c r="C12" s="73">
        <f>'DOE25'!F13</f>
        <v>0</v>
      </c>
      <c r="D12" s="73">
        <f>'DOE25'!G13</f>
        <v>0</v>
      </c>
      <c r="E12" s="73">
        <f>'DOE25'!H13</f>
        <v>6736.39</v>
      </c>
      <c r="F12" s="73">
        <f>'DOE25'!I13</f>
        <v>0</v>
      </c>
      <c r="G12" s="73">
        <f>'DOE25'!J13</f>
        <v>298577.09999999998</v>
      </c>
      <c r="H12" s="13">
        <f t="shared" si="0"/>
        <v>305313.49</v>
      </c>
      <c r="I12" s="90"/>
    </row>
    <row r="13" spans="1:9" x14ac:dyDescent="0.2">
      <c r="A13" s="1" t="s">
        <v>144</v>
      </c>
      <c r="B13" s="6">
        <v>150</v>
      </c>
      <c r="C13" s="73">
        <f>'DOE25'!F14</f>
        <v>916.42</v>
      </c>
      <c r="D13" s="73">
        <f>'DOE25'!G14</f>
        <v>0</v>
      </c>
      <c r="E13" s="73">
        <f>'DOE25'!H14</f>
        <v>0</v>
      </c>
      <c r="F13" s="73">
        <f>'DOE25'!I14</f>
        <v>0</v>
      </c>
      <c r="G13" s="73">
        <f>'DOE25'!J14</f>
        <v>0</v>
      </c>
      <c r="H13" s="13">
        <f t="shared" si="0"/>
        <v>916.42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166522.79</v>
      </c>
      <c r="D18" s="38">
        <f>SUM(D8:D17)</f>
        <v>0</v>
      </c>
      <c r="E18" s="38">
        <f>SUM(E8:E17)</f>
        <v>10403.16</v>
      </c>
      <c r="F18" s="38">
        <f>SUM(F8:F17)</f>
        <v>0</v>
      </c>
      <c r="G18" s="38">
        <f>SUM(G8:G17)</f>
        <v>298577.09999999998</v>
      </c>
      <c r="H18" s="38">
        <f t="shared" si="0"/>
        <v>475503.05</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6736.39</v>
      </c>
      <c r="F21" s="73">
        <f>'DOE25'!I22</f>
        <v>0</v>
      </c>
      <c r="G21" s="73">
        <f>'DOE25'!J22</f>
        <v>44199.26</v>
      </c>
      <c r="H21" s="13">
        <f t="shared" ref="H21:H31" si="1">SUM(C21:G21)</f>
        <v>50935.65</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1069.17</v>
      </c>
      <c r="D23" s="73">
        <f>'DOE25'!G24</f>
        <v>0</v>
      </c>
      <c r="E23" s="73">
        <f>'DOE25'!H24</f>
        <v>0</v>
      </c>
      <c r="F23" s="73">
        <f>'DOE25'!I24</f>
        <v>0</v>
      </c>
      <c r="G23" s="73">
        <f>'DOE25'!J24</f>
        <v>0</v>
      </c>
      <c r="H23" s="13">
        <f t="shared" si="1"/>
        <v>1069.17</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3666.77</v>
      </c>
      <c r="F29" s="73">
        <f>'DOE25'!I30</f>
        <v>0</v>
      </c>
      <c r="G29" s="23" t="s">
        <v>288</v>
      </c>
      <c r="H29" s="13">
        <f t="shared" si="1"/>
        <v>3666.77</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1069.17</v>
      </c>
      <c r="D31" s="38">
        <f>SUM(D21:D30)</f>
        <v>0</v>
      </c>
      <c r="E31" s="38">
        <f>SUM(E21:E30)</f>
        <v>10403.16</v>
      </c>
      <c r="F31" s="38">
        <f>SUM(F21:F30)</f>
        <v>0</v>
      </c>
      <c r="G31" s="38">
        <f>SUM(G21:G30)</f>
        <v>44199.26</v>
      </c>
      <c r="H31" s="38">
        <f t="shared" si="1"/>
        <v>55671.590000000004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254377.84</v>
      </c>
      <c r="H42" s="13">
        <f t="shared" si="2"/>
        <v>254377.84</v>
      </c>
      <c r="I42" s="90"/>
    </row>
    <row r="43" spans="1:9" x14ac:dyDescent="0.2">
      <c r="A43" s="1" t="s">
        <v>859</v>
      </c>
      <c r="B43" s="6">
        <v>755</v>
      </c>
      <c r="C43" s="73">
        <f>'DOE25'!F44</f>
        <v>95000</v>
      </c>
      <c r="D43" s="73">
        <f>'DOE25'!G44</f>
        <v>0</v>
      </c>
      <c r="E43" s="73">
        <f>'DOE25'!H44</f>
        <v>0</v>
      </c>
      <c r="F43" s="73">
        <f>'DOE25'!I44</f>
        <v>0</v>
      </c>
      <c r="G43" s="23" t="s">
        <v>288</v>
      </c>
      <c r="H43" s="13">
        <f t="shared" si="2"/>
        <v>95000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0</v>
      </c>
      <c r="H47" s="13">
        <f t="shared" si="2"/>
        <v>0</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70453.62</v>
      </c>
      <c r="D49" s="23" t="s">
        <v>288</v>
      </c>
      <c r="E49" s="23" t="s">
        <v>288</v>
      </c>
      <c r="F49" s="23" t="s">
        <v>288</v>
      </c>
      <c r="G49" s="23" t="s">
        <v>288</v>
      </c>
      <c r="H49" s="13">
        <f t="shared" si="2"/>
        <v>70453.62</v>
      </c>
      <c r="I49" s="90"/>
    </row>
    <row r="50" spans="1:9" ht="12.75" thickTop="1" thickBot="1" x14ac:dyDescent="0.25">
      <c r="A50" s="35" t="s">
        <v>880</v>
      </c>
      <c r="B50" s="44"/>
      <c r="C50" s="38">
        <f>SUM(C34:C49)</f>
        <v>165453.62</v>
      </c>
      <c r="D50" s="38">
        <f>SUM(D34:D49)</f>
        <v>0</v>
      </c>
      <c r="E50" s="38">
        <f>SUM(E34:E49)</f>
        <v>0</v>
      </c>
      <c r="F50" s="38">
        <f>SUM(F34:F49)</f>
        <v>0</v>
      </c>
      <c r="G50" s="38">
        <f>SUM(G34:G49)</f>
        <v>254377.84</v>
      </c>
      <c r="H50" s="38">
        <f t="shared" si="2"/>
        <v>419831.45999999996</v>
      </c>
      <c r="I50" s="90"/>
    </row>
    <row r="51" spans="1:9" ht="12" thickTop="1" x14ac:dyDescent="0.2">
      <c r="A51" s="35" t="s">
        <v>881</v>
      </c>
      <c r="B51" s="2"/>
      <c r="C51" s="38">
        <f>C50+C31</f>
        <v>166522.79</v>
      </c>
      <c r="D51" s="38">
        <f>D50+D31</f>
        <v>0</v>
      </c>
      <c r="E51" s="38">
        <f>E50+E31</f>
        <v>10403.16</v>
      </c>
      <c r="F51" s="38">
        <f>F50+F31</f>
        <v>0</v>
      </c>
      <c r="G51" s="38">
        <f>G50+G31</f>
        <v>298577.09999999998</v>
      </c>
      <c r="H51" s="38">
        <f t="shared" si="2"/>
        <v>475503.05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781810</v>
      </c>
      <c r="D56" s="73">
        <f>'DOE25'!G60</f>
        <v>0</v>
      </c>
      <c r="E56" s="73">
        <f>'DOE25'!H60</f>
        <v>0</v>
      </c>
      <c r="F56" s="73">
        <f>'DOE25'!I60</f>
        <v>0</v>
      </c>
      <c r="G56" s="73">
        <f>'DOE25'!J60</f>
        <v>0</v>
      </c>
      <c r="H56" s="13">
        <f t="shared" ref="H56:H63" si="3">SUM(C56:G56)</f>
        <v>781810</v>
      </c>
      <c r="I56"/>
    </row>
    <row r="57" spans="1:9" x14ac:dyDescent="0.2">
      <c r="A57" s="1" t="s">
        <v>164</v>
      </c>
      <c r="B57" s="6" t="s">
        <v>165</v>
      </c>
      <c r="C57" s="73">
        <f>'DOE25'!F79</f>
        <v>34004.699999999997</v>
      </c>
      <c r="D57" s="23" t="s">
        <v>288</v>
      </c>
      <c r="E57" s="73">
        <f>'DOE25'!H79</f>
        <v>0</v>
      </c>
      <c r="F57" s="23" t="s">
        <v>288</v>
      </c>
      <c r="G57" s="23" t="s">
        <v>288</v>
      </c>
      <c r="H57" s="13">
        <f t="shared" si="3"/>
        <v>34004.699999999997</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125.03</v>
      </c>
      <c r="D59" s="73">
        <f>'DOE25'!G96</f>
        <v>0</v>
      </c>
      <c r="E59" s="73">
        <f>'DOE25'!H96</f>
        <v>0</v>
      </c>
      <c r="F59" s="73">
        <f>'DOE25'!I96</f>
        <v>0</v>
      </c>
      <c r="G59" s="73">
        <f>'DOE25'!J96</f>
        <v>942.93</v>
      </c>
      <c r="H59" s="13">
        <f t="shared" si="3"/>
        <v>1067.96</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4517.84</v>
      </c>
      <c r="D61" s="73">
        <f>SUM('DOE25'!G98:G110)</f>
        <v>0</v>
      </c>
      <c r="E61" s="73">
        <f>SUM('DOE25'!H98:H110)</f>
        <v>123.88</v>
      </c>
      <c r="F61" s="73">
        <f>SUM('DOE25'!I98:I110)</f>
        <v>0</v>
      </c>
      <c r="G61" s="73">
        <f>SUM('DOE25'!J98:J110)</f>
        <v>0</v>
      </c>
      <c r="H61" s="13">
        <f t="shared" si="3"/>
        <v>4641.72</v>
      </c>
      <c r="I61"/>
    </row>
    <row r="62" spans="1:9" ht="12.75" thickTop="1" thickBot="1" x14ac:dyDescent="0.25">
      <c r="A62" s="28" t="s">
        <v>174</v>
      </c>
      <c r="B62" s="6"/>
      <c r="C62" s="93">
        <f>SUM(C57:C61)</f>
        <v>38647.569999999992</v>
      </c>
      <c r="D62" s="93">
        <f>SUM(D57:D61)</f>
        <v>0</v>
      </c>
      <c r="E62" s="93">
        <f>SUM(E57:E61)</f>
        <v>123.88</v>
      </c>
      <c r="F62" s="93">
        <f>SUM(F57:F61)</f>
        <v>0</v>
      </c>
      <c r="G62" s="93">
        <f>SUM(G57:G61)</f>
        <v>942.93</v>
      </c>
      <c r="H62" s="13">
        <f t="shared" si="3"/>
        <v>39714.37999999999</v>
      </c>
      <c r="I62"/>
    </row>
    <row r="63" spans="1:9" ht="12" thickTop="1" x14ac:dyDescent="0.2">
      <c r="A63" s="28" t="s">
        <v>175</v>
      </c>
      <c r="B63" s="6"/>
      <c r="C63" s="21">
        <f>C56+C62</f>
        <v>820457.57</v>
      </c>
      <c r="D63" s="21">
        <f>D56+D62</f>
        <v>0</v>
      </c>
      <c r="E63" s="21">
        <f>E56+E62</f>
        <v>123.88</v>
      </c>
      <c r="F63" s="21">
        <f>F56+F62</f>
        <v>0</v>
      </c>
      <c r="G63" s="21">
        <f>G56+G62</f>
        <v>942.93</v>
      </c>
      <c r="H63" s="13">
        <f t="shared" si="3"/>
        <v>821524.38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140476.24</v>
      </c>
      <c r="D66" s="23" t="s">
        <v>288</v>
      </c>
      <c r="E66" s="23" t="s">
        <v>288</v>
      </c>
      <c r="F66" s="23" t="s">
        <v>288</v>
      </c>
      <c r="G66" s="23" t="s">
        <v>288</v>
      </c>
      <c r="H66" s="13">
        <f t="shared" ref="H66:H81" si="4">SUM(C66:G66)</f>
        <v>140476.24</v>
      </c>
      <c r="I66"/>
    </row>
    <row r="67" spans="1:9" x14ac:dyDescent="0.2">
      <c r="A67" s="1" t="s">
        <v>767</v>
      </c>
      <c r="B67" s="6">
        <v>3112</v>
      </c>
      <c r="C67" s="73">
        <f>'DOE25'!F118</f>
        <v>85553</v>
      </c>
      <c r="D67" s="23"/>
      <c r="E67" s="23"/>
      <c r="F67" s="23"/>
      <c r="G67" s="23"/>
      <c r="H67" s="13">
        <f t="shared" si="4"/>
        <v>85553</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t="str">
        <f>'DOE25'!F120</f>
        <v xml:space="preserve"> </v>
      </c>
      <c r="D69" s="73">
        <f>'DOE25'!G120</f>
        <v>0</v>
      </c>
      <c r="E69" s="73">
        <f>'DOE25'!H120</f>
        <v>1073.81</v>
      </c>
      <c r="F69" s="73">
        <f>'DOE25'!I120</f>
        <v>0</v>
      </c>
      <c r="G69" s="73">
        <f>'DOE25'!J120</f>
        <v>0</v>
      </c>
      <c r="H69" s="13">
        <f t="shared" si="4"/>
        <v>1073.81</v>
      </c>
      <c r="I69"/>
    </row>
    <row r="70" spans="1:9" ht="12" thickTop="1" x14ac:dyDescent="0.2">
      <c r="A70" s="28" t="s">
        <v>252</v>
      </c>
      <c r="B70" s="2"/>
      <c r="C70" s="97">
        <f>SUM(C66:C69)</f>
        <v>226029.24</v>
      </c>
      <c r="D70" s="97">
        <f>D69</f>
        <v>0</v>
      </c>
      <c r="E70" s="97">
        <f>E69</f>
        <v>1073.81</v>
      </c>
      <c r="F70" s="97">
        <f>F69</f>
        <v>0</v>
      </c>
      <c r="G70" s="97">
        <f>G69</f>
        <v>0</v>
      </c>
      <c r="H70" s="13">
        <f t="shared" si="4"/>
        <v>227103.05</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226029.24</v>
      </c>
      <c r="D81" s="93">
        <f>SUM(D79:D80)+D78+D70</f>
        <v>0</v>
      </c>
      <c r="E81" s="93">
        <f>SUM(E79:E80)+E78+E70</f>
        <v>1073.81</v>
      </c>
      <c r="F81" s="93">
        <f>SUM(F79:F80)+F78+F70</f>
        <v>0</v>
      </c>
      <c r="G81" s="93">
        <f>SUM(G79:G80)+G78+G70</f>
        <v>0</v>
      </c>
      <c r="H81" s="93">
        <f t="shared" si="4"/>
        <v>227103.05</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5627.95</v>
      </c>
      <c r="F87" s="73">
        <f>SUM('DOE25'!I149:I152)</f>
        <v>0</v>
      </c>
      <c r="G87" s="23" t="s">
        <v>288</v>
      </c>
      <c r="H87" s="13">
        <f t="shared" si="5"/>
        <v>5627.95</v>
      </c>
    </row>
    <row r="88" spans="1:9" x14ac:dyDescent="0.2">
      <c r="A88" s="216" t="s">
        <v>744</v>
      </c>
      <c r="B88" s="230" t="s">
        <v>184</v>
      </c>
      <c r="C88" s="252">
        <f>SUM('DOE25'!F153:F162)</f>
        <v>5948.21</v>
      </c>
      <c r="D88" s="252">
        <f>SUM('DOE25'!G153:G162)</f>
        <v>0</v>
      </c>
      <c r="E88" s="252">
        <f>SUM('DOE25'!H153:H162)</f>
        <v>39760.06</v>
      </c>
      <c r="F88" s="252">
        <f>SUM('DOE25'!I153:I162)</f>
        <v>0</v>
      </c>
      <c r="G88" s="23" t="s">
        <v>288</v>
      </c>
      <c r="H88" s="13">
        <f t="shared" si="5"/>
        <v>45708.27</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2429.9</v>
      </c>
      <c r="D90" s="23" t="s">
        <v>288</v>
      </c>
      <c r="E90" s="23" t="s">
        <v>288</v>
      </c>
      <c r="F90" s="23" t="s">
        <v>288</v>
      </c>
      <c r="G90" s="23" t="s">
        <v>288</v>
      </c>
      <c r="H90" s="13">
        <f t="shared" si="5"/>
        <v>2429.9</v>
      </c>
    </row>
    <row r="91" spans="1:9" ht="12.75" thickTop="1" thickBot="1" x14ac:dyDescent="0.25">
      <c r="A91" s="32" t="s">
        <v>747</v>
      </c>
      <c r="C91" s="94">
        <f>SUM(C85:C90)</f>
        <v>8378.11</v>
      </c>
      <c r="D91" s="94">
        <f>SUM(D85:D90)</f>
        <v>0</v>
      </c>
      <c r="E91" s="94">
        <f>SUM(E85:E90)</f>
        <v>45388.009999999995</v>
      </c>
      <c r="F91" s="94">
        <f>SUM(F85:F90)</f>
        <v>0</v>
      </c>
      <c r="G91" s="23" t="s">
        <v>288</v>
      </c>
      <c r="H91" s="13">
        <f t="shared" si="5"/>
        <v>53766.119999999995</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29000</v>
      </c>
      <c r="H96" s="13">
        <f t="shared" si="5"/>
        <v>29000</v>
      </c>
    </row>
    <row r="97" spans="1:8" x14ac:dyDescent="0.2">
      <c r="A97" t="s">
        <v>751</v>
      </c>
      <c r="B97" s="31" t="s">
        <v>188</v>
      </c>
      <c r="C97" s="73">
        <f>SUM('DOE25'!F181:F182)</f>
        <v>44199.26</v>
      </c>
      <c r="D97" s="73">
        <f>SUM('DOE25'!G181:G182)</f>
        <v>0</v>
      </c>
      <c r="E97" s="73">
        <f>SUM('DOE25'!H181:H182)</f>
        <v>0</v>
      </c>
      <c r="F97" s="73">
        <f>SUM('DOE25'!I181:I182)</f>
        <v>0</v>
      </c>
      <c r="G97" s="73">
        <f>SUM('DOE25'!J181:J182)</f>
        <v>0</v>
      </c>
      <c r="H97" s="13">
        <f t="shared" si="5"/>
        <v>44199.26</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44199.26</v>
      </c>
      <c r="D103" s="68">
        <f>SUM(D93:D102)</f>
        <v>0</v>
      </c>
      <c r="E103" s="68">
        <f>SUM(E93:E102)</f>
        <v>0</v>
      </c>
      <c r="F103" s="68">
        <f>SUM(F93:F102)</f>
        <v>0</v>
      </c>
      <c r="G103" s="68">
        <f>SUM(G93:G102)</f>
        <v>29000</v>
      </c>
      <c r="H103" s="68">
        <f t="shared" si="5"/>
        <v>73199.260000000009</v>
      </c>
    </row>
    <row r="104" spans="1:8" ht="12.75" thickTop="1" thickBot="1" x14ac:dyDescent="0.25">
      <c r="A104" s="32" t="s">
        <v>758</v>
      </c>
      <c r="C104" s="68">
        <f>C63+C81+C91+C103</f>
        <v>1099064.18</v>
      </c>
      <c r="D104" s="68">
        <f>D63+D81+D91+D103</f>
        <v>0</v>
      </c>
      <c r="E104" s="68">
        <f>E63+E81+E91+E103</f>
        <v>46585.7</v>
      </c>
      <c r="F104" s="68">
        <f>F63+F81+F91+F103</f>
        <v>0</v>
      </c>
      <c r="G104" s="68">
        <f>G63+G81+G103</f>
        <v>29942.93</v>
      </c>
      <c r="H104" s="68">
        <f t="shared" si="5"/>
        <v>1175592.8099999998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741626.22</v>
      </c>
      <c r="D109" s="23" t="s">
        <v>288</v>
      </c>
      <c r="E109" s="73">
        <f>('DOE25'!L277)+('DOE25'!L296)+('DOE25'!L315)</f>
        <v>22285.62</v>
      </c>
      <c r="F109" s="23" t="s">
        <v>288</v>
      </c>
      <c r="G109" s="23" t="s">
        <v>288</v>
      </c>
      <c r="H109" s="13">
        <f t="shared" ref="H109:H115" si="6">SUM(C109:G109)</f>
        <v>763911.84</v>
      </c>
    </row>
    <row r="110" spans="1:8" x14ac:dyDescent="0.2">
      <c r="A110" t="s">
        <v>198</v>
      </c>
      <c r="B110" s="31" t="s">
        <v>199</v>
      </c>
      <c r="C110" s="73">
        <f>('DOE25'!L199)+('DOE25'!L217)+('DOE25'!L235)</f>
        <v>148445.91999999998</v>
      </c>
      <c r="D110" s="23" t="s">
        <v>288</v>
      </c>
      <c r="E110" s="73">
        <f>('DOE25'!L278)+('DOE25'!L297)+('DOE25'!L316)</f>
        <v>3894</v>
      </c>
      <c r="F110" s="23" t="s">
        <v>288</v>
      </c>
      <c r="G110" s="23" t="s">
        <v>288</v>
      </c>
      <c r="H110" s="13">
        <f t="shared" si="6"/>
        <v>152339.91999999998</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1197.69</v>
      </c>
      <c r="F112" s="23" t="s">
        <v>288</v>
      </c>
      <c r="G112" s="23" t="s">
        <v>288</v>
      </c>
      <c r="H112" s="13">
        <f t="shared" si="6"/>
        <v>1197.69</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40264.49</v>
      </c>
      <c r="D114" s="23" t="s">
        <v>288</v>
      </c>
      <c r="E114" s="73">
        <f>+ SUM('DOE25'!L334:L336)</f>
        <v>0</v>
      </c>
      <c r="F114" s="23" t="s">
        <v>288</v>
      </c>
      <c r="G114" s="23" t="s">
        <v>288</v>
      </c>
      <c r="H114" s="13">
        <f t="shared" si="6"/>
        <v>40264.49</v>
      </c>
    </row>
    <row r="115" spans="1:8" ht="12.75" thickTop="1" thickBot="1" x14ac:dyDescent="0.25">
      <c r="A115" s="32" t="s">
        <v>205</v>
      </c>
      <c r="C115" s="68">
        <f>SUM(C109:C114)</f>
        <v>930336.62999999989</v>
      </c>
      <c r="D115" s="68">
        <f>SUM(D109:D114)</f>
        <v>0</v>
      </c>
      <c r="E115" s="68">
        <f>SUM(E109:E114)</f>
        <v>27377.309999999998</v>
      </c>
      <c r="F115" s="68">
        <f>SUM(F109:F114)</f>
        <v>0</v>
      </c>
      <c r="G115" s="68">
        <f>SUM(G109:G114)</f>
        <v>0</v>
      </c>
      <c r="H115" s="68">
        <f t="shared" si="6"/>
        <v>957713.94</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31201.74</v>
      </c>
      <c r="D118" s="23" t="s">
        <v>288</v>
      </c>
      <c r="E118" s="73">
        <f>+('DOE25'!L282)+('DOE25'!L301)+('DOE25'!L320)</f>
        <v>12658</v>
      </c>
      <c r="F118" s="23" t="s">
        <v>288</v>
      </c>
      <c r="G118" s="23" t="s">
        <v>288</v>
      </c>
      <c r="H118" s="13">
        <f t="shared" ref="H118:H145" si="7">SUM(C118:G118)</f>
        <v>43859.740000000005</v>
      </c>
    </row>
    <row r="119" spans="1:8" x14ac:dyDescent="0.2">
      <c r="A119" t="s">
        <v>208</v>
      </c>
      <c r="B119" s="31" t="s">
        <v>209</v>
      </c>
      <c r="C119" s="73">
        <f>('DOE25'!L204)+('DOE25'!L222)+('DOE25'!L240)</f>
        <v>5681</v>
      </c>
      <c r="D119" s="23" t="s">
        <v>288</v>
      </c>
      <c r="E119" s="73">
        <f>+('DOE25'!L283)+('DOE25'!L302)+('DOE25'!L321)</f>
        <v>401.86</v>
      </c>
      <c r="F119" s="23" t="s">
        <v>288</v>
      </c>
      <c r="G119" s="23" t="s">
        <v>288</v>
      </c>
      <c r="H119" s="13">
        <f t="shared" si="7"/>
        <v>6082.86</v>
      </c>
    </row>
    <row r="120" spans="1:8" x14ac:dyDescent="0.2">
      <c r="A120" t="s">
        <v>210</v>
      </c>
      <c r="B120" s="31" t="s">
        <v>211</v>
      </c>
      <c r="C120" s="73">
        <f>('DOE25'!L205)+('DOE25'!L223)+('DOE25'!L241)</f>
        <v>54966.659999999996</v>
      </c>
      <c r="D120" s="23" t="s">
        <v>288</v>
      </c>
      <c r="E120" s="73">
        <f>+('DOE25'!L284)+('DOE25'!L303)+('DOE25'!L322)</f>
        <v>4148.53</v>
      </c>
      <c r="F120" s="23" t="s">
        <v>288</v>
      </c>
      <c r="G120" s="23" t="s">
        <v>288</v>
      </c>
      <c r="H120" s="13">
        <f t="shared" si="7"/>
        <v>59115.189999999995</v>
      </c>
    </row>
    <row r="121" spans="1:8" x14ac:dyDescent="0.2">
      <c r="A121" t="s">
        <v>212</v>
      </c>
      <c r="B121" s="31" t="s">
        <v>213</v>
      </c>
      <c r="C121" s="73">
        <f>('DOE25'!L206)+('DOE25'!L224)+('DOE25'!L242)</f>
        <v>3872.77</v>
      </c>
      <c r="D121" s="23" t="s">
        <v>288</v>
      </c>
      <c r="E121" s="73">
        <f>+('DOE25'!L285)+('DOE25'!L304)+('DOE25'!L323)</f>
        <v>0</v>
      </c>
      <c r="F121" s="23" t="s">
        <v>288</v>
      </c>
      <c r="G121" s="23" t="s">
        <v>288</v>
      </c>
      <c r="H121" s="13">
        <f t="shared" si="7"/>
        <v>3872.77</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62556.840000000004</v>
      </c>
      <c r="D123" s="23" t="s">
        <v>288</v>
      </c>
      <c r="E123" s="73">
        <f>+('DOE25'!L287)+('DOE25'!L306)+('DOE25'!L325)</f>
        <v>2000</v>
      </c>
      <c r="F123" s="23" t="s">
        <v>288</v>
      </c>
      <c r="G123" s="23" t="s">
        <v>288</v>
      </c>
      <c r="H123" s="13">
        <f t="shared" si="7"/>
        <v>64556.840000000004</v>
      </c>
    </row>
    <row r="124" spans="1:8" x14ac:dyDescent="0.2">
      <c r="A124" t="s">
        <v>218</v>
      </c>
      <c r="B124" s="31" t="s">
        <v>219</v>
      </c>
      <c r="C124" s="73">
        <f>('DOE25'!L209)+('DOE25'!L227)+('DOE25'!L245+'DOE25'!L255)</f>
        <v>54056.59</v>
      </c>
      <c r="D124" s="23" t="s">
        <v>288</v>
      </c>
      <c r="E124" s="73">
        <f>+('DOE25'!L288)+('DOE25'!L307)+('DOE25'!L326)</f>
        <v>0</v>
      </c>
      <c r="F124" s="23" t="s">
        <v>288</v>
      </c>
      <c r="G124" s="23" t="s">
        <v>288</v>
      </c>
      <c r="H124" s="13">
        <f t="shared" si="7"/>
        <v>54056.59</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212335.6</v>
      </c>
      <c r="D128" s="68">
        <f>SUM(D118:D127)</f>
        <v>0</v>
      </c>
      <c r="E128" s="68">
        <f>SUM(E118:E127)</f>
        <v>19208.39</v>
      </c>
      <c r="F128" s="68">
        <f>SUM(F118:F127)</f>
        <v>0</v>
      </c>
      <c r="G128" s="68">
        <f>SUM(G118:G127)</f>
        <v>0</v>
      </c>
      <c r="H128" s="68">
        <f t="shared" si="7"/>
        <v>231543.99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44199.26</v>
      </c>
      <c r="H134" s="13">
        <f t="shared" si="7"/>
        <v>44199.26</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29942.93</v>
      </c>
      <c r="D139" s="23" t="s">
        <v>288</v>
      </c>
      <c r="E139" s="23" t="s">
        <v>288</v>
      </c>
      <c r="F139" s="23" t="s">
        <v>288</v>
      </c>
      <c r="G139" s="23" t="s">
        <v>288</v>
      </c>
      <c r="H139" s="13">
        <f t="shared" si="7"/>
        <v>29942.93</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-942.93000000000029</v>
      </c>
      <c r="D141" s="23" t="s">
        <v>288</v>
      </c>
      <c r="E141" s="23" t="s">
        <v>288</v>
      </c>
      <c r="F141" s="23" t="s">
        <v>288</v>
      </c>
      <c r="G141" s="23" t="s">
        <v>288</v>
      </c>
      <c r="H141" s="13">
        <f t="shared" si="7"/>
        <v>-942.93000000000029</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29000</v>
      </c>
      <c r="D144" s="98">
        <f>SUM(D130:D143)</f>
        <v>0</v>
      </c>
      <c r="E144" s="98">
        <f>SUM(E130:E143)</f>
        <v>0</v>
      </c>
      <c r="F144" s="98">
        <f>SUM(F130:F143)</f>
        <v>0</v>
      </c>
      <c r="G144" s="98">
        <f>SUM(G130:G143)</f>
        <v>44199.26</v>
      </c>
      <c r="H144" s="98">
        <f t="shared" si="7"/>
        <v>73199.260000000009</v>
      </c>
    </row>
    <row r="145" spans="1:9" ht="12.75" thickTop="1" thickBot="1" x14ac:dyDescent="0.25">
      <c r="A145" s="32" t="s">
        <v>244</v>
      </c>
      <c r="C145" s="68">
        <f>(C115+C128+C144)</f>
        <v>1171672.23</v>
      </c>
      <c r="D145" s="68">
        <f>(D115+D128+D144)</f>
        <v>0</v>
      </c>
      <c r="E145" s="68">
        <f>(E115+E128+E144)</f>
        <v>46585.7</v>
      </c>
      <c r="F145" s="68">
        <f>(F115+F128+F144)</f>
        <v>0</v>
      </c>
      <c r="G145" s="68">
        <f>(G115+G128+G144)</f>
        <v>44199.26</v>
      </c>
      <c r="H145" s="68">
        <f t="shared" si="7"/>
        <v>1262457.19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Landaff</v>
      </c>
    </row>
    <row r="3" spans="1:4" x14ac:dyDescent="0.2">
      <c r="B3" s="136" t="s">
        <v>1792</v>
      </c>
    </row>
    <row r="4" spans="1:4" x14ac:dyDescent="0.2">
      <c r="B4" t="s">
        <v>61</v>
      </c>
      <c r="C4" s="128">
        <f>IF('DOE25'!F666+'DOE25'!F671=0,0,ROUND('DOE25'!F673,0))</f>
        <v>22556</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22556</v>
      </c>
    </row>
    <row r="9" spans="1:4" x14ac:dyDescent="0.2">
      <c r="A9" s="135" t="s">
        <v>94</v>
      </c>
      <c r="B9" s="136" t="s">
        <v>1793</v>
      </c>
      <c r="C9" s="130" t="s">
        <v>720</v>
      </c>
      <c r="D9" s="130" t="s">
        <v>721</v>
      </c>
    </row>
    <row r="10" spans="1:4" x14ac:dyDescent="0.2">
      <c r="A10">
        <v>1100</v>
      </c>
      <c r="B10" t="s">
        <v>702</v>
      </c>
      <c r="C10" s="128">
        <f>ROUND('DOE25'!L198+'DOE25'!L216+'DOE25'!L234+'DOE25'!L277+'DOE25'!L296+'DOE25'!L315,0)</f>
        <v>763912</v>
      </c>
      <c r="D10" s="131">
        <f>ROUND((C10/$C$28)*100,1)</f>
        <v>64.2</v>
      </c>
    </row>
    <row r="11" spans="1:4" x14ac:dyDescent="0.2">
      <c r="A11">
        <v>1200</v>
      </c>
      <c r="B11" t="s">
        <v>703</v>
      </c>
      <c r="C11" s="128">
        <f>ROUND('DOE25'!L199+'DOE25'!L217+'DOE25'!L235+'DOE25'!L278+'DOE25'!L297+'DOE25'!L316,0)</f>
        <v>152340</v>
      </c>
      <c r="D11" s="131">
        <f>ROUND((C11/$C$28)*100,1)</f>
        <v>12.8</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1198</v>
      </c>
      <c r="D13" s="131">
        <f>ROUND((C13/$C$28)*100,1)</f>
        <v>0.1</v>
      </c>
    </row>
    <row r="14" spans="1:4" x14ac:dyDescent="0.2">
      <c r="D14" s="131"/>
    </row>
    <row r="15" spans="1:4" x14ac:dyDescent="0.2">
      <c r="A15">
        <v>2100</v>
      </c>
      <c r="B15" t="s">
        <v>706</v>
      </c>
      <c r="C15" s="128">
        <f>ROUND('DOE25'!L203+'DOE25'!L221+'DOE25'!L239+'DOE25'!L282+'DOE25'!L301+'DOE25'!L320,0)</f>
        <v>43860</v>
      </c>
      <c r="D15" s="131">
        <f t="shared" ref="D15:D27" si="0">ROUND((C15/$C$28)*100,1)</f>
        <v>3.7</v>
      </c>
    </row>
    <row r="16" spans="1:4" x14ac:dyDescent="0.2">
      <c r="A16">
        <v>2200</v>
      </c>
      <c r="B16" t="s">
        <v>707</v>
      </c>
      <c r="C16" s="128">
        <f>ROUND('DOE25'!L204+'DOE25'!L222+'DOE25'!L240+'DOE25'!L283+'DOE25'!L302+'DOE25'!L321,0)</f>
        <v>6083</v>
      </c>
      <c r="D16" s="131">
        <f t="shared" si="0"/>
        <v>0.5</v>
      </c>
    </row>
    <row r="17" spans="1:4" x14ac:dyDescent="0.2">
      <c r="A17" s="132" t="s">
        <v>723</v>
      </c>
      <c r="B17" t="s">
        <v>738</v>
      </c>
      <c r="C17" s="128">
        <f>ROUND('DOE25'!L205+'DOE25'!L210+'DOE25'!L223+'DOE25'!L228+'DOE25'!L241+'DOE25'!L246+'DOE25'!L284+'DOE25'!L289+'DOE25'!L303+'DOE25'!L308+'DOE25'!L322+'DOE25'!L327,0)</f>
        <v>59115</v>
      </c>
      <c r="D17" s="131">
        <f t="shared" si="0"/>
        <v>5</v>
      </c>
    </row>
    <row r="18" spans="1:4" x14ac:dyDescent="0.2">
      <c r="A18">
        <v>2400</v>
      </c>
      <c r="B18" t="s">
        <v>711</v>
      </c>
      <c r="C18" s="128">
        <f>ROUND('DOE25'!L206+'DOE25'!L224+'DOE25'!L242+'DOE25'!L285+'DOE25'!L304+'DOE25'!L323,0)</f>
        <v>3873</v>
      </c>
      <c r="D18" s="131">
        <f t="shared" si="0"/>
        <v>0.3</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64557</v>
      </c>
      <c r="D20" s="131">
        <f t="shared" si="0"/>
        <v>5.4</v>
      </c>
    </row>
    <row r="21" spans="1:4" x14ac:dyDescent="0.2">
      <c r="A21">
        <v>2700</v>
      </c>
      <c r="B21" t="s">
        <v>710</v>
      </c>
      <c r="C21" s="128">
        <f>ROUND('DOE25'!L209+'DOE25'!L227+'DOE25'!L245+'DOE25'!L288+'DOE25'!L307+'DOE25'!L326,0)</f>
        <v>54057</v>
      </c>
      <c r="D21" s="131">
        <f t="shared" si="0"/>
        <v>4.5</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40264</v>
      </c>
      <c r="D24" s="131">
        <f t="shared" si="0"/>
        <v>3.4</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0</v>
      </c>
      <c r="D27" s="131">
        <f t="shared" si="0"/>
        <v>0</v>
      </c>
    </row>
    <row r="28" spans="1:4" x14ac:dyDescent="0.2">
      <c r="B28" s="135" t="s">
        <v>719</v>
      </c>
      <c r="C28" s="129">
        <f>SUM(C10:C27)</f>
        <v>1189259</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1189259</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781810</v>
      </c>
      <c r="D35" s="131">
        <f t="shared" ref="D35:D40" si="1">ROUND((C35/$C$41)*100,1)</f>
        <v>70.900000000000006</v>
      </c>
    </row>
    <row r="36" spans="1:4" x14ac:dyDescent="0.2">
      <c r="B36" s="71" t="s">
        <v>739</v>
      </c>
      <c r="C36" s="128">
        <f>SUM('DOE25'!F112:J112)-SUM('DOE25'!G97:G110)+('DOE25'!F175+'DOE25'!F176+'DOE25'!I175+'DOE25'!I176)-C35</f>
        <v>39714.380000000005</v>
      </c>
      <c r="D36" s="131">
        <f t="shared" si="1"/>
        <v>3.6</v>
      </c>
    </row>
    <row r="37" spans="1:4" x14ac:dyDescent="0.2">
      <c r="A37" s="132" t="s">
        <v>831</v>
      </c>
      <c r="B37" s="71" t="s">
        <v>728</v>
      </c>
      <c r="C37" s="128">
        <f>ROUND('DOE25'!F117+'DOE25'!F118,0)</f>
        <v>226029</v>
      </c>
      <c r="D37" s="131">
        <f t="shared" si="1"/>
        <v>20.5</v>
      </c>
    </row>
    <row r="38" spans="1:4" x14ac:dyDescent="0.2">
      <c r="A38" s="132" t="s">
        <v>734</v>
      </c>
      <c r="B38" s="71" t="s">
        <v>729</v>
      </c>
      <c r="C38" s="128">
        <f>ROUND(SUM('DOE25'!F140:J140)-SUM('DOE25'!F117:F119),0)</f>
        <v>1074</v>
      </c>
      <c r="D38" s="131">
        <f t="shared" si="1"/>
        <v>0.1</v>
      </c>
    </row>
    <row r="39" spans="1:4" x14ac:dyDescent="0.2">
      <c r="A39">
        <v>4000</v>
      </c>
      <c r="B39" s="71" t="s">
        <v>730</v>
      </c>
      <c r="C39" s="128">
        <f>ROUND('DOE25'!F170+'DOE25'!G170+'DOE25'!H170+'DOE25'!I170,0)</f>
        <v>53766</v>
      </c>
      <c r="D39" s="131">
        <f t="shared" si="1"/>
        <v>4.9000000000000004</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1102393.3799999999</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Landaff</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161</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f>IF('School Level Expenditures'!$B$2=A164,'School Tables'!H164,"")</f>
        <v>161</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2024-10-21T22:06:23Z</cp:lastPrinted>
  <dcterms:created xsi:type="dcterms:W3CDTF">1997-12-04T19:04:30Z</dcterms:created>
  <dcterms:modified xsi:type="dcterms:W3CDTF">2024-10-22T17:46:49Z</dcterms:modified>
</cp:coreProperties>
</file>