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3890A7F1-B327-4D6C-A8A4-5268378D7404}"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50" i="1" l="1"/>
  <c r="K40" i="14"/>
  <c r="H318" i="1"/>
  <c r="H280" i="1"/>
  <c r="H278" i="1"/>
  <c r="D40" i="14"/>
  <c r="H12" i="1" l="1"/>
  <c r="H22" i="1" l="1"/>
  <c r="F12" i="1"/>
  <c r="M40" i="14"/>
  <c r="K6" i="14"/>
  <c r="D6" i="14"/>
  <c r="C10" i="12"/>
  <c r="G198" i="1"/>
  <c r="H321" i="1"/>
  <c r="H30" i="1" l="1"/>
  <c r="F28" i="1" l="1"/>
  <c r="F22" i="1"/>
  <c r="G12" i="1"/>
  <c r="G40" i="1"/>
  <c r="K264" i="1"/>
  <c r="G180" i="1"/>
  <c r="J605" i="1"/>
  <c r="I605" i="1"/>
  <c r="H605" i="1"/>
  <c r="O6" i="14"/>
  <c r="O40" i="14"/>
  <c r="O27" i="14"/>
  <c r="P6" i="14"/>
  <c r="P27" i="14"/>
  <c r="P40" i="14"/>
  <c r="H13" i="1"/>
  <c r="F9" i="1"/>
  <c r="Q40" i="14"/>
  <c r="Q27" i="14"/>
  <c r="Q6" i="14"/>
  <c r="D39" i="14"/>
  <c r="D27" i="14"/>
  <c r="L40" i="14"/>
  <c r="M27" i="14"/>
  <c r="L27" i="14"/>
  <c r="M6" i="14"/>
  <c r="L6" i="14"/>
  <c r="K27" i="14"/>
  <c r="G234" i="1"/>
  <c r="G216" i="1"/>
  <c r="F469" i="1"/>
  <c r="H612" i="1"/>
  <c r="G612" i="1"/>
  <c r="F612" i="1"/>
  <c r="I614" i="1"/>
  <c r="H614" i="1"/>
  <c r="G614" i="1"/>
  <c r="F614" i="1"/>
  <c r="I612" i="1"/>
  <c r="F532" i="1"/>
  <c r="H527" i="1"/>
  <c r="F522" i="1"/>
  <c r="H503" i="1"/>
  <c r="H500" i="1"/>
  <c r="H493" i="1"/>
  <c r="H492" i="1"/>
  <c r="G503" i="1"/>
  <c r="G502" i="1"/>
  <c r="G500" i="1"/>
  <c r="H235" i="1"/>
  <c r="F31" i="13"/>
  <c r="F15" i="13"/>
  <c r="F6" i="13"/>
  <c r="F5" i="13"/>
  <c r="D9" i="13"/>
  <c r="H237" i="1"/>
  <c r="G237" i="1"/>
  <c r="C37" i="12"/>
  <c r="B37" i="12"/>
  <c r="C39" i="12"/>
  <c r="B39" i="12"/>
  <c r="C19" i="12" l="1"/>
  <c r="C20" i="12"/>
  <c r="B19" i="12"/>
  <c r="B20" i="12"/>
  <c r="B21" i="12"/>
  <c r="B10" i="12" l="1"/>
  <c r="B12" i="12"/>
  <c r="G440" i="1"/>
  <c r="H401" i="1"/>
  <c r="G401" i="1"/>
  <c r="H398" i="1"/>
  <c r="H397" i="1"/>
  <c r="G398" i="1"/>
  <c r="G397" i="1"/>
  <c r="J96" i="1"/>
  <c r="H162" i="1"/>
  <c r="H161" i="1"/>
  <c r="H159" i="1"/>
  <c r="H154" i="1"/>
  <c r="H155" i="1"/>
  <c r="G158" i="1"/>
  <c r="G97" i="1"/>
  <c r="H361" i="1" l="1"/>
  <c r="J360" i="1"/>
  <c r="I360" i="1"/>
  <c r="H360" i="1"/>
  <c r="K359" i="1"/>
  <c r="J359" i="1"/>
  <c r="I359" i="1"/>
  <c r="H359" i="1"/>
  <c r="G280" i="1"/>
  <c r="F280" i="1"/>
  <c r="H337" i="1"/>
  <c r="H325" i="1"/>
  <c r="H306" i="1"/>
  <c r="H287" i="1"/>
  <c r="J315" i="1"/>
  <c r="K345" i="1"/>
  <c r="H283" i="1"/>
  <c r="H320" i="1"/>
  <c r="H301" i="1"/>
  <c r="H282" i="1"/>
  <c r="J316" i="1"/>
  <c r="G297" i="1"/>
  <c r="F297" i="1"/>
  <c r="J278" i="1"/>
  <c r="F278" i="1"/>
  <c r="I277" i="1"/>
  <c r="G277" i="1"/>
  <c r="F277" i="1"/>
  <c r="F321" i="1"/>
  <c r="F302" i="1"/>
  <c r="F283" i="1"/>
  <c r="H302" i="1"/>
  <c r="G283" i="1"/>
  <c r="I280" i="1"/>
  <c r="H256" i="1" l="1"/>
  <c r="H219" i="1"/>
  <c r="H199" i="1"/>
  <c r="F241" i="1" l="1"/>
  <c r="G203" i="1"/>
  <c r="K267" i="1"/>
  <c r="K262" i="1"/>
  <c r="K261" i="1"/>
  <c r="K245" i="1"/>
  <c r="H245" i="1"/>
  <c r="K227" i="1"/>
  <c r="H227" i="1"/>
  <c r="K209" i="1"/>
  <c r="H209" i="1"/>
  <c r="H244" i="1"/>
  <c r="H226" i="1"/>
  <c r="H208" i="1"/>
  <c r="I244" i="1"/>
  <c r="I226" i="1"/>
  <c r="I208" i="1"/>
  <c r="K244" i="1"/>
  <c r="G244" i="1"/>
  <c r="F244" i="1"/>
  <c r="K226" i="1"/>
  <c r="G226" i="1"/>
  <c r="F226" i="1"/>
  <c r="K208" i="1"/>
  <c r="G208" i="1"/>
  <c r="F208" i="1"/>
  <c r="I242" i="1"/>
  <c r="I224" i="1"/>
  <c r="K242" i="1"/>
  <c r="J242" i="1"/>
  <c r="H242" i="1"/>
  <c r="G242" i="1"/>
  <c r="F242" i="1"/>
  <c r="K224" i="1"/>
  <c r="J224" i="1"/>
  <c r="H224" i="1"/>
  <c r="G224" i="1"/>
  <c r="J206" i="1"/>
  <c r="K206" i="1"/>
  <c r="I206" i="1"/>
  <c r="H206" i="1"/>
  <c r="G206" i="1"/>
  <c r="F206" i="1"/>
  <c r="K241" i="1"/>
  <c r="I241" i="1"/>
  <c r="H241" i="1"/>
  <c r="G241" i="1"/>
  <c r="K223" i="1"/>
  <c r="I223" i="1"/>
  <c r="H223" i="1"/>
  <c r="G223" i="1"/>
  <c r="F223" i="1"/>
  <c r="K205" i="1"/>
  <c r="I205" i="1"/>
  <c r="H205" i="1"/>
  <c r="G205" i="1"/>
  <c r="F205" i="1"/>
  <c r="H240" i="1"/>
  <c r="H222" i="1"/>
  <c r="H204" i="1"/>
  <c r="I240" i="1"/>
  <c r="I222" i="1"/>
  <c r="I204" i="1"/>
  <c r="G240" i="1"/>
  <c r="F240" i="1"/>
  <c r="G222" i="1"/>
  <c r="F222" i="1"/>
  <c r="G204" i="1"/>
  <c r="F204" i="1"/>
  <c r="H239" i="1"/>
  <c r="H221" i="1"/>
  <c r="H203" i="1"/>
  <c r="I239" i="1"/>
  <c r="G239" i="1"/>
  <c r="F239" i="1"/>
  <c r="I221" i="1"/>
  <c r="G221" i="1"/>
  <c r="F221" i="1"/>
  <c r="K203" i="1"/>
  <c r="I203" i="1"/>
  <c r="F203" i="1"/>
  <c r="I237" i="1"/>
  <c r="F237" i="1"/>
  <c r="I201" i="1"/>
  <c r="G201" i="1"/>
  <c r="K219" i="1"/>
  <c r="I219" i="1"/>
  <c r="G219" i="1"/>
  <c r="F219" i="1"/>
  <c r="F201" i="1"/>
  <c r="H236" i="1"/>
  <c r="I217" i="1"/>
  <c r="I199" i="1"/>
  <c r="G199" i="1"/>
  <c r="F199" i="1"/>
  <c r="J235" i="1"/>
  <c r="I235" i="1"/>
  <c r="G235" i="1"/>
  <c r="F235" i="1"/>
  <c r="G217" i="1"/>
  <c r="H217" i="1"/>
  <c r="F217" i="1"/>
  <c r="K234" i="1"/>
  <c r="J234" i="1"/>
  <c r="I234" i="1"/>
  <c r="H234" i="1"/>
  <c r="F234" i="1"/>
  <c r="K216" i="1"/>
  <c r="J216" i="1"/>
  <c r="I216" i="1"/>
  <c r="H216" i="1"/>
  <c r="F216" i="1"/>
  <c r="K198" i="1"/>
  <c r="J198" i="1"/>
  <c r="I198" i="1"/>
  <c r="H198" i="1"/>
  <c r="F198" i="1"/>
  <c r="F120" i="1"/>
  <c r="F96" i="1" l="1"/>
  <c r="F57" i="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7" i="2" l="1"/>
  <c r="H138" i="2"/>
  <c r="H140" i="2"/>
  <c r="P2" i="14"/>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H136" i="2"/>
  <c r="H125" i="2"/>
  <c r="H113" i="2"/>
  <c r="H114" i="2"/>
  <c r="H98" i="2"/>
  <c r="H99" i="2"/>
  <c r="H100" i="2"/>
  <c r="H101" i="2"/>
  <c r="H102" i="2"/>
  <c r="H94" i="2"/>
  <c r="H89" i="2"/>
  <c r="H87" i="2"/>
  <c r="H73" i="2"/>
  <c r="H74" i="2"/>
  <c r="H79" i="2"/>
  <c r="H80" i="2"/>
  <c r="H72" i="2"/>
  <c r="H57" i="2"/>
  <c r="H58" i="2"/>
  <c r="H44" i="2"/>
  <c r="H42" i="2"/>
  <c r="H40" i="2"/>
  <c r="H38" i="2"/>
  <c r="H36" i="2"/>
  <c r="H35" i="2"/>
  <c r="H34" i="2"/>
  <c r="H22" i="2"/>
  <c r="H24" i="2"/>
  <c r="H25" i="2"/>
  <c r="H26" i="2"/>
  <c r="H30" i="2"/>
  <c r="H9" i="2"/>
  <c r="H10" i="2"/>
  <c r="H14" i="2"/>
  <c r="H15"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H131" i="2" s="1"/>
  <c r="L262" i="1"/>
  <c r="C132" i="2" s="1"/>
  <c r="H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H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H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H28" i="2" s="1"/>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E58" i="2"/>
  <c r="C59" i="2"/>
  <c r="H59" i="2" s="1"/>
  <c r="D59" i="2"/>
  <c r="E59" i="2"/>
  <c r="F59" i="2"/>
  <c r="D60" i="2"/>
  <c r="H60" i="2" s="1"/>
  <c r="C61" i="2"/>
  <c r="H61" i="2" s="1"/>
  <c r="D61" i="2"/>
  <c r="E61" i="2"/>
  <c r="F61" i="2"/>
  <c r="C66" i="2"/>
  <c r="H66" i="2" s="1"/>
  <c r="C67" i="2"/>
  <c r="H67" i="2" s="1"/>
  <c r="C69" i="2"/>
  <c r="H69" i="2" s="1"/>
  <c r="D69" i="2"/>
  <c r="D70" i="2" s="1"/>
  <c r="E69" i="2"/>
  <c r="E70" i="2" s="1"/>
  <c r="F69" i="2"/>
  <c r="F70" i="2" s="1"/>
  <c r="G69" i="2"/>
  <c r="G70" i="2" s="1"/>
  <c r="C72" i="2"/>
  <c r="F72" i="2"/>
  <c r="C73" i="2"/>
  <c r="F73" i="2"/>
  <c r="C74" i="2"/>
  <c r="C75" i="2"/>
  <c r="H75" i="2" s="1"/>
  <c r="C76" i="2"/>
  <c r="H76" i="2" s="1"/>
  <c r="E76" i="2"/>
  <c r="F76" i="2"/>
  <c r="C77" i="2"/>
  <c r="D77" i="2"/>
  <c r="D78" i="2" s="1"/>
  <c r="E77" i="2"/>
  <c r="F77" i="2"/>
  <c r="G77" i="2"/>
  <c r="G78" i="2" s="1"/>
  <c r="C79" i="2"/>
  <c r="D79" i="2"/>
  <c r="E79" i="2"/>
  <c r="C80" i="2"/>
  <c r="E80" i="2"/>
  <c r="C85" i="2"/>
  <c r="F85" i="2"/>
  <c r="C87" i="2"/>
  <c r="E87" i="2"/>
  <c r="F87" i="2"/>
  <c r="C89" i="2"/>
  <c r="D89" i="2"/>
  <c r="E89" i="2"/>
  <c r="F89" i="2"/>
  <c r="C90" i="2"/>
  <c r="H90" i="2" s="1"/>
  <c r="C93" i="2"/>
  <c r="H93" i="2" s="1"/>
  <c r="F93" i="2"/>
  <c r="C94" i="2"/>
  <c r="F94" i="2"/>
  <c r="D96" i="2"/>
  <c r="E96" i="2"/>
  <c r="F96" i="2"/>
  <c r="G96" i="2"/>
  <c r="C97" i="2"/>
  <c r="H97" i="2" s="1"/>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4" i="2"/>
  <c r="C125" i="2"/>
  <c r="E125" i="2"/>
  <c r="F128" i="2"/>
  <c r="G128" i="2"/>
  <c r="D134" i="2"/>
  <c r="D144" i="2" s="1"/>
  <c r="F134" i="2"/>
  <c r="K420" i="1"/>
  <c r="K428" i="1"/>
  <c r="K434" i="1"/>
  <c r="L264" i="1"/>
  <c r="C135" i="2" s="1"/>
  <c r="H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46" i="1"/>
  <c r="G651" i="1"/>
  <c r="H653" i="1"/>
  <c r="G654" i="1"/>
  <c r="H654" i="1"/>
  <c r="H655" i="1"/>
  <c r="H656" i="1"/>
  <c r="I170" i="1"/>
  <c r="E112" i="2" l="1"/>
  <c r="H13" i="2"/>
  <c r="H48" i="2"/>
  <c r="H27" i="2"/>
  <c r="H12" i="2"/>
  <c r="H29" i="2"/>
  <c r="H23" i="2"/>
  <c r="H21" i="2"/>
  <c r="H11" i="2"/>
  <c r="G477" i="1"/>
  <c r="H624" i="1" s="1"/>
  <c r="J624" i="1" s="1"/>
  <c r="H477" i="1"/>
  <c r="H625" i="1" s="1"/>
  <c r="J652" i="1"/>
  <c r="G409" i="1"/>
  <c r="H646" i="1" s="1"/>
  <c r="J646" i="1" s="1"/>
  <c r="H96" i="2"/>
  <c r="G62" i="2"/>
  <c r="H77" i="2"/>
  <c r="H134" i="2"/>
  <c r="G662" i="1"/>
  <c r="D29" i="13"/>
  <c r="C29" i="13" s="1"/>
  <c r="C13" i="10"/>
  <c r="C32" i="10"/>
  <c r="D15" i="13"/>
  <c r="C15" i="13" s="1"/>
  <c r="E13" i="13"/>
  <c r="C13" i="13" s="1"/>
  <c r="C120" i="2"/>
  <c r="H120" i="2" s="1"/>
  <c r="C119" i="2"/>
  <c r="C112" i="2"/>
  <c r="C12" i="10"/>
  <c r="K36" i="14"/>
  <c r="K37" i="14" s="1"/>
  <c r="K2" i="14"/>
  <c r="K3" i="14"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L363" i="1"/>
  <c r="B17" i="16" s="1"/>
  <c r="B19" i="16" s="1"/>
  <c r="B28" i="16"/>
  <c r="L329" i="1"/>
  <c r="E122" i="2"/>
  <c r="L291" i="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H78"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12" i="2" l="1"/>
  <c r="E51" i="2"/>
  <c r="D51" i="2"/>
  <c r="H31" i="2"/>
  <c r="H18" i="2"/>
  <c r="H50" i="2"/>
  <c r="E91" i="2"/>
  <c r="E104" i="2" s="1"/>
  <c r="H85" i="2"/>
  <c r="H91" i="2"/>
  <c r="H62" i="2"/>
  <c r="H103" i="2"/>
  <c r="I662" i="1"/>
  <c r="D128" i="2"/>
  <c r="D145" i="2" s="1"/>
  <c r="H127" i="2"/>
  <c r="H123" i="2"/>
  <c r="I663" i="1"/>
  <c r="C81" i="2"/>
  <c r="H81" i="2" s="1"/>
  <c r="F194" i="1"/>
  <c r="G628" i="1" s="1"/>
  <c r="J628" i="1"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C145" i="2" s="1"/>
  <c r="H14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<sst xmlns="http://schemas.openxmlformats.org/spreadsheetml/2006/main" count="6646" uniqueCount="1848">
  <si>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</si>
  <si>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</si>
  <si>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</si>
  <si>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</si>
  <si>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</si>
  <si>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</si>
  <si>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</si>
  <si>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</si>
  <si>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</si>
  <si>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</si>
  <si>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</si>
  <si>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</si>
  <si>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</si>
  <si>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</si>
  <si>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</si>
  <si>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</si>
  <si>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</si>
  <si>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</si>
  <si>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</si>
  <si>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</si>
  <si>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</si>
  <si>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</si>
  <si>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</si>
  <si>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</si>
  <si>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</si>
  <si>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</si>
  <si>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</si>
  <si>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</si>
  <si>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</si>
  <si>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</si>
  <si>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</si>
  <si>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</si>
  <si>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</si>
  <si>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</si>
  <si>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</si>
  <si>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</si>
  <si>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</si>
  <si>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</si>
  <si>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</si>
  <si>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</si>
  <si>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</si>
  <si>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</si>
  <si>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</si>
  <si>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</si>
  <si>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</si>
  <si>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</si>
  <si>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</si>
  <si>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</si>
  <si>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</si>
  <si>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</si>
  <si>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</si>
  <si>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</si>
  <si>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</si>
  <si>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</si>
  <si>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</si>
  <si>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</si>
  <si>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</si>
  <si>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</si>
  <si>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</si>
  <si>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</si>
  <si>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</si>
  <si>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</si>
  <si>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</si>
  <si>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</si>
  <si>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</si>
  <si>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</si>
  <si>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</si>
  <si>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</si>
  <si>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</si>
  <si>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</si>
  <si>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</si>
  <si>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</si>
  <si>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</si>
  <si>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</si>
  <si>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</si>
  <si>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</si>
  <si>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</si>
  <si>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</si>
  <si>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</si>
  <si>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</si>
  <si>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</si>
  <si>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</si>
  <si>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</si>
  <si>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</si>
  <si>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</si>
  <si>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</si>
  <si>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</si>
  <si>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</si>
  <si>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</si>
  <si>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</si>
  <si>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</si>
  <si>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</si>
  <si>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</si>
  <si>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</si>
  <si>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</si>
  <si>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</si>
  <si>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</si>
  <si>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</si>
  <si>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</si>
  <si>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</si>
  <si>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</si>
  <si>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</si>
  <si>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</si>
  <si>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</si>
  <si>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</si>
  <si>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</si>
  <si>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</si>
  <si>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</si>
  <si>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</si>
  <si>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</si>
  <si>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</si>
  <si>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</si>
  <si>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</si>
  <si>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</si>
  <si>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</si>
  <si>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</si>
  <si>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</si>
  <si>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</si>
  <si>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</si>
  <si>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</si>
  <si>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</si>
  <si>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</si>
  <si>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</si>
  <si>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</si>
  <si>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</si>
  <si>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</si>
  <si>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</si>
  <si>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</si>
  <si>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</si>
  <si>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</si>
  <si>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</si>
  <si>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</si>
  <si>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</si>
  <si>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</si>
  <si>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</si>
  <si>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</si>
  <si>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</si>
  <si>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</si>
  <si>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</si>
  <si>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</si>
  <si>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</si>
  <si>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</si>
  <si>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</si>
  <si>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</si>
  <si>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</si>
  <si>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</si>
  <si>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</si>
  <si>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</si>
  <si>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</si>
  <si>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</si>
  <si>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</si>
  <si>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</si>
  <si>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</si>
  <si>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</si>
  <si>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</si>
  <si>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</si>
  <si>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</si>
  <si>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</si>
  <si>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</si>
  <si>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</si>
  <si>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</si>
  <si>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</si>
  <si>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</si>
  <si>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</si>
  <si>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</si>
  <si>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</si>
  <si>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</si>
  <si>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</si>
  <si>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</si>
  <si>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</si>
  <si>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</si>
  <si>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</si>
  <si>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</si>
  <si>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</si>
  <si>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</si>
  <si>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</si>
  <si>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</si>
  <si>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</si>
  <si>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</si>
  <si>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</si>
  <si>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</si>
  <si>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</si>
  <si>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</si>
  <si>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</si>
  <si>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</si>
  <si>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</si>
  <si>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</si>
  <si>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</si>
  <si>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</si>
  <si>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</si>
  <si>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</si>
  <si>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</si>
  <si>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</si>
  <si>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</si>
  <si>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</si>
  <si>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</si>
  <si>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</si>
  <si>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</si>
  <si>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</si>
  <si>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</si>
  <si>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</si>
  <si>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</si>
  <si>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</si>
  <si>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</si>
  <si>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</si>
  <si>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</si>
  <si>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</si>
  <si>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</si>
  <si>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</si>
  <si>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</si>
  <si>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</si>
  <si>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</si>
  <si>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</si>
  <si>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</si>
  <si>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</si>
  <si>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</si>
  <si>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</si>
  <si>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</si>
  <si>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</si>
  <si>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</si>
  <si>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</si>
  <si>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</si>
  <si>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</si>
  <si>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</si>
  <si>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</si>
  <si>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</si>
  <si>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</si>
  <si>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</si>
  <si>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</si>
  <si>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</si>
  <si>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</si>
  <si>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</si>
  <si>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</si>
  <si>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</si>
  <si>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</si>
  <si>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</si>
  <si>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</si>
  <si>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</si>
  <si>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</si>
  <si>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</si>
  <si>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</si>
  <si>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</si>
  <si>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</si>
  <si>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</si>
  <si>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</si>
  <si>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</si>
  <si>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</si>
  <si>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</si>
  <si>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</si>
  <si>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</si>
  <si>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</si>
  <si>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</si>
  <si>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</si>
  <si>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</si>
  <si>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</si>
  <si>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</si>
  <si>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</si>
  <si>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</si>
  <si>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</si>
  <si>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</si>
  <si>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</si>
  <si>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</si>
  <si>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</si>
  <si>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</si>
  <si>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</si>
  <si>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</si>
  <si>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</si>
  <si>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</si>
  <si>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</si>
  <si>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</si>
  <si>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</si>
  <si>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</si>
  <si>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</si>
  <si>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</si>
  <si>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</si>
  <si>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</si>
  <si>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</si>
  <si>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</si>
  <si>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</si>
  <si>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</si>
  <si>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</si>
  <si>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</si>
  <si>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</si>
  <si>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</si>
  <si>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</si>
  <si>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</si>
  <si>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</si>
  <si>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</si>
  <si>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</si>
  <si>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</si>
  <si>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</si>
  <si>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</si>
  <si>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</si>
  <si>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</si>
  <si>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</si>
  <si>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</si>
  <si>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</si>
  <si>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</si>
  <si>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</si>
  <si>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</si>
  <si>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</si>
  <si>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</si>
  <si>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</si>
  <si>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</si>
  <si>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</si>
  <si>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</si>
  <si>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</si>
  <si>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</si>
  <si>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</si>
  <si>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</si>
  <si>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</si>
  <si>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</si>
  <si>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</si>
  <si>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</si>
  <si>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</si>
  <si>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</si>
  <si>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</si>
  <si>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</si>
  <si>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</si>
  <si>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</si>
  <si>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</si>
  <si>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</si>
  <si>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</si>
  <si>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</si>
  <si>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</si>
  <si>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</si>
  <si>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</si>
  <si>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</si>
  <si>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</si>
  <si>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</si>
  <si>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</si>
  <si>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</si>
  <si>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</si>
  <si>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</si>
  <si>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</si>
  <si>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</si>
  <si>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</si>
  <si>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</si>
  <si>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</si>
  <si>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</si>
  <si>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</si>
  <si>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</si>
  <si>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</si>
  <si>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</si>
  <si>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</si>
  <si>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</si>
  <si>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</si>
  <si>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</si>
  <si>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</si>
  <si>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</si>
  <si>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</si>
  <si>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</si>
  <si>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</si>
  <si>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</si>
  <si>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</si>
  <si>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</si>
  <si>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</si>
  <si>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</si>
  <si>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</si>
  <si>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</si>
  <si>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</si>
  <si>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</si>
  <si>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</si>
  <si>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</si>
  <si>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</si>
  <si>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</si>
  <si>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</si>
  <si>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</si>
  <si>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</si>
  <si>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</si>
  <si>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</si>
  <si>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</si>
  <si>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</si>
  <si>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</si>
  <si>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</si>
  <si>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</si>
  <si>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</si>
  <si>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</si>
  <si>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</si>
  <si>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</si>
  <si>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</si>
  <si>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</si>
  <si>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</si>
  <si>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</si>
  <si>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</si>
  <si>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</si>
  <si>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</si>
  <si>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</si>
  <si>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</si>
  <si>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</si>
  <si>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</si>
  <si>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</si>
  <si>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</si>
  <si>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</si>
  <si>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</si>
  <si>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</si>
  <si>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</si>
  <si>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</si>
  <si>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</si>
  <si>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</si>
  <si>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</si>
  <si>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</si>
  <si>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</si>
  <si>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</si>
  <si>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</si>
  <si>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</si>
  <si>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</si>
  <si>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</si>
  <si>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</si>
  <si>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</si>
  <si>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</si>
  <si>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</si>
  <si>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</si>
  <si>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</si>
  <si>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</si>
  <si>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</si>
  <si>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</si>
  <si>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</si>
  <si>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</si>
  <si>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</si>
  <si>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</si>
  <si>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</si>
  <si>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</si>
  <si>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</si>
  <si>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</si>
  <si>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</si>
  <si>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</si>
  <si>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</si>
  <si>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</si>
  <si>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</si>
  <si>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</si>
  <si>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</si>
  <si>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</si>
  <si>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</si>
  <si>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</si>
  <si>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</si>
  <si>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</si>
  <si>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</si>
  <si>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</si>
  <si>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</si>
  <si>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</si>
  <si>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</si>
  <si>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</si>
  <si>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</si>
  <si>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</si>
  <si>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</si>
  <si>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</si>
  <si>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</si>
  <si>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</si>
  <si>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</si>
  <si>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</si>
  <si>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</si>
  <si>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</si>
  <si>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</si>
  <si>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</si>
  <si>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</si>
  <si>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</si>
  <si>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</si>
  <si>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</si>
  <si>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</si>
  <si>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</si>
  <si>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</si>
  <si>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</si>
  <si>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</si>
  <si>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</si>
  <si>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</si>
  <si>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</si>
  <si>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</si>
  <si>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</si>
  <si>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</si>
  <si>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</si>
  <si>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</si>
  <si>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</si>
  <si>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</si>
  <si>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</si>
  <si>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</si>
  <si>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</si>
  <si>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</si>
  <si>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</si>
  <si>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</si>
  <si>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</si>
  <si>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</si>
  <si>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</si>
  <si>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</si>
  <si>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</si>
  <si>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</si>
  <si>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</si>
  <si>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</si>
  <si>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</si>
  <si>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</si>
  <si>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</si>
  <si>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</si>
  <si>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</si>
  <si>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</si>
  <si>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</si>
  <si>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</si>
  <si>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</si>
  <si>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</si>
  <si>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</si>
  <si>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</si>
  <si>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</si>
  <si>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</si>
  <si>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</si>
  <si>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</si>
  <si>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</si>
  <si>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</si>
  <si>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</si>
  <si>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</si>
  <si>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</si>
  <si>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</si>
  <si>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</si>
  <si>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</si>
  <si>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</si>
  <si>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</si>
  <si>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</si>
  <si>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</si>
  <si>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</si>
  <si>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</si>
  <si>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</si>
  <si>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</si>
  <si>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</si>
  <si>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</si>
  <si>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</si>
  <si>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</si>
  <si>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</si>
  <si>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</si>
  <si>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</si>
  <si>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</si>
  <si>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</si>
  <si>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</si>
  <si>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</si>
  <si>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</si>
  <si>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</si>
  <si>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</si>
  <si>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</si>
  <si>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</si>
  <si>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</si>
  <si>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</si>
  <si>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</si>
  <si>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</si>
  <si>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</si>
  <si>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</si>
  <si>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</si>
  <si>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</si>
  <si>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</si>
  <si>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</si>
  <si>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</si>
  <si>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</si>
  <si>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</si>
  <si>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</si>
  <si>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</si>
  <si>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</si>
  <si>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</si>
  <si>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</si>
  <si>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</si>
  <si>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</si>
  <si>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</si>
  <si>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</si>
  <si>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</si>
  <si>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</si>
  <si>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</si>
  <si>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</si>
  <si>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</si>
  <si>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</si>
  <si>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</si>
  <si>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</si>
  <si>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</si>
  <si>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</si>
  <si>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</si>
  <si>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</si>
  <si>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</si>
  <si>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</si>
  <si>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</si>
  <si>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</si>
  <si>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</si>
  <si>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</si>
  <si>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</si>
  <si>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</si>
  <si>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</si>
  <si>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</si>
  <si>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</si>
  <si>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</si>
  <si>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</si>
  <si>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</si>
  <si>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</si>
  <si>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</si>
  <si>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</si>
  <si>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</si>
  <si>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</si>
  <si>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</si>
  <si>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</si>
  <si>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</si>
  <si>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</si>
  <si>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</si>
  <si>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</si>
  <si>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</si>
  <si>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</si>
  <si>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</si>
  <si>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</si>
  <si>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</si>
  <si>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</si>
  <si>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</si>
  <si>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</si>
  <si>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</si>
  <si>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</si>
  <si>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</si>
  <si>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</si>
  <si>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</si>
  <si>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</si>
  <si>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</si>
  <si>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</si>
  <si>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</si>
  <si>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</si>
  <si>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</si>
  <si>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</si>
  <si>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</si>
  <si>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</si>
  <si>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</si>
  <si>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</si>
  <si>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</si>
  <si>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</si>
  <si>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</si>
  <si>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</si>
  <si>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</si>
  <si>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</si>
  <si>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</si>
  <si>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</si>
  <si>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</si>
  <si>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</si>
  <si>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</si>
  <si>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</si>
  <si>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</si>
  <si>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</si>
  <si>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</si>
  <si>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</si>
  <si>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</si>
  <si>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</si>
  <si>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</si>
  <si>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</si>
  <si>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</si>
  <si>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</si>
  <si>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</si>
  <si>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</si>
  <si>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</si>
  <si>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</si>
  <si>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</si>
  <si>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</si>
  <si>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</si>
  <si>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</si>
  <si>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</si>
  <si>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</si>
  <si>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</si>
  <si>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</si>
  <si>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</si>
  <si>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</si>
  <si>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</si>
  <si>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</si>
  <si>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</si>
  <si>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</si>
  <si>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</si>
  <si>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</si>
  <si>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</si>
  <si>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</si>
  <si>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</si>
  <si>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</si>
  <si>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</si>
  <si>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</si>
  <si>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</si>
  <si>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</si>
  <si>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</si>
  <si>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</si>
  <si>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</si>
  <si>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</si>
  <si>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</si>
  <si>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</si>
  <si>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</si>
  <si>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</si>
  <si>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</si>
  <si>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</si>
  <si>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</si>
  <si>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</si>
  <si>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</si>
  <si>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</si>
  <si>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</si>
  <si>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</si>
  <si>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</si>
  <si>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</si>
  <si>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</si>
  <si>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</si>
  <si>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</si>
  <si>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</si>
  <si>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</si>
  <si>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</si>
  <si>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</si>
  <si>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</si>
  <si>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</si>
  <si>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</si>
  <si>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</si>
  <si>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</si>
  <si>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</si>
  <si>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</si>
  <si>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</si>
  <si>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</si>
  <si>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</si>
  <si>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</si>
  <si>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</si>
  <si>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</si>
  <si>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</si>
  <si>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</si>
  <si>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</si>
  <si>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</si>
  <si>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</si>
  <si>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</si>
  <si>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</si>
  <si>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</si>
  <si>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</si>
  <si>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</si>
  <si>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</si>
  <si>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</si>
  <si>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</si>
  <si>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</si>
  <si>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</si>
  <si>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</si>
  <si>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</si>
  <si>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</si>
  <si>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</si>
  <si>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</si>
  <si>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</si>
  <si>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</si>
  <si>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</si>
  <si>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</si>
  <si>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</si>
  <si>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</si>
  <si>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</si>
  <si>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</si>
  <si>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</si>
  <si>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</si>
  <si>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</si>
  <si>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</si>
  <si>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</si>
  <si>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</si>
  <si>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</si>
  <si>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</si>
  <si>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</si>
  <si>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</si>
  <si>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</si>
  <si>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</si>
  <si>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</si>
  <si>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</si>
  <si>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</si>
  <si>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</si>
  <si>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</si>
  <si>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</si>
  <si>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</si>
  <si>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</si>
  <si>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</si>
  <si>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</si>
  <si>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</si>
  <si>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</si>
  <si>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</si>
  <si>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</si>
  <si>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</si>
  <si>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</si>
  <si>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</si>
  <si>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</si>
  <si>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</si>
  <si>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</si>
  <si>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</si>
  <si>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</si>
  <si>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</si>
  <si>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</si>
  <si>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</si>
  <si>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</si>
  <si>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</si>
  <si>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</si>
  <si>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</si>
  <si>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</si>
  <si>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</si>
  <si>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</si>
  <si>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</si>
  <si>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</si>
  <si>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</si>
  <si>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</si>
  <si>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</si>
  <si>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</si>
  <si>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</si>
  <si>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</si>
  <si>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</si>
  <si>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</si>
  <si>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</si>
  <si>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</si>
  <si>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</si>
  <si>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</si>
  <si>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</si>
  <si>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</si>
  <si>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</si>
  <si>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</si>
  <si>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</si>
  <si>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</si>
  <si>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</si>
  <si>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</si>
  <si>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</si>
  <si>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</si>
  <si>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</si>
  <si>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</si>
  <si>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</si>
  <si>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</si>
  <si>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</si>
  <si>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</si>
  <si>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</si>
  <si>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</si>
  <si>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</si>
  <si>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</si>
  <si>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</si>
  <si>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</si>
  <si>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</si>
  <si>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</si>
  <si>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</si>
  <si>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</si>
  <si>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</si>
  <si>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</si>
  <si>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</si>
  <si>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</si>
  <si>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</si>
  <si>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</si>
  <si>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</si>
  <si>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</si>
  <si>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</si>
  <si>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</si>
  <si>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</si>
  <si>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</si>
  <si>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</si>
  <si>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</si>
  <si>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</si>
  <si>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</si>
  <si>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</si>
  <si>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</si>
  <si>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</si>
  <si>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</si>
  <si>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</si>
  <si>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</si>
  <si>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</si>
  <si>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</si>
  <si>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</si>
  <si>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</si>
  <si>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</si>
  <si>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</si>
  <si>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</si>
  <si>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</si>
  <si>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</si>
  <si>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</si>
  <si>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</si>
  <si>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</si>
  <si>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</si>
  <si>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</si>
  <si>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</si>
  <si>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</si>
  <si>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</si>
  <si>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</si>
  <si>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</si>
  <si>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</si>
  <si>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</si>
  <si>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</si>
  <si>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</si>
  <si>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</si>
  <si>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</si>
  <si>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</si>
  <si>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</si>
  <si>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</si>
  <si>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</si>
  <si>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</si>
  <si>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</si>
  <si>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</si>
  <si>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</si>
  <si>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</si>
  <si>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</si>
  <si>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</si>
  <si>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</si>
  <si>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</si>
  <si>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</si>
  <si>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</si>
  <si>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</si>
  <si>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</si>
  <si>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</si>
  <si>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</si>
  <si>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</si>
  <si>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</si>
  <si>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</si>
  <si>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</si>
  <si>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</si>
  <si>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</si>
  <si>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</si>
  <si>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</si>
  <si>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</si>
  <si>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</si>
  <si>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</si>
  <si>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</si>
  <si>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</si>
  <si>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</si>
  <si>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</si>
  <si>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</si>
  <si>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</si>
  <si>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</si>
  <si>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</si>
  <si>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</si>
  <si>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</si>
  <si>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</si>
  <si>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</si>
  <si>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</si>
  <si>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</si>
  <si>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</si>
  <si>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</si>
  <si>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</si>
  <si>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</si>
  <si>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</si>
  <si>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</si>
  <si>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</si>
  <si>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</si>
  <si>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</si>
  <si>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</si>
  <si>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</si>
  <si>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</si>
  <si>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</si>
  <si>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</si>
  <si>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</si>
  <si>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</si>
  <si>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</si>
  <si>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</si>
  <si>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</si>
  <si>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</si>
  <si>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</si>
  <si>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</si>
  <si>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</si>
  <si>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</si>
  <si>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</si>
  <si>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</si>
  <si>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</si>
  <si>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</si>
  <si>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</si>
  <si>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</si>
  <si>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</si>
  <si>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</si>
  <si>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</si>
  <si>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</si>
  <si>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</si>
  <si>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</si>
  <si>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</si>
  <si>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</si>
  <si>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</si>
  <si>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</si>
  <si>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</si>
  <si>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</si>
  <si>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</si>
  <si>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</si>
  <si>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</si>
  <si>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</si>
  <si>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</si>
  <si>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</si>
  <si>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</si>
  <si>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</si>
  <si>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</si>
  <si>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</si>
  <si>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</si>
  <si>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</si>
  <si>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</si>
  <si>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</si>
  <si>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</si>
  <si>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</si>
  <si>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</si>
  <si>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</si>
  <si>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</si>
  <si>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</si>
  <si>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</si>
  <si>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</si>
  <si>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</si>
  <si>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</si>
  <si>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</si>
  <si>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</si>
  <si>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</si>
  <si>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</si>
  <si>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</si>
  <si>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</si>
  <si>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</si>
  <si>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</si>
  <si>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</si>
  <si>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</si>
  <si>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</si>
  <si>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</si>
  <si>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</si>
  <si>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</si>
  <si>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</si>
  <si>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</si>
  <si>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</si>
  <si>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</si>
  <si>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</si>
  <si>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</si>
  <si>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</si>
  <si>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</si>
  <si>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</si>
  <si>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</si>
  <si>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</si>
  <si>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</si>
  <si>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</si>
  <si>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</si>
  <si>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</si>
  <si>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</si>
  <si>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</si>
  <si>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</si>
  <si>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</si>
  <si>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</si>
  <si>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</si>
  <si>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</si>
  <si>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</si>
  <si>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</si>
  <si>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</si>
  <si>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</si>
  <si>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</si>
  <si>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</si>
  <si>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</si>
  <si>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</si>
  <si>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</si>
  <si>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</si>
  <si>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</si>
  <si>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</si>
  <si>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</si>
  <si>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</si>
  <si>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</si>
  <si>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</si>
  <si>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</si>
  <si>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</si>
  <si>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</si>
  <si>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</si>
  <si>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</si>
  <si>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</si>
  <si>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</si>
  <si>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</si>
  <si>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</si>
  <si>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</si>
  <si>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</si>
  <si>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</si>
  <si>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</si>
  <si>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</si>
  <si>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</si>
  <si>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</si>
  <si>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</si>
  <si>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</si>
  <si>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</si>
  <si>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</si>
  <si>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</si>
  <si>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</si>
  <si>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</si>
  <si>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</si>
  <si>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</si>
  <si>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</si>
  <si>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</si>
  <si>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</si>
  <si>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</si>
  <si>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</si>
  <si>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</si>
  <si>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</si>
  <si>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</si>
  <si>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</si>
  <si>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</si>
  <si>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</si>
  <si>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</si>
  <si>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</si>
  <si>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</si>
  <si>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</si>
  <si>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</si>
  <si>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</si>
  <si>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</si>
  <si>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</si>
  <si>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</si>
  <si>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</si>
  <si>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</si>
  <si>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</si>
  <si>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</si>
  <si>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</si>
  <si>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</si>
  <si>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</si>
  <si>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</si>
  <si>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</si>
  <si>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</si>
  <si>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</si>
  <si>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</si>
  <si>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</si>
  <si>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</si>
  <si>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</si>
  <si>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</si>
  <si>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</si>
  <si>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</si>
  <si>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</si>
  <si>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</si>
  <si>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</si>
  <si>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</si>
  <si>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</si>
  <si>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</si>
  <si>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</si>
  <si>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</si>
  <si>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</si>
  <si>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</si>
  <si>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</si>
  <si>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</si>
  <si>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</si>
  <si>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</si>
  <si>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</si>
  <si>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</si>
  <si>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</si>
  <si>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</si>
  <si>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</si>
  <si>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</si>
  <si>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</si>
  <si>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</si>
  <si>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</si>
  <si>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</si>
  <si>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</si>
  <si>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</si>
  <si>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</si>
  <si>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</si>
  <si>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</si>
  <si>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</si>
  <si>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</si>
  <si>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</si>
  <si>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</si>
  <si>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</si>
  <si>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</si>
  <si>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</si>
  <si>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</si>
  <si>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</si>
  <si>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</si>
  <si>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</si>
  <si>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</si>
  <si>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</si>
  <si>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</si>
  <si>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</si>
  <si>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</si>
  <si>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</si>
  <si>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</si>
  <si>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</si>
  <si>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</si>
  <si>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</si>
  <si>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</si>
  <si>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</si>
  <si>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</si>
  <si>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</si>
  <si>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</si>
  <si>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</si>
  <si>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</si>
  <si>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</si>
  <si>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</si>
  <si>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</si>
  <si>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</si>
  <si>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</si>
  <si>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</si>
  <si>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</si>
  <si>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</si>
  <si>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</si>
  <si>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</si>
  <si>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</si>
  <si>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</si>
  <si>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</si>
  <si>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</si>
  <si>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</si>
  <si>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</si>
  <si>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</si>
  <si>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</si>
  <si>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</si>
  <si>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</si>
  <si>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</si>
  <si>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</si>
  <si>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</si>
  <si>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</si>
  <si>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</si>
  <si>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</si>
  <si>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</si>
  <si>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</si>
  <si>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</si>
  <si>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</si>
  <si>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</si>
  <si>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</si>
  <si>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</si>
  <si>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</si>
  <si>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</si>
  <si>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</si>
  <si>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</si>
  <si>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</si>
  <si>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</si>
  <si>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</si>
  <si>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</si>
  <si>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</si>
  <si>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</si>
  <si>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</si>
  <si>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</si>
  <si>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</si>
  <si>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</si>
  <si>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</si>
  <si>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</si>
  <si>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</si>
  <si>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</si>
  <si>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</si>
  <si>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</si>
  <si>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</si>
  <si>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</si>
  <si>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</si>
  <si>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</si>
  <si>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</si>
  <si>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</si>
  <si>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</si>
  <si>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</si>
  <si>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</si>
  <si>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</si>
  <si>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</si>
  <si>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</si>
  <si>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</si>
  <si>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</si>
  <si>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</si>
  <si>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</si>
  <si>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</si>
  <si>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</si>
  <si>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</si>
  <si>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</si>
  <si>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</si>
  <si>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</si>
  <si>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</si>
  <si>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</si>
  <si>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</si>
  <si>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</si>
  <si>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</si>
  <si>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</si>
  <si>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</si>
  <si>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</si>
  <si>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</si>
  <si>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</si>
  <si>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</si>
  <si>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</si>
  <si>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</si>
  <si>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</si>
  <si>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</si>
  <si>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</si>
  <si>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</si>
  <si>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</si>
  <si>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</si>
  <si>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</si>
  <si>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</si>
  <si>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</si>
  <si>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</si>
  <si>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</si>
  <si>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</si>
  <si>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</si>
  <si>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</si>
  <si>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</si>
  <si>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</si>
  <si>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</si>
  <si>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</si>
  <si>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</si>
  <si>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</si>
  <si>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</si>
  <si>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</si>
  <si>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</si>
  <si>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</si>
  <si>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</si>
  <si>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</si>
  <si>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</si>
  <si>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</si>
  <si>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</si>
  <si>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</si>
  <si>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</si>
  <si>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</si>
  <si>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</si>
  <si>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</si>
  <si>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</si>
  <si>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</si>
  <si>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</si>
  <si>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</si>
  <si>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</si>
  <si>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</si>
  <si>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</si>
  <si>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</si>
  <si>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</si>
  <si>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</si>
  <si>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</si>
  <si>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</si>
  <si>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</si>
  <si>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</si>
  <si>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</si>
  <si>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</si>
  <si>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</si>
  <si>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</si>
  <si>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</si>
  <si>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</si>
  <si>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</si>
  <si>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</si>
  <si>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</si>
  <si>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</si>
  <si>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</si>
  <si>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</si>
  <si>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</si>
  <si>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</si>
  <si>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</si>
  <si>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</si>
  <si>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</si>
  <si>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</si>
  <si>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</si>
  <si>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</si>
  <si>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</si>
  <si>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</si>
  <si>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</si>
  <si>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</si>
  <si>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</si>
  <si>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</si>
  <si>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</si>
  <si>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</si>
  <si>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</si>
  <si>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</si>
  <si>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</si>
  <si>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</si>
  <si>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</si>
  <si>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</si>
  <si>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</si>
  <si>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</si>
  <si>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</si>
  <si>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</si>
  <si>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</si>
  <si>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</si>
  <si>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</si>
  <si>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</si>
  <si>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</si>
  <si>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</si>
  <si>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</si>
  <si>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</si>
  <si>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</si>
  <si>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</si>
  <si>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</si>
  <si>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</si>
  <si>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</si>
  <si>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</si>
  <si>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</si>
  <si>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</si>
  <si>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</si>
  <si>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</si>
  <si>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</si>
  <si>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</si>
  <si>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</si>
  <si>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</si>
  <si>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</si>
  <si>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</si>
  <si>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</si>
  <si>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</si>
  <si>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</si>
  <si>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</si>
  <si>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</si>
  <si>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</si>
  <si>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</si>
  <si>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</si>
  <si>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</si>
  <si>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</si>
  <si>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</si>
  <si>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</si>
  <si>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</si>
  <si>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</si>
  <si>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</si>
  <si>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</si>
  <si>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</si>
  <si>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</si>
  <si>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</si>
  <si>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</si>
  <si>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</si>
  <si>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</si>
  <si>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</si>
  <si>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</si>
  <si>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</si>
  <si>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</si>
  <si>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</si>
  <si>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</si>
  <si>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</si>
  <si>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</si>
  <si>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</si>
  <si>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</si>
  <si>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</si>
  <si>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</si>
  <si>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</si>
  <si>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</si>
  <si>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</si>
  <si>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</si>
  <si>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</si>
  <si>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</si>
  <si>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</si>
  <si>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</si>
  <si>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</si>
  <si>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</si>
  <si>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</si>
  <si>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</si>
  <si>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</si>
  <si>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</si>
  <si>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</si>
  <si>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</si>
  <si>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</si>
  <si>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</si>
  <si>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</si>
  <si>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</si>
  <si>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</si>
  <si>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</si>
  <si>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</si>
  <si>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</si>
  <si>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</si>
  <si>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</si>
  <si>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</si>
  <si>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</si>
  <si>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</si>
  <si>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</si>
  <si>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</si>
  <si>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</si>
  <si>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</si>
  <si>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</si>
  <si>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</si>
  <si>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</si>
  <si>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</si>
  <si>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</si>
  <si>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</si>
  <si>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</si>
  <si>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</si>
  <si>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</si>
  <si>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</si>
  <si>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</si>
  <si>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</si>
  <si>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</si>
  <si>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</si>
  <si>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</si>
  <si>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</si>
  <si>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</si>
  <si>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</si>
  <si>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</si>
  <si>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</si>
  <si>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</si>
  <si>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</si>
  <si>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</si>
  <si>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</si>
  <si>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</si>
  <si>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</si>
  <si>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</si>
  <si>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</si>
  <si>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</si>
  <si>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</si>
  <si>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</si>
  <si>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</si>
  <si>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</si>
  <si>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</si>
  <si>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</si>
  <si>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</si>
  <si>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</si>
  <si>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</si>
  <si>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</si>
  <si>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</si>
  <si>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</si>
  <si>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</si>
  <si>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</si>
  <si>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</si>
  <si>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</si>
  <si>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</si>
  <si>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</si>
  <si>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</si>
  <si>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</si>
  <si>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</si>
  <si>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</si>
  <si>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</si>
  <si>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</si>
  <si>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</si>
  <si>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</si>
  <si>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</si>
  <si>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</si>
  <si>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</si>
  <si>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</si>
  <si>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</si>
  <si>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</si>
  <si>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</si>
  <si>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</si>
  <si>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</si>
  <si>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</si>
  <si>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</si>
  <si>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</si>
  <si>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</si>
  <si>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</si>
  <si>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</si>
  <si>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</si>
  <si>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</si>
  <si>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</si>
  <si>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</si>
  <si>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</si>
  <si>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</si>
  <si>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</si>
  <si>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</si>
  <si>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</si>
  <si>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</si>
  <si>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</si>
  <si>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</si>
  <si>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</si>
  <si>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</si>
  <si>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</si>
  <si>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</si>
  <si>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</si>
  <si>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</si>
  <si>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</si>
  <si>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</si>
  <si>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</si>
  <si>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</si>
  <si>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</si>
  <si>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</si>
  <si>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</si>
  <si>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</si>
  <si>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</si>
  <si>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</si>
  <si>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</si>
  <si>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</si>
  <si>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</si>
  <si>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</si>
  <si>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</si>
  <si>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</si>
  <si>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</si>
  <si>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</si>
  <si>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</si>
  <si>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</si>
  <si>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</si>
  <si>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</si>
  <si>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</si>
  <si>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</si>
  <si>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</si>
  <si>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</si>
  <si>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</si>
  <si>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</si>
  <si>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</si>
  <si>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</si>
  <si>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</si>
  <si>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</si>
  <si>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</si>
  <si>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</si>
  <si>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</si>
  <si>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</si>
  <si>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</si>
  <si>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</si>
  <si>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</si>
  <si>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</si>
  <si>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</si>
  <si>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</si>
  <si>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</si>
  <si>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</si>
  <si>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</si>
  <si>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</si>
  <si>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</si>
  <si>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</si>
  <si>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</si>
  <si>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</si>
  <si>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</si>
  <si>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</si>
  <si>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</si>
  <si>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</si>
  <si>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</si>
  <si>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</si>
  <si>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</si>
  <si>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</si>
  <si>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</si>
  <si>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</si>
  <si>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</si>
  <si>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</si>
  <si>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</si>
  <si>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</si>
  <si>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</si>
  <si>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</si>
  <si>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</si>
  <si>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</si>
  <si>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</si>
  <si>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</si>
  <si>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</si>
  <si>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</si>
  <si>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</si>
  <si>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</si>
  <si>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</si>
  <si>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</si>
  <si>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</si>
  <si>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</si>
  <si>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</si>
  <si>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</si>
  <si>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</si>
  <si>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</si>
  <si>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</si>
  <si>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</si>
  <si>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</si>
  <si>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</si>
  <si>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</si>
  <si>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</si>
  <si>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</si>
  <si>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</si>
  <si>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</si>
  <si>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</si>
  <si>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</si>
  <si>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</si>
  <si>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</si>
  <si>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</si>
  <si>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</si>
  <si>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</si>
  <si>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</si>
  <si>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</si>
  <si>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</si>
  <si>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</si>
  <si>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</si>
  <si>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</si>
  <si>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</si>
  <si>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</si>
  <si>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</si>
  <si>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</si>
  <si>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</si>
  <si>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</si>
  <si>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</si>
  <si>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</si>
  <si>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</si>
  <si>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</si>
  <si>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</si>
  <si>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</si>
  <si>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</si>
  <si>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</si>
  <si>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</si>
  <si>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</si>
  <si>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</si>
  <si>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</si>
  <si>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</si>
  <si>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</si>
  <si>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</si>
  <si>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</si>
  <si>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</si>
  <si>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</si>
  <si>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</si>
  <si>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</si>
  <si>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</si>
  <si>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</si>
  <si>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</si>
  <si>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</si>
  <si>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</si>
  <si>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</si>
  <si>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</si>
  <si>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</si>
  <si>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</si>
  <si>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</si>
  <si>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</si>
  <si>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</si>
  <si>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</si>
  <si>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</si>
  <si>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</si>
  <si>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</si>
  <si>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</si>
  <si>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</si>
  <si>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</si>
  <si>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</si>
  <si>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</si>
  <si>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</si>
  <si>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</si>
  <si>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</si>
  <si>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</si>
  <si>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</si>
  <si>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</si>
  <si>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</si>
  <si>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</si>
  <si>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</si>
  <si>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</si>
  <si>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</si>
  <si>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</si>
  <si>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</si>
  <si>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</si>
  <si>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</si>
  <si>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</si>
  <si>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</si>
  <si>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</si>
  <si>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</si>
  <si>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</si>
  <si>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</si>
  <si>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</si>
  <si>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</si>
  <si>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</si>
  <si>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</si>
  <si>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</si>
  <si>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</si>
  <si>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</si>
  <si>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</si>
  <si>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</si>
  <si>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</si>
  <si>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</si>
  <si>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</si>
  <si>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</si>
  <si>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</si>
  <si>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</si>
  <si>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</si>
  <si>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</si>
  <si>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</si>
  <si>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</si>
  <si>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</si>
  <si>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</si>
  <si>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</si>
  <si>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</si>
  <si>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</si>
  <si>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</si>
  <si>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</si>
  <si>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</si>
  <si>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</si>
  <si>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</si>
  <si>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</si>
  <si>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</si>
  <si>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</si>
  <si>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</si>
  <si>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</si>
  <si>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</si>
  <si>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</si>
  <si>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</si>
  <si>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</si>
  <si>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</si>
  <si>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</si>
  <si>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</si>
  <si>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</si>
  <si>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</si>
  <si>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</si>
  <si>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</si>
  <si>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</si>
  <si>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</si>
  <si>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</si>
  <si>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</si>
  <si>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</si>
  <si>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</si>
  <si>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</si>
  <si>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</si>
  <si>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</si>
  <si>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</si>
  <si>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</si>
  <si>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</si>
  <si>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</si>
  <si>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</si>
  <si>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</si>
  <si>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</si>
  <si>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</si>
  <si>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</si>
  <si>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</si>
  <si>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</si>
  <si>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</si>
  <si>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</si>
  <si>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</si>
  <si>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</si>
  <si>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</si>
  <si>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</si>
  <si>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</si>
  <si>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</si>
  <si>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</si>
  <si>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</si>
  <si>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</si>
  <si>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</si>
  <si>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</si>
  <si>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</si>
  <si>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</si>
  <si>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</si>
  <si>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</si>
  <si>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</si>
  <si>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</si>
  <si>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</si>
  <si>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</si>
  <si>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</si>
  <si>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</si>
  <si>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</si>
  <si>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</si>
  <si>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</si>
  <si>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</si>
  <si>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</si>
  <si>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</si>
  <si>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</si>
  <si>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</si>
  <si>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</si>
  <si>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</si>
  <si>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</si>
  <si>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</si>
  <si>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</si>
  <si>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</si>
  <si>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</si>
  <si>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</si>
  <si>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</si>
  <si>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</si>
  <si>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</si>
  <si>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</si>
  <si>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</si>
  <si>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</si>
  <si>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</si>
  <si>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</si>
  <si>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</si>
  <si>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</si>
  <si>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</si>
  <si>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</si>
  <si>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</si>
  <si>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</si>
  <si>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</si>
  <si>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</si>
  <si>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</si>
  <si>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</si>
  <si>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</si>
  <si>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</si>
  <si>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</si>
  <si>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</si>
  <si>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</si>
  <si>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</si>
  <si>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</si>
  <si>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</si>
  <si>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</si>
  <si>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</si>
  <si>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</si>
  <si>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</si>
  <si>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</si>
  <si>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</si>
  <si>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</si>
  <si>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</si>
  <si>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</si>
  <si>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</si>
  <si>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</si>
  <si>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</si>
  <si>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</si>
  <si>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</si>
  <si>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</si>
  <si>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</si>
  <si>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</si>
  <si>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</si>
  <si>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</si>
  <si>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</si>
  <si>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</si>
  <si>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</si>
  <si>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</si>
  <si>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</si>
  <si>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</si>
  <si>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</si>
  <si>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</si>
  <si>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</si>
  <si>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</si>
  <si>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</si>
  <si>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</si>
  <si>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</si>
  <si>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</si>
  <si>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</si>
  <si>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</si>
  <si>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</si>
  <si>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</si>
  <si>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</si>
  <si>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Fresh Fruits &amp; Vegetables Grant</t>
  </si>
  <si>
    <t>Local Foods Grant - NH Dept of Agriculture</t>
  </si>
  <si>
    <t>06/19</t>
  </si>
  <si>
    <t>08/24</t>
  </si>
  <si>
    <t>01/22</t>
  </si>
  <si>
    <t>02/32</t>
  </si>
  <si>
    <t>Prior Year Audit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</si>
</sst>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3"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1168</v>
      </c>
      <c r="B2">
        <f>INDEX('School Tables'!$AH$3:$AH$213,MATCH('DOE25'!A2,'School Tables'!$AJ$3:$AJ$213,0))</f>
        <v>305</v>
      </c>
      <c r="C2">
        <f>INDEX('School Tables'!$AI$3:$AI$213,MATCH('DOE25'!A2,'School Tables'!$AJ$3:$AJ$213,0))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1498752.94+4098.83+451182.36</f>
        <v>1954034.13</v>
      </c>
      <c r="G9" s="18"/>
      <c r="H9" s="18"/>
      <c r="I9" s="18"/>
      <c r="J9" s="13">
        <f>SUM(I440)</f>
        <v>565785.81000000006</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f>1487398.13-125885.43+102.68</f>
        <v>1361615.38</v>
      </c>
      <c r="G12" s="18">
        <f>19267.29+70</f>
        <v>19337.29</v>
      </c>
      <c r="H12" s="18">
        <f>-6849.93+11636.97+10512.07+3093.6+574.12+5755.58+10500-866.83+8728.65</f>
        <v>43084.229999999996</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v>13574.09</v>
      </c>
      <c r="H13" s="18">
        <f>11410.73+9823.91+19250.04</f>
        <v>40484.68</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2802.25</v>
      </c>
      <c r="G14" s="18">
        <v>3355.3</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3318451.76</v>
      </c>
      <c r="G19" s="38">
        <f>SUM(G9:G18)</f>
        <v>36266.680000000008</v>
      </c>
      <c r="H19" s="38">
        <f>SUM(H9:H18)</f>
        <v>83568.91</v>
      </c>
      <c r="I19" s="38">
        <f>SUM(I9:I18)</f>
        <v>0</v>
      </c>
      <c r="J19" s="38">
        <f>SUM(J9:J18)</f>
        <v>565785.81000000006</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f>1384941.23+70</f>
        <v>1385011.23</v>
      </c>
      <c r="G22" s="18">
        <v>4582.1000000000004</v>
      </c>
      <c r="H22" s="18">
        <f>4383+21358.2+29762.11+3093.6+10500-866.83+102.68</f>
        <v>68332.759999999995</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24540.58</v>
      </c>
      <c r="G24" s="18">
        <v>8540.81</v>
      </c>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f>430180.63-88.84-18934.24-3422.69+100+854.7</f>
        <v>408689.56</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175000</v>
      </c>
      <c r="G30" s="18">
        <v>18863.53</v>
      </c>
      <c r="H30" s="18">
        <f>574.12+5755.58+177.8</f>
        <v>6507.5</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1993241.37</v>
      </c>
      <c r="G32" s="38">
        <f>SUM(G22:G31)</f>
        <v>31986.44</v>
      </c>
      <c r="H32" s="38">
        <f>SUM(H22:H31)</f>
        <v>74840.259999999995</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f>5483.33-1203.09</f>
        <v>4280.24</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100000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399750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565785.81000000006</v>
      </c>
      <c r="K48" s="23" t="s">
        <v>288</v>
      </c>
      <c r="L48" s="23" t="s">
        <v>288</v>
      </c>
      <c r="M48" s="8"/>
      <c r="N48" s="164"/>
    </row>
    <row r="49" spans="1:14" s="3" customFormat="1" ht="12.2" customHeight="1" x14ac:dyDescent="0.15">
      <c r="A49" s="1" t="s">
        <v>855</v>
      </c>
      <c r="B49" s="2" t="s">
        <v>289</v>
      </c>
      <c r="C49" s="6">
        <v>34</v>
      </c>
      <c r="D49" s="2"/>
      <c r="E49" s="6">
        <v>753</v>
      </c>
      <c r="F49" s="18">
        <v>392105.54</v>
      </c>
      <c r="G49" s="18"/>
      <c r="H49" s="18">
        <v>8728.65</v>
      </c>
      <c r="I49" s="18"/>
      <c r="J49" s="13">
        <f>I455</f>
        <v>0</v>
      </c>
      <c r="K49" s="23"/>
      <c r="L49" s="23"/>
      <c r="M49" s="8"/>
      <c r="N49" s="164"/>
    </row>
    <row r="50" spans="1:14" s="3" customFormat="1" ht="12.2" customHeight="1" thickBot="1" x14ac:dyDescent="0.2">
      <c r="A50" s="28" t="s">
        <v>836</v>
      </c>
      <c r="B50" s="2" t="s">
        <v>289</v>
      </c>
      <c r="C50" s="56">
        <v>35</v>
      </c>
      <c r="D50" s="2" t="s">
        <v>653</v>
      </c>
      <c r="E50" s="6">
        <v>770</v>
      </c>
      <c r="F50" s="18">
        <f>678750.34+280207.26-70-125885.43+102.68-399750</f>
        <v>433354.85</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1325210.3900000001</v>
      </c>
      <c r="G51" s="38">
        <f>SUM(G35:G50)</f>
        <v>4280.24</v>
      </c>
      <c r="H51" s="38">
        <f>SUM(H35:H50)</f>
        <v>8728.65</v>
      </c>
      <c r="I51" s="38">
        <f>SUM(I35:I50)</f>
        <v>0</v>
      </c>
      <c r="J51" s="38">
        <f>SUM(J35:J50)</f>
        <v>565785.81000000006</v>
      </c>
      <c r="K51" s="42" t="s">
        <v>288</v>
      </c>
      <c r="L51" s="42" t="s">
        <v>288</v>
      </c>
      <c r="N51" s="130"/>
    </row>
    <row r="52" spans="1:14" s="3" customFormat="1" ht="12.2" customHeight="1" thickTop="1" x14ac:dyDescent="0.15">
      <c r="A52" s="35" t="s">
        <v>455</v>
      </c>
      <c r="B52" s="36" t="s">
        <v>289</v>
      </c>
      <c r="C52" s="6">
        <v>37</v>
      </c>
      <c r="D52" s="36" t="s">
        <v>653</v>
      </c>
      <c r="E52" s="36"/>
      <c r="F52" s="38">
        <f>F51+F32</f>
        <v>3318451.7600000002</v>
      </c>
      <c r="G52" s="38">
        <f>G51+G32</f>
        <v>36266.68</v>
      </c>
      <c r="H52" s="38">
        <f>H51+H32</f>
        <v>83568.909999999989</v>
      </c>
      <c r="I52" s="38">
        <f>I51+I32</f>
        <v>0</v>
      </c>
      <c r="J52" s="38">
        <f>J51+J32</f>
        <v>565785.81000000006</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f>5610008</f>
        <v>5610008</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5610008</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f>21190.19</f>
        <v>21190.19</v>
      </c>
      <c r="G96" s="18"/>
      <c r="H96" s="18"/>
      <c r="I96" s="18"/>
      <c r="J96" s="18">
        <f>884.43+30354.95</f>
        <v>31239.38</v>
      </c>
      <c r="K96" s="23" t="s">
        <v>288</v>
      </c>
      <c r="L96" s="23" t="s">
        <v>288</v>
      </c>
      <c r="M96" s="8"/>
      <c r="N96" s="164"/>
    </row>
    <row r="97" spans="1:14" s="3" customFormat="1" ht="12.2" customHeight="1" x14ac:dyDescent="0.15">
      <c r="A97" s="1" t="s">
        <v>503</v>
      </c>
      <c r="B97" s="2" t="s">
        <v>315</v>
      </c>
      <c r="C97" s="6">
        <v>12</v>
      </c>
      <c r="D97" s="2" t="s">
        <v>430</v>
      </c>
      <c r="E97" s="6">
        <v>1600</v>
      </c>
      <c r="F97" s="23" t="s">
        <v>288</v>
      </c>
      <c r="G97" s="18">
        <f>5344.69+34731.15+7266.8+4734.4+5118.32-1122.43</f>
        <v>56072.930000000008</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300</v>
      </c>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470</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576.77</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1978.89</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24515.85</v>
      </c>
      <c r="G111" s="38">
        <f>SUM(G96:G110)</f>
        <v>56072.930000000008</v>
      </c>
      <c r="H111" s="38">
        <f>SUM(H96:H110)</f>
        <v>0</v>
      </c>
      <c r="I111" s="38">
        <f>SUM(I96:I110)</f>
        <v>0</v>
      </c>
      <c r="J111" s="38">
        <f>SUM(J96:J110)</f>
        <v>31239.38</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5634523.8499999996</v>
      </c>
      <c r="G112" s="38">
        <f>G60+G111</f>
        <v>56072.930000000008</v>
      </c>
      <c r="H112" s="38">
        <f>H60+H79+H94+H111</f>
        <v>0</v>
      </c>
      <c r="I112" s="38">
        <f>I60+I111</f>
        <v>0</v>
      </c>
      <c r="J112" s="38">
        <f>J60+J111</f>
        <v>31239.38</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225677.67</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2384997</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f>2936.29</f>
        <v>2936.29</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2613610.96</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64308.01</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3254.4</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1513.89</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v>1192.8599999999999</v>
      </c>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67562.41</v>
      </c>
      <c r="G136" s="38">
        <f>SUM(G123:G135)</f>
        <v>2706.75</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2681173.37</v>
      </c>
      <c r="G140" s="38">
        <f>G121+SUM(G136:G137)</f>
        <v>2706.75</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v>30481.63</v>
      </c>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30481.63</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30243.16</f>
        <v>30243.16</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51558.32</f>
        <v>51558.32</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9626.49+5578.41+17711.94+44686.76+3928.35</f>
        <v>81531.950000000012</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105800.69</f>
        <v>105800.69</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37638.06</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v>8209.3799999999992</v>
      </c>
      <c r="H161" s="18">
        <f>65806.05</f>
        <v>65806.05</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134937.55+411127.25+16205.76</f>
        <v>562270.56000000006</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37638.06</v>
      </c>
      <c r="G163" s="38">
        <f>SUM(G150:G162)</f>
        <v>89741.330000000016</v>
      </c>
      <c r="H163" s="38">
        <f>SUM(H150:H162)</f>
        <v>815678.78</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52419.25</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90057.31</v>
      </c>
      <c r="G170" s="38">
        <f>G147+G163+SUM(G164:G169)</f>
        <v>89741.330000000016</v>
      </c>
      <c r="H170" s="38">
        <f>H147+H163+SUM(H164:H169)</f>
        <v>846160.41</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v>430000</v>
      </c>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430000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f>67135.38+70</f>
        <v>67205.38</v>
      </c>
      <c r="H180" s="18"/>
      <c r="I180" s="18"/>
      <c r="J180" s="18">
        <v>160000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v>2205.67</v>
      </c>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2205.67</v>
      </c>
      <c r="G184" s="38">
        <f>SUM(G180:G183)</f>
        <v>67205.38</v>
      </c>
      <c r="H184" s="38">
        <f>SUM(H180:H183)</f>
        <v>0</v>
      </c>
      <c r="I184" s="38">
        <f>SUM(I180:I183)</f>
        <v>0</v>
      </c>
      <c r="J184" s="38">
        <f>SUM(J180:J183)</f>
        <v>160000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432205.67</v>
      </c>
      <c r="G193" s="38">
        <f>G184+SUM(G189:G192)</f>
        <v>67205.38</v>
      </c>
      <c r="H193" s="38">
        <f>+H184+SUM(H189:H192)</f>
        <v>0</v>
      </c>
      <c r="I193" s="38">
        <f>I178+I184+SUM(I189:I192)</f>
        <v>0</v>
      </c>
      <c r="J193" s="38">
        <f>J184</f>
        <v>160000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8837960.1999999993</v>
      </c>
      <c r="G194" s="38">
        <f>G112+G140+G170+G193</f>
        <v>215726.39</v>
      </c>
      <c r="H194" s="38">
        <f>H112+H140+H170+H193</f>
        <v>846160.41</v>
      </c>
      <c r="I194" s="38">
        <f>I112+I140+I170+I193</f>
        <v>0</v>
      </c>
      <c r="J194" s="38">
        <f>J112+J140+J193</f>
        <v>191239.38</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816846.89+18700</f>
        <v>835546.89</v>
      </c>
      <c r="G198" s="18">
        <f>258696.09+5372.77+769.38+243.21+59684.42+157947.48+473.1+2715.89+13785.29-102.68</f>
        <v>499584.94999999995</v>
      </c>
      <c r="H198" s="18">
        <f>8752.97+1985.64+6160+138.02</f>
        <v>17036.63</v>
      </c>
      <c r="I198" s="18">
        <f>14502.94+9335.35+1464.08+739.99+12565.9+2378.76</f>
        <v>40987.020000000004</v>
      </c>
      <c r="J198" s="18">
        <f>389.54+195.6</f>
        <v>585.14</v>
      </c>
      <c r="K198" s="18">
        <f>4094.55</f>
        <v>4094.55</v>
      </c>
      <c r="L198" s="13">
        <f>SUM(F198:K198)</f>
        <v>1397835.1799999997</v>
      </c>
      <c r="M198" s="8"/>
      <c r="N198" s="164"/>
    </row>
    <row r="199" spans="1:14" s="3" customFormat="1" ht="12.2" customHeight="1" x14ac:dyDescent="0.15">
      <c r="A199" s="1" t="s">
        <v>439</v>
      </c>
      <c r="B199" s="2" t="s">
        <v>341</v>
      </c>
      <c r="C199" s="2" t="s">
        <v>291</v>
      </c>
      <c r="D199" s="2" t="s">
        <v>431</v>
      </c>
      <c r="E199" s="6">
        <v>1200</v>
      </c>
      <c r="F199" s="18">
        <f>240573.06+11700+19310+9213.03</f>
        <v>280796.09000000003</v>
      </c>
      <c r="G199" s="18">
        <f>79442.9+2709.93+213.18+18068.55+16387.26+23825.96+139.62+801.51+1457.81+1767.02+1152.87+14.22+81.63+2327.08+42.84+670.26+1809.49+5.31+30.46</f>
        <v>150947.89999999994</v>
      </c>
      <c r="H199" s="18">
        <f>175354.17+1194+1438.27+49083.33+4784.78+155.5+60.26</f>
        <v>232070.31000000003</v>
      </c>
      <c r="I199" s="18">
        <f>765.21+60+399.99+151.36+99</f>
        <v>1475.56</v>
      </c>
      <c r="J199" s="18"/>
      <c r="K199" s="18">
        <v>185</v>
      </c>
      <c r="L199" s="13">
        <f>SUM(F199:K199)</f>
        <v>665474.8600000001</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f>814</f>
        <v>814</v>
      </c>
      <c r="G201" s="18">
        <f>58.98+159.87+0.47+2.69+60.64+192.47</f>
        <v>475.12</v>
      </c>
      <c r="H201" s="18"/>
      <c r="I201" s="18">
        <f>267.15</f>
        <v>267.14999999999998</v>
      </c>
      <c r="J201" s="18"/>
      <c r="K201" s="18"/>
      <c r="L201" s="13">
        <f>SUM(F201:K201)</f>
        <v>1556.27</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28205.66+43900+28160.01</f>
        <v>100265.67</v>
      </c>
      <c r="G203" s="18">
        <f>12835.16+20.88+1922.72+5539.6+16.24+93.25+21608.6+397.98+50.88+3043.18+8716.16+25.28+145.14+12835.02+175.12+44.52+1888.71+5530.58+16.22+93.1</f>
        <v>74998.340000000011</v>
      </c>
      <c r="H203" s="18">
        <f>347.57+2347.5+39843.76+123811.02+2529.58+10647+33579+1911</f>
        <v>215016.43</v>
      </c>
      <c r="I203" s="18">
        <f>230.84+279.04+410.24+245.08</f>
        <v>1165.2</v>
      </c>
      <c r="J203" s="18"/>
      <c r="K203" s="18">
        <f>1379+45</f>
        <v>1424</v>
      </c>
      <c r="L203" s="13">
        <f t="shared" ref="L203:L209" si="0">SUM(F203:K203)</f>
        <v>392869.64</v>
      </c>
      <c r="M203" s="8"/>
      <c r="N203" s="164"/>
    </row>
    <row r="204" spans="1:14" s="3" customFormat="1" ht="12.2" customHeight="1" x14ac:dyDescent="0.15">
      <c r="A204" s="1" t="s">
        <v>443</v>
      </c>
      <c r="B204" s="2" t="s">
        <v>341</v>
      </c>
      <c r="C204" s="2" t="s">
        <v>295</v>
      </c>
      <c r="D204" s="2" t="s">
        <v>431</v>
      </c>
      <c r="E204" s="6">
        <v>2200</v>
      </c>
      <c r="F204" s="18">
        <f>1000+31282.04</f>
        <v>32282.04</v>
      </c>
      <c r="G204" s="18">
        <f>72.1+196.4+2493.16+210.99+728.78+16638.92+131.29+27.48+1956.88+1178.46+4433.02+39.12+103.42</f>
        <v>28210.019999999997</v>
      </c>
      <c r="H204" s="18">
        <f>2789.38+2437.48</f>
        <v>5226.8600000000006</v>
      </c>
      <c r="I204" s="18">
        <f>319.53+161.52+1295.55+15.84+364.76+106.03+1226.16+360.48</f>
        <v>3849.8700000000003</v>
      </c>
      <c r="J204" s="18"/>
      <c r="K204" s="18"/>
      <c r="L204" s="13">
        <f t="shared" si="0"/>
        <v>69568.789999999994</v>
      </c>
      <c r="M204" s="8"/>
      <c r="N204" s="164"/>
    </row>
    <row r="205" spans="1:14" s="3" customFormat="1" ht="12.2" customHeight="1" x14ac:dyDescent="0.15">
      <c r="A205" s="1" t="s">
        <v>444</v>
      </c>
      <c r="B205" s="2" t="s">
        <v>341</v>
      </c>
      <c r="C205" s="2" t="s">
        <v>296</v>
      </c>
      <c r="D205" s="2" t="s">
        <v>431</v>
      </c>
      <c r="E205" s="6">
        <v>2300</v>
      </c>
      <c r="F205" s="18">
        <f>2970+344.96+1912.68+541.2+201139.64</f>
        <v>206908.48</v>
      </c>
      <c r="G205" s="18">
        <f>227.21+25.26+46.72+146.32+41.13+44685.66+876+323.28+14506.94+11945.9+6920.16+115.84+665+1031.57</f>
        <v>81556.990000000005</v>
      </c>
      <c r="H205" s="18">
        <f>1440.12+347.91+545.6+2792.34+5323.99+10657.35+9436.34+570.33+5431.2+269.75+319.93+2311.19+173.81+2122.84</f>
        <v>41742.699999999997</v>
      </c>
      <c r="I205" s="18">
        <f>42.9+337.96+1487.18+708.64+272.76+138.11</f>
        <v>2987.5499999999997</v>
      </c>
      <c r="J205" s="18"/>
      <c r="K205" s="18">
        <f>1416.14+7181.4+1276.93+380.11</f>
        <v>10254.58</v>
      </c>
      <c r="L205" s="13">
        <f t="shared" si="0"/>
        <v>343450.30000000005</v>
      </c>
      <c r="M205" s="8"/>
      <c r="N205" s="164"/>
    </row>
    <row r="206" spans="1:14" s="3" customFormat="1" ht="12.2" customHeight="1" x14ac:dyDescent="0.15">
      <c r="A206" s="1" t="s">
        <v>445</v>
      </c>
      <c r="B206" s="2" t="s">
        <v>341</v>
      </c>
      <c r="C206" s="2" t="s">
        <v>297</v>
      </c>
      <c r="D206" s="2" t="s">
        <v>431</v>
      </c>
      <c r="E206" s="6">
        <v>2400</v>
      </c>
      <c r="F206" s="18">
        <f>130194.85</f>
        <v>130194.85</v>
      </c>
      <c r="G206" s="18">
        <f>25836.54+716.41+413.65+9513.32+5167.83+18068.95+74.98+430.44+110</f>
        <v>60332.12</v>
      </c>
      <c r="H206" s="18">
        <f>663.82+2122.85+822.87+1909.51+855.47</f>
        <v>6374.52</v>
      </c>
      <c r="I206" s="18">
        <f>2208.92+4494.11</f>
        <v>6703.03</v>
      </c>
      <c r="J206" s="18">
        <f>12958.44</f>
        <v>12958.44</v>
      </c>
      <c r="K206" s="18">
        <f>2192.3+397.13</f>
        <v>2589.4300000000003</v>
      </c>
      <c r="L206" s="13">
        <f t="shared" si="0"/>
        <v>219152.38999999998</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f>47342.75</f>
        <v>47342.75</v>
      </c>
      <c r="G208" s="18">
        <f>18.36+3621.53+2913.03+27.27+156.52</f>
        <v>6736.7100000000009</v>
      </c>
      <c r="H208" s="18">
        <f>6080.97+5320+7415.19+1713+352+3104.04+151.8+143.42+1623.94</f>
        <v>25904.359999999997</v>
      </c>
      <c r="I208" s="18">
        <f>13248.51+17801.66+37838.64+949.74+552.77</f>
        <v>70391.320000000007</v>
      </c>
      <c r="J208" s="18"/>
      <c r="K208" s="18">
        <f>9748.52</f>
        <v>9748.52</v>
      </c>
      <c r="L208" s="13">
        <f t="shared" si="0"/>
        <v>160123.66</v>
      </c>
      <c r="M208" s="8"/>
      <c r="N208" s="164"/>
    </row>
    <row r="209" spans="1:14" s="3" customFormat="1" ht="12.2" customHeight="1" x14ac:dyDescent="0.15">
      <c r="A209" s="1" t="s">
        <v>448</v>
      </c>
      <c r="B209" s="2" t="s">
        <v>341</v>
      </c>
      <c r="C209" s="2" t="s">
        <v>300</v>
      </c>
      <c r="D209" s="2" t="s">
        <v>431</v>
      </c>
      <c r="E209" s="6">
        <v>2700</v>
      </c>
      <c r="F209" s="18"/>
      <c r="G209" s="18"/>
      <c r="H209" s="18">
        <f>2912.18+50156.8+600+3432.66</f>
        <v>57101.64</v>
      </c>
      <c r="I209" s="18"/>
      <c r="J209" s="18"/>
      <c r="K209" s="18">
        <f>938.02</f>
        <v>938.02</v>
      </c>
      <c r="L209" s="13">
        <f t="shared" si="0"/>
        <v>58039.659999999996</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1634150.77</v>
      </c>
      <c r="G212" s="38">
        <f t="shared" si="1"/>
        <v>902842.14999999979</v>
      </c>
      <c r="H212" s="38">
        <f t="shared" si="1"/>
        <v>600473.45000000007</v>
      </c>
      <c r="I212" s="38">
        <f t="shared" si="1"/>
        <v>127826.70000000001</v>
      </c>
      <c r="J212" s="38">
        <f t="shared" si="1"/>
        <v>13543.58</v>
      </c>
      <c r="K212" s="38">
        <f t="shared" si="1"/>
        <v>29234.100000000002</v>
      </c>
      <c r="L212" s="38">
        <f t="shared" si="1"/>
        <v>3308070.7500000005</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f>540710.11+8800</f>
        <v>549510.11</v>
      </c>
      <c r="G216" s="18">
        <f>182481.86+3463.13+310.09+127.11+39081.85+106195.4+311.41+1787.67+7205.94</f>
        <v>340964.4599999999</v>
      </c>
      <c r="H216" s="18">
        <f>4559.9+1501.15+3220</f>
        <v>9281.0499999999993</v>
      </c>
      <c r="I216" s="18">
        <f>6811.34+132.93+2000.37+2759.13+1230.41</f>
        <v>12934.18</v>
      </c>
      <c r="J216" s="18">
        <f>811.01+877.56</f>
        <v>1688.57</v>
      </c>
      <c r="K216" s="18">
        <f>2481.43</f>
        <v>2481.4299999999998</v>
      </c>
      <c r="L216" s="13">
        <f>SUM(F216:K216)</f>
        <v>916859.79999999993</v>
      </c>
      <c r="M216" s="8"/>
      <c r="N216" s="164"/>
    </row>
    <row r="217" spans="1:14" s="3" customFormat="1" ht="12.2" customHeight="1" x14ac:dyDescent="0.15">
      <c r="A217" s="1" t="s">
        <v>439</v>
      </c>
      <c r="B217" s="2" t="s">
        <v>346</v>
      </c>
      <c r="C217" s="2" t="s">
        <v>291</v>
      </c>
      <c r="D217" s="2" t="s">
        <v>431</v>
      </c>
      <c r="E217" s="6">
        <v>1200</v>
      </c>
      <c r="F217" s="18">
        <f>76747.07+1250</f>
        <v>77997.070000000007</v>
      </c>
      <c r="G217" s="18">
        <f>21608.59+795.93+110.24+5693.46+4051.79+9387.84+57.97+332.8</f>
        <v>42038.62000000001</v>
      </c>
      <c r="H217" s="18">
        <f>195+742.9</f>
        <v>937.9</v>
      </c>
      <c r="I217" s="18">
        <f>68.28</f>
        <v>68.28</v>
      </c>
      <c r="J217" s="18"/>
      <c r="K217" s="18"/>
      <c r="L217" s="13">
        <f>SUM(F217:K217)</f>
        <v>121041.87000000001</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f>14722</f>
        <v>14722</v>
      </c>
      <c r="G219" s="18">
        <f>1117.92+1010.87+8.48+48.67+65</f>
        <v>2250.94</v>
      </c>
      <c r="H219" s="18">
        <f>4165</f>
        <v>4165</v>
      </c>
      <c r="I219" s="18">
        <f>65</f>
        <v>65</v>
      </c>
      <c r="J219" s="18"/>
      <c r="K219" s="18">
        <f>1642</f>
        <v>1642</v>
      </c>
      <c r="L219" s="13">
        <f>SUM(F219:K219)</f>
        <v>22844.94</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f>14743.79+43079.64+14719.99</f>
        <v>72543.42</v>
      </c>
      <c r="G221" s="18">
        <f>6709.29+11.76+1037.93+2989.91+8.49+48.75+9724+179.1+11.4+3071.23+2770.82+4438.7+24.81+142.43+6709.34+91.52+987.36+2891.02+8.48+48.67</f>
        <v>41905.009999999995</v>
      </c>
      <c r="H221" s="18">
        <f>28.94+1187.5+20309.22+4557</f>
        <v>26082.66</v>
      </c>
      <c r="I221" s="18">
        <f>171.77+181.02+128.11</f>
        <v>480.90000000000003</v>
      </c>
      <c r="J221" s="18"/>
      <c r="K221" s="18"/>
      <c r="L221" s="13">
        <f t="shared" ref="L221:L227" si="2">SUM(F221:K221)</f>
        <v>141011.99</v>
      </c>
      <c r="M221" s="8"/>
      <c r="N221" s="164"/>
    </row>
    <row r="222" spans="1:14" s="3" customFormat="1" ht="12.2" customHeight="1" x14ac:dyDescent="0.15">
      <c r="A222" s="1" t="s">
        <v>443</v>
      </c>
      <c r="B222" s="2" t="s">
        <v>346</v>
      </c>
      <c r="C222" s="2" t="s">
        <v>295</v>
      </c>
      <c r="D222" s="2" t="s">
        <v>431</v>
      </c>
      <c r="E222" s="6">
        <v>2200</v>
      </c>
      <c r="F222" s="18">
        <f>1000+20283.91</f>
        <v>21283.91</v>
      </c>
      <c r="G222" s="18">
        <f>70.72+196.4+1384.47+2782.24+180+9939.97+91.51+17.58+1309.48+615.86+3089.82+11.68+67.06</f>
        <v>19756.79</v>
      </c>
      <c r="H222" s="18">
        <f>3450.34+3656.22</f>
        <v>7106.5599999999995</v>
      </c>
      <c r="I222" s="18">
        <f>86.73+112.18+937.32+26.28+190.67+363.17+188.41</f>
        <v>1904.7600000000002</v>
      </c>
      <c r="J222" s="18"/>
      <c r="K222" s="18"/>
      <c r="L222" s="13">
        <f t="shared" si="2"/>
        <v>50052.02</v>
      </c>
      <c r="M222" s="8"/>
      <c r="N222" s="164"/>
    </row>
    <row r="223" spans="1:14" s="3" customFormat="1" ht="12.2" customHeight="1" x14ac:dyDescent="0.15">
      <c r="A223" s="1" t="s">
        <v>444</v>
      </c>
      <c r="B223" s="2" t="s">
        <v>346</v>
      </c>
      <c r="C223" s="2" t="s">
        <v>296</v>
      </c>
      <c r="D223" s="2" t="s">
        <v>431</v>
      </c>
      <c r="E223" s="6">
        <v>2300</v>
      </c>
      <c r="F223" s="18">
        <f>1552.5+180.32+999.8+282.9+105159.26</f>
        <v>108174.78</v>
      </c>
      <c r="G223" s="18">
        <f>118.78+13.24+24.32+76.48+21.45+23358.66+457.5+181.33+7584.84+6244.66+3617.38+60.56+347.67+539.22</f>
        <v>42646.09</v>
      </c>
      <c r="H223" s="18">
        <f>752.79+181.86+285.2+1051.84+2783.01+5358.2+4932.64+388.17+3361.65+140.99+167.03+679.24+100.58+1250.28</f>
        <v>21433.480000000003</v>
      </c>
      <c r="I223" s="18">
        <f>22.57+177.4+728.04+370.44+142.58+559.88</f>
        <v>2000.9099999999999</v>
      </c>
      <c r="J223" s="18"/>
      <c r="K223" s="18">
        <f>740.25+3832.54+642.27+134.61</f>
        <v>5349.6699999999992</v>
      </c>
      <c r="L223" s="13">
        <f t="shared" si="2"/>
        <v>179604.93000000002</v>
      </c>
      <c r="M223" s="8"/>
      <c r="N223" s="164"/>
    </row>
    <row r="224" spans="1:14" s="3" customFormat="1" ht="12.2" customHeight="1" x14ac:dyDescent="0.15">
      <c r="A224" s="1" t="s">
        <v>445</v>
      </c>
      <c r="B224" s="2" t="s">
        <v>346</v>
      </c>
      <c r="C224" s="2" t="s">
        <v>297</v>
      </c>
      <c r="D224" s="2" t="s">
        <v>431</v>
      </c>
      <c r="E224" s="6">
        <v>2400</v>
      </c>
      <c r="F224" s="18">
        <v>60105.79</v>
      </c>
      <c r="G224" s="18">
        <f>10894.45+186.65+105.91+4384.83+1502.61+9623.39+34.62+198.72+57.5</f>
        <v>26988.68</v>
      </c>
      <c r="H224" s="18">
        <f>387.52+1109.71+430.12+999.69+378.45</f>
        <v>3305.49</v>
      </c>
      <c r="I224" s="18">
        <f>1612.23+40.14+2349.19+384.5</f>
        <v>4386.0600000000004</v>
      </c>
      <c r="J224" s="18">
        <f>7705.96</f>
        <v>7705.96</v>
      </c>
      <c r="K224" s="18">
        <f>1539.15+207.59</f>
        <v>1746.74</v>
      </c>
      <c r="L224" s="13">
        <f t="shared" si="2"/>
        <v>104238.72000000002</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f>62194.81</f>
        <v>62194.81</v>
      </c>
      <c r="G226" s="18">
        <f>10804.3+198.86+11.76+4613.37+5028.84+35.82+205.63</f>
        <v>20898.580000000002</v>
      </c>
      <c r="H226" s="18">
        <f>6486.18+783+142.36+4300+13960.62+184+1622.56+79.35+80.46+362.77</f>
        <v>28001.300000000003</v>
      </c>
      <c r="I226" s="18">
        <f>6688.9+18979.6+30495.1+1516.53+343.69</f>
        <v>58023.82</v>
      </c>
      <c r="J226" s="18"/>
      <c r="K226" s="18">
        <f>4969.91</f>
        <v>4969.91</v>
      </c>
      <c r="L226" s="13">
        <f t="shared" si="2"/>
        <v>174088.42</v>
      </c>
      <c r="M226" s="8"/>
      <c r="N226" s="164"/>
    </row>
    <row r="227" spans="1:14" s="3" customFormat="1" ht="12.2" customHeight="1" x14ac:dyDescent="0.15">
      <c r="A227" s="1" t="s">
        <v>448</v>
      </c>
      <c r="B227" s="2" t="s">
        <v>346</v>
      </c>
      <c r="C227" s="2" t="s">
        <v>300</v>
      </c>
      <c r="D227" s="2" t="s">
        <v>431</v>
      </c>
      <c r="E227" s="6">
        <v>2700</v>
      </c>
      <c r="F227" s="18"/>
      <c r="G227" s="18"/>
      <c r="H227" s="18">
        <f>29119.01+2893.87+7582.56+10133.14</f>
        <v>49728.579999999994</v>
      </c>
      <c r="I227" s="18"/>
      <c r="J227" s="18"/>
      <c r="K227" s="18">
        <f>2106</f>
        <v>2106</v>
      </c>
      <c r="L227" s="13">
        <f t="shared" si="2"/>
        <v>51834.579999999994</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966531.89000000013</v>
      </c>
      <c r="G230" s="38">
        <f>SUM(G216:G229)</f>
        <v>537449.16999999993</v>
      </c>
      <c r="H230" s="38">
        <f>SUM(H216:H229)</f>
        <v>150042.01999999999</v>
      </c>
      <c r="I230" s="38">
        <f>SUM(I216:I229)</f>
        <v>79863.91</v>
      </c>
      <c r="J230" s="38">
        <f>SUM(J216:J229)</f>
        <v>9394.5300000000007</v>
      </c>
      <c r="K230" s="38">
        <f t="shared" si="3"/>
        <v>18295.75</v>
      </c>
      <c r="L230" s="38">
        <f t="shared" si="3"/>
        <v>1761577.2699999998</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f>754801.86+35161.04</f>
        <v>789962.9</v>
      </c>
      <c r="G234" s="18">
        <f>224088.17+3765.56+541.98+182.43+57110.92+144572.6+434.71+2495.49+10338.96</f>
        <v>443530.82000000007</v>
      </c>
      <c r="H234" s="18">
        <f>6491.87+3450.61+4620+10329.48</f>
        <v>24891.96</v>
      </c>
      <c r="I234" s="18">
        <f>11327.05+7767.09+1696.44+2830.63+224.14+3657.25+1713.73</f>
        <v>29216.329999999998</v>
      </c>
      <c r="J234" s="18">
        <f>9459.97+481.06+31564.6+189.88+9358+6743.89</f>
        <v>57797.399999999994</v>
      </c>
      <c r="K234" s="18">
        <f>3853.26+306</f>
        <v>4159.26</v>
      </c>
      <c r="L234" s="13">
        <f>SUM(F234:K234)</f>
        <v>1349558.6700000002</v>
      </c>
      <c r="M234" s="8"/>
      <c r="N234" s="164"/>
    </row>
    <row r="235" spans="1:14" s="3" customFormat="1" ht="12.2" customHeight="1" x14ac:dyDescent="0.15">
      <c r="A235" s="1" t="s">
        <v>439</v>
      </c>
      <c r="B235" s="2" t="s">
        <v>350</v>
      </c>
      <c r="C235" s="2" t="s">
        <v>291</v>
      </c>
      <c r="D235" s="2" t="s">
        <v>431</v>
      </c>
      <c r="E235" s="6">
        <v>1200</v>
      </c>
      <c r="F235" s="18">
        <f>87828.81+2650</f>
        <v>90478.81</v>
      </c>
      <c r="G235" s="18">
        <f>57467.65+1118.08+89.04+6019.09+5240.03+9643.16+50.58+290.37</f>
        <v>79918</v>
      </c>
      <c r="H235" s="18">
        <f>4158+1067.87+39768.78+121391.28+67976.58-39768.78</f>
        <v>194593.73</v>
      </c>
      <c r="I235" s="18">
        <f>413.83</f>
        <v>413.83</v>
      </c>
      <c r="J235" s="18">
        <f>3003.66</f>
        <v>3003.66</v>
      </c>
      <c r="K235" s="18"/>
      <c r="L235" s="13">
        <f>SUM(F235:K235)</f>
        <v>368408.03</v>
      </c>
      <c r="M235" s="8"/>
      <c r="N235" s="164"/>
    </row>
    <row r="236" spans="1:14" s="3" customFormat="1" ht="12.2" customHeight="1" x14ac:dyDescent="0.15">
      <c r="A236" s="1" t="s">
        <v>440</v>
      </c>
      <c r="B236" s="2" t="s">
        <v>350</v>
      </c>
      <c r="C236" s="2" t="s">
        <v>292</v>
      </c>
      <c r="D236" s="2" t="s">
        <v>431</v>
      </c>
      <c r="E236" s="6">
        <v>1300</v>
      </c>
      <c r="F236" s="18"/>
      <c r="G236" s="18"/>
      <c r="H236" s="18">
        <f>9194.34</f>
        <v>9194.34</v>
      </c>
      <c r="I236" s="18"/>
      <c r="J236" s="18"/>
      <c r="K236" s="18"/>
      <c r="L236" s="13">
        <f>SUM(F236:K236)</f>
        <v>9194.34</v>
      </c>
      <c r="M236" s="8"/>
      <c r="N236" s="164"/>
    </row>
    <row r="237" spans="1:14" s="3" customFormat="1" ht="12.2" customHeight="1" x14ac:dyDescent="0.15">
      <c r="A237" s="1" t="s">
        <v>441</v>
      </c>
      <c r="B237" s="2" t="s">
        <v>350</v>
      </c>
      <c r="C237" s="2" t="s">
        <v>293</v>
      </c>
      <c r="D237" s="2" t="s">
        <v>431</v>
      </c>
      <c r="E237" s="6">
        <v>1400</v>
      </c>
      <c r="F237" s="18">
        <f>52009.67+8700</f>
        <v>60709.67</v>
      </c>
      <c r="G237" s="18">
        <f>3903.37+491.82+5483.58+29.95+171.95+134.95+644.93+1708.66</f>
        <v>12569.210000000003</v>
      </c>
      <c r="H237" s="18">
        <f>320+15524+381.53+498.51</f>
        <v>16724.04</v>
      </c>
      <c r="I237" s="18">
        <f>24501.87+1143.18</f>
        <v>25645.05</v>
      </c>
      <c r="J237" s="18"/>
      <c r="K237" s="18">
        <v>7718</v>
      </c>
      <c r="L237" s="13">
        <f>SUM(F237:K237)</f>
        <v>123365.97000000002</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f>21154.19+58930.76+21120</f>
        <v>101204.95</v>
      </c>
      <c r="G239" s="18">
        <f>9626.25+18.36+1442.09+4154.81+12.18+69.94+11884.6+218.88+64.92+4259.73+3386.76+6752.11+33.94+194.83+9626.32+131.34+1416.58+4148.1+12.16+69.83</f>
        <v>57523.73000000001</v>
      </c>
      <c r="H239" s="18">
        <f>10000+3730.5+363.91+838+806.3+129.88+1012.5+30096+3549</f>
        <v>50526.09</v>
      </c>
      <c r="I239" s="18">
        <f>403.64+316.69+183.81</f>
        <v>904.13999999999987</v>
      </c>
      <c r="J239" s="18"/>
      <c r="K239" s="18">
        <v>25</v>
      </c>
      <c r="L239" s="13">
        <f t="shared" ref="L239:L245" si="4">SUM(F239:K239)</f>
        <v>210183.91</v>
      </c>
      <c r="M239" s="8"/>
      <c r="N239" s="164"/>
    </row>
    <row r="240" spans="1:14" s="3" customFormat="1" ht="12.2" customHeight="1" x14ac:dyDescent="0.15">
      <c r="A240" s="1" t="s">
        <v>443</v>
      </c>
      <c r="B240" s="2" t="s">
        <v>350</v>
      </c>
      <c r="C240" s="2" t="s">
        <v>295</v>
      </c>
      <c r="D240" s="2" t="s">
        <v>431</v>
      </c>
      <c r="E240" s="6">
        <v>2200</v>
      </c>
      <c r="F240" s="18">
        <f>4000+36629.12</f>
        <v>40629.120000000003</v>
      </c>
      <c r="G240" s="18">
        <f>287.91+135.3+589.2+1538.37+12109.24+180+16638.29+175.18+30.96+2427.42+883.94+5910.85+121.1</f>
        <v>41027.760000000002</v>
      </c>
      <c r="H240" s="18">
        <f>4282.28+3656.21</f>
        <v>7938.49</v>
      </c>
      <c r="I240" s="18">
        <f>124.45+94.33+571.94+29.88+273.57+451.07+220+270.34</f>
        <v>2035.58</v>
      </c>
      <c r="J240" s="18"/>
      <c r="K240" s="18"/>
      <c r="L240" s="13">
        <f t="shared" si="4"/>
        <v>91630.950000000012</v>
      </c>
      <c r="M240" s="8"/>
      <c r="N240" s="164"/>
    </row>
    <row r="241" spans="1:14" s="3" customFormat="1" ht="12.2" customHeight="1" x14ac:dyDescent="0.15">
      <c r="A241" s="1" t="s">
        <v>444</v>
      </c>
      <c r="B241" s="2" t="s">
        <v>350</v>
      </c>
      <c r="C241" s="2" t="s">
        <v>296</v>
      </c>
      <c r="D241" s="2" t="s">
        <v>431</v>
      </c>
      <c r="E241" s="6">
        <v>2300</v>
      </c>
      <c r="F241" s="18">
        <f>2227.5+258.72+1434.52+405.9+150860.91</f>
        <v>155187.55000000002</v>
      </c>
      <c r="G241" s="18">
        <f>170.39+18.71+35.05+109.76+30.78+33514.24+656.4+283.8+10880.2+8959.36+5190.12+86.88+498.77+773.67</f>
        <v>61208.13</v>
      </c>
      <c r="H241" s="18">
        <f>1080.09+260.93+409.2+1509.17+3993+8408.88+7077.26+525.06+4347.15+202.27+261.7+974.55+135.2+1850.11</f>
        <v>31034.57</v>
      </c>
      <c r="I241" s="18">
        <f>32.16+251.49+1054.52+531.44+204.57+842.6</f>
        <v>2916.78</v>
      </c>
      <c r="J241" s="18"/>
      <c r="K241" s="18">
        <f>1062.1+5441.05+921.52+765.53</f>
        <v>8190.2</v>
      </c>
      <c r="L241" s="13">
        <f t="shared" si="4"/>
        <v>258537.23000000004</v>
      </c>
      <c r="M241" s="8"/>
      <c r="N241" s="164"/>
    </row>
    <row r="242" spans="1:14" s="3" customFormat="1" ht="12.2" customHeight="1" x14ac:dyDescent="0.15">
      <c r="A242" s="1" t="s">
        <v>445</v>
      </c>
      <c r="B242" s="2" t="s">
        <v>350</v>
      </c>
      <c r="C242" s="2" t="s">
        <v>297</v>
      </c>
      <c r="D242" s="2" t="s">
        <v>431</v>
      </c>
      <c r="E242" s="6">
        <v>2400</v>
      </c>
      <c r="F242" s="18">
        <f>64443.9</f>
        <v>64443.9</v>
      </c>
      <c r="G242" s="18">
        <f>14054.99+245.03+155.81+4656.48+2089.52+9623.65+37.14+213.06+82.5</f>
        <v>31158.179999999997</v>
      </c>
      <c r="H242" s="18">
        <f>908.68+1597.55+626.49+1432.59+763.02</f>
        <v>5328.33</v>
      </c>
      <c r="I242" s="18">
        <f>3507.15+40.14+3370.58+1052.01</f>
        <v>7969.88</v>
      </c>
      <c r="J242" s="18">
        <f>10283.54</f>
        <v>10283.540000000001</v>
      </c>
      <c r="K242" s="18">
        <f>2411.55+1593.82</f>
        <v>4005.37</v>
      </c>
      <c r="L242" s="13">
        <f t="shared" si="4"/>
        <v>123189.20000000001</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f>72151.5</f>
        <v>72151.5</v>
      </c>
      <c r="G244" s="18">
        <f>10804.3+199.12+46.32+5390.74+6882.74+41.55+238.54</f>
        <v>23603.31</v>
      </c>
      <c r="H244" s="18">
        <f>10751.74+1999.01+220.77+7000+15783.33+264+2328.04+183.83+125.93+520.47</f>
        <v>39177.120000000003</v>
      </c>
      <c r="I244" s="18">
        <f>9989.15+23015.16+26573.67+1792.23+400.01</f>
        <v>61770.22</v>
      </c>
      <c r="J244" s="18">
        <v>4240</v>
      </c>
      <c r="K244" s="18">
        <f>17186.72</f>
        <v>17186.72</v>
      </c>
      <c r="L244" s="13">
        <f t="shared" si="4"/>
        <v>218128.87</v>
      </c>
      <c r="M244" s="8"/>
      <c r="N244" s="164"/>
    </row>
    <row r="245" spans="1:14" s="3" customFormat="1" ht="12.2" customHeight="1" x14ac:dyDescent="0.15">
      <c r="A245" s="1" t="s">
        <v>448</v>
      </c>
      <c r="B245" s="2" t="s">
        <v>350</v>
      </c>
      <c r="C245" s="2" t="s">
        <v>300</v>
      </c>
      <c r="D245" s="2" t="s">
        <v>431</v>
      </c>
      <c r="E245" s="6">
        <v>2700</v>
      </c>
      <c r="F245" s="18"/>
      <c r="G245" s="18"/>
      <c r="H245" s="18">
        <f>33059.2+55712.69+15720.26+1653.12</f>
        <v>106145.26999999999</v>
      </c>
      <c r="I245" s="18"/>
      <c r="J245" s="18"/>
      <c r="K245" s="18">
        <f>2661.27</f>
        <v>2661.27</v>
      </c>
      <c r="L245" s="13">
        <f t="shared" si="4"/>
        <v>108806.54</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1374768.4</v>
      </c>
      <c r="G248" s="38">
        <f t="shared" si="5"/>
        <v>750539.14000000013</v>
      </c>
      <c r="H248" s="38">
        <f t="shared" si="5"/>
        <v>485553.94000000006</v>
      </c>
      <c r="I248" s="38">
        <f t="shared" si="5"/>
        <v>130871.81</v>
      </c>
      <c r="J248" s="38">
        <f t="shared" si="5"/>
        <v>75324.600000000006</v>
      </c>
      <c r="K248" s="38">
        <f t="shared" si="5"/>
        <v>43945.82</v>
      </c>
      <c r="L248" s="38">
        <f t="shared" si="5"/>
        <v>2861003.7100000004</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f>-222106.83+430000</f>
        <v>207893.17</v>
      </c>
      <c r="I256" s="18"/>
      <c r="J256" s="18"/>
      <c r="K256" s="18"/>
      <c r="L256" s="13">
        <f t="shared" si="6"/>
        <v>207893.17</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207893.17</v>
      </c>
      <c r="I257" s="38">
        <f t="shared" si="7"/>
        <v>0</v>
      </c>
      <c r="J257" s="38">
        <f t="shared" si="7"/>
        <v>0</v>
      </c>
      <c r="K257" s="38">
        <f t="shared" si="7"/>
        <v>0</v>
      </c>
      <c r="L257" s="38">
        <f>SUM(F257:K257)</f>
        <v>207893.17</v>
      </c>
      <c r="M257" s="8"/>
      <c r="N257" s="164"/>
    </row>
    <row r="258" spans="1:14" s="3" customFormat="1" ht="12.2" customHeight="1" thickTop="1" x14ac:dyDescent="0.15">
      <c r="A258" s="35" t="s">
        <v>462</v>
      </c>
      <c r="B258" s="37">
        <v>10</v>
      </c>
      <c r="C258" s="37">
        <v>8</v>
      </c>
      <c r="D258" s="36" t="s">
        <v>431</v>
      </c>
      <c r="E258" s="37"/>
      <c r="F258" s="38">
        <f t="shared" ref="F258:L258" si="8">F212+F230+F248+F257</f>
        <v>3975451.06</v>
      </c>
      <c r="G258" s="38">
        <f t="shared" si="8"/>
        <v>2190830.46</v>
      </c>
      <c r="H258" s="38">
        <f t="shared" si="8"/>
        <v>1443962.58</v>
      </c>
      <c r="I258" s="38">
        <f t="shared" si="8"/>
        <v>338562.42000000004</v>
      </c>
      <c r="J258" s="38">
        <f t="shared" si="8"/>
        <v>98262.71</v>
      </c>
      <c r="K258" s="38">
        <f t="shared" si="8"/>
        <v>91475.670000000013</v>
      </c>
      <c r="L258" s="38">
        <f t="shared" si="8"/>
        <v>8138544.9000000004</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f>115600</f>
        <v>115600</v>
      </c>
      <c r="L261" s="13">
        <f>SUM(F261:K261)</f>
        <v>115600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f>36601.2</f>
        <v>36601.199999999997</v>
      </c>
      <c r="L262" s="13">
        <f>SUM(F262:K262)</f>
        <v>36601.199999999997</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f>67135.38+70</f>
        <v>67205.38</v>
      </c>
      <c r="L264" s="13">
        <f>SUM(F264:K264)</f>
        <v>67205.38</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f>60000+100000</f>
        <v>160000</v>
      </c>
      <c r="L267" s="13">
        <f t="shared" si="9"/>
        <v>160000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39768.78</v>
      </c>
      <c r="L269" s="13">
        <f t="shared" si="9"/>
        <v>39768.78</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419175.36</v>
      </c>
      <c r="L271" s="38">
        <f t="shared" si="9"/>
        <v>419175.36</v>
      </c>
      <c r="M271" s="8"/>
      <c r="N271" s="164"/>
    </row>
    <row r="272" spans="1:14" s="33" customFormat="1" ht="12.2" customHeight="1" thickTop="1" x14ac:dyDescent="0.2">
      <c r="A272" s="40" t="s">
        <v>464</v>
      </c>
      <c r="B272" s="37">
        <v>10</v>
      </c>
      <c r="C272" s="37">
        <v>18</v>
      </c>
      <c r="D272" s="36" t="s">
        <v>431</v>
      </c>
      <c r="E272" s="37"/>
      <c r="F272" s="39">
        <f t="shared" ref="F272:L272" si="11">F258+F271</f>
        <v>3975451.06</v>
      </c>
      <c r="G272" s="39">
        <f t="shared" si="11"/>
        <v>2190830.46</v>
      </c>
      <c r="H272" s="39">
        <f t="shared" si="11"/>
        <v>1443962.58</v>
      </c>
      <c r="I272" s="39">
        <f t="shared" si="11"/>
        <v>338562.42000000004</v>
      </c>
      <c r="J272" s="39">
        <f t="shared" si="11"/>
        <v>98262.71</v>
      </c>
      <c r="K272" s="39">
        <f t="shared" si="11"/>
        <v>510651.03</v>
      </c>
      <c r="L272" s="39">
        <f t="shared" si="11"/>
        <v>8557720.2599999998</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4620</f>
        <v>4620</v>
      </c>
      <c r="G277" s="18">
        <f>319.34+907.35</f>
        <v>1226.69</v>
      </c>
      <c r="H277" s="18"/>
      <c r="I277" s="18">
        <f>3081.79+21314.68</f>
        <v>24396.47</v>
      </c>
      <c r="J277" s="18">
        <v>8300.0499999999993</v>
      </c>
      <c r="K277" s="18"/>
      <c r="L277" s="13">
        <f>SUM(F277:K277)</f>
        <v>38543.210000000006</v>
      </c>
      <c r="M277" s="8"/>
      <c r="N277" s="164"/>
    </row>
    <row r="278" spans="1:14" s="3" customFormat="1" ht="12.2" customHeight="1" x14ac:dyDescent="0.15">
      <c r="A278" s="1" t="s">
        <v>439</v>
      </c>
      <c r="B278" s="2" t="s">
        <v>357</v>
      </c>
      <c r="C278" s="2" t="s">
        <v>291</v>
      </c>
      <c r="D278" s="2" t="s">
        <v>431</v>
      </c>
      <c r="E278" s="6">
        <v>1200</v>
      </c>
      <c r="F278" s="18">
        <f>1858.44</f>
        <v>1858.44</v>
      </c>
      <c r="G278" s="18"/>
      <c r="H278" s="18">
        <f>562.5+31422.5</f>
        <v>31985</v>
      </c>
      <c r="I278" s="18"/>
      <c r="J278" s="18">
        <f>2242.56</f>
        <v>2242.56</v>
      </c>
      <c r="K278" s="18"/>
      <c r="L278" s="13">
        <f>SUM(F278:K278)</f>
        <v>36086</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f>3820+5380</f>
        <v>9200</v>
      </c>
      <c r="G280" s="18">
        <f>269.12+750.25+336.6+864.16</f>
        <v>2220.13</v>
      </c>
      <c r="H280" s="18">
        <f>9625</f>
        <v>9625</v>
      </c>
      <c r="I280" s="18">
        <f>719.9</f>
        <v>719.9</v>
      </c>
      <c r="J280" s="18"/>
      <c r="K280" s="18"/>
      <c r="L280" s="13">
        <f>SUM(F280:K280)</f>
        <v>21765.030000000002</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f>13660.24</f>
        <v>13660.24</v>
      </c>
      <c r="I282" s="18"/>
      <c r="J282" s="18"/>
      <c r="K282" s="18"/>
      <c r="L282" s="13">
        <f t="shared" ref="L282:L288" si="12">SUM(F282:K282)</f>
        <v>13660.24</v>
      </c>
      <c r="M282" s="8"/>
      <c r="N282" s="164"/>
    </row>
    <row r="283" spans="1:14" s="3" customFormat="1" ht="12.2" customHeight="1" x14ac:dyDescent="0.15">
      <c r="A283" s="1" t="s">
        <v>443</v>
      </c>
      <c r="B283" s="2" t="s">
        <v>357</v>
      </c>
      <c r="C283" s="2" t="s">
        <v>295</v>
      </c>
      <c r="D283" s="2" t="s">
        <v>431</v>
      </c>
      <c r="E283" s="6">
        <v>2200</v>
      </c>
      <c r="F283" s="18">
        <f>1500+480</f>
        <v>1980</v>
      </c>
      <c r="G283" s="18">
        <f>104.22+294.6</f>
        <v>398.82000000000005</v>
      </c>
      <c r="H283" s="18">
        <f>3910+3139.42+5180.4+845+462.84+1715</f>
        <v>15252.66</v>
      </c>
      <c r="I283" s="18"/>
      <c r="J283" s="18"/>
      <c r="K283" s="18"/>
      <c r="L283" s="13">
        <f t="shared" si="12"/>
        <v>17631.48</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f>65806.05</f>
        <v>65806.05</v>
      </c>
      <c r="I287" s="18"/>
      <c r="J287" s="18"/>
      <c r="K287" s="18"/>
      <c r="L287" s="13">
        <f t="shared" si="12"/>
        <v>65806.05</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17658.440000000002</v>
      </c>
      <c r="G291" s="39">
        <f t="shared" si="13"/>
        <v>3845.6400000000003</v>
      </c>
      <c r="H291" s="39">
        <f t="shared" si="13"/>
        <v>136328.95000000001</v>
      </c>
      <c r="I291" s="39">
        <f t="shared" si="13"/>
        <v>25116.370000000003</v>
      </c>
      <c r="J291" s="39">
        <f t="shared" si="13"/>
        <v>10542.609999999999</v>
      </c>
      <c r="K291" s="39">
        <f t="shared" si="13"/>
        <v>0</v>
      </c>
      <c r="L291" s="38">
        <f t="shared" si="13"/>
        <v>193492.01</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v>1305.29</v>
      </c>
      <c r="K296" s="18">
        <v>2945</v>
      </c>
      <c r="L296" s="13">
        <f>SUM(F296:K296)</f>
        <v>4250.29</v>
      </c>
      <c r="M296" s="8"/>
      <c r="N296" s="164"/>
    </row>
    <row r="297" spans="1:14" s="3" customFormat="1" ht="12.2" customHeight="1" x14ac:dyDescent="0.15">
      <c r="A297" s="1" t="s">
        <v>439</v>
      </c>
      <c r="B297" s="2" t="s">
        <v>358</v>
      </c>
      <c r="C297" s="2" t="s">
        <v>291</v>
      </c>
      <c r="D297" s="2" t="s">
        <v>431</v>
      </c>
      <c r="E297" s="6">
        <v>1200</v>
      </c>
      <c r="F297" s="18">
        <f>23913.52</f>
        <v>23913.52</v>
      </c>
      <c r="G297" s="18">
        <f>1752.88+3100.2</f>
        <v>4853.08</v>
      </c>
      <c r="H297" s="18"/>
      <c r="I297" s="18"/>
      <c r="J297" s="18"/>
      <c r="K297" s="18"/>
      <c r="L297" s="13">
        <f>SUM(F297:K297)</f>
        <v>28766.6</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f>7524</f>
        <v>7524</v>
      </c>
      <c r="I301" s="18"/>
      <c r="J301" s="18"/>
      <c r="K301" s="18"/>
      <c r="L301" s="13">
        <f t="shared" ref="L301:L307" si="14">SUM(F301:K301)</f>
        <v>7524</v>
      </c>
      <c r="M301" s="8"/>
      <c r="N301" s="164"/>
    </row>
    <row r="302" spans="1:14" s="3" customFormat="1" ht="12.2" customHeight="1" x14ac:dyDescent="0.15">
      <c r="A302" s="1" t="s">
        <v>443</v>
      </c>
      <c r="B302" s="2" t="s">
        <v>358</v>
      </c>
      <c r="C302" s="2" t="s">
        <v>295</v>
      </c>
      <c r="D302" s="2" t="s">
        <v>431</v>
      </c>
      <c r="E302" s="6">
        <v>2200</v>
      </c>
      <c r="F302" s="18">
        <f>480</f>
        <v>480</v>
      </c>
      <c r="G302" s="18"/>
      <c r="H302" s="18">
        <f>1610+4060.43+3879.3</f>
        <v>9549.73</v>
      </c>
      <c r="I302" s="18"/>
      <c r="J302" s="18"/>
      <c r="K302" s="18"/>
      <c r="L302" s="13">
        <f t="shared" si="14"/>
        <v>10029.73</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f>5250</f>
        <v>5250</v>
      </c>
      <c r="I306" s="18"/>
      <c r="J306" s="18"/>
      <c r="K306" s="18"/>
      <c r="L306" s="13">
        <f t="shared" si="14"/>
        <v>5250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24393.52</v>
      </c>
      <c r="G310" s="39">
        <f t="shared" si="15"/>
        <v>4853.08</v>
      </c>
      <c r="H310" s="39">
        <f t="shared" si="15"/>
        <v>22323.73</v>
      </c>
      <c r="I310" s="39">
        <f t="shared" si="15"/>
        <v>0</v>
      </c>
      <c r="J310" s="39">
        <f t="shared" si="15"/>
        <v>1305.29</v>
      </c>
      <c r="K310" s="39">
        <f t="shared" si="15"/>
        <v>2945</v>
      </c>
      <c r="L310" s="38">
        <f t="shared" si="15"/>
        <v>55820.619999999995</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f>14986.29</f>
        <v>14986.29</v>
      </c>
      <c r="K315" s="18">
        <v>2945</v>
      </c>
      <c r="L315" s="13">
        <f>SUM(F315:K315)</f>
        <v>17931.29</v>
      </c>
      <c r="M315" s="8"/>
      <c r="N315" s="164"/>
    </row>
    <row r="316" spans="1:14" s="3" customFormat="1" ht="12.2" customHeight="1" x14ac:dyDescent="0.15">
      <c r="A316" s="1" t="s">
        <v>439</v>
      </c>
      <c r="B316" s="2" t="s">
        <v>359</v>
      </c>
      <c r="C316" s="2" t="s">
        <v>291</v>
      </c>
      <c r="D316" s="2" t="s">
        <v>431</v>
      </c>
      <c r="E316" s="6">
        <v>1200</v>
      </c>
      <c r="F316" s="18"/>
      <c r="G316" s="18"/>
      <c r="H316" s="18">
        <v>9500</v>
      </c>
      <c r="I316" s="18"/>
      <c r="J316" s="18">
        <f>5339.34</f>
        <v>5339.34</v>
      </c>
      <c r="K316" s="18"/>
      <c r="L316" s="13">
        <f>SUM(F316:K316)</f>
        <v>14839.34</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f>641.27+5568.46</f>
        <v>6209.73</v>
      </c>
      <c r="I318" s="18"/>
      <c r="J318" s="18"/>
      <c r="K318" s="18"/>
      <c r="L318" s="13">
        <f>SUM(F318:K318)</f>
        <v>6209.73</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f>9196</f>
        <v>9196</v>
      </c>
      <c r="I320" s="18"/>
      <c r="J320" s="18"/>
      <c r="K320" s="18"/>
      <c r="L320" s="13">
        <f t="shared" ref="L320:L326" si="16">SUM(F320:K320)</f>
        <v>9196</v>
      </c>
      <c r="M320" s="8"/>
      <c r="N320" s="164"/>
    </row>
    <row r="321" spans="1:14" s="3" customFormat="1" ht="12.2" customHeight="1" x14ac:dyDescent="0.15">
      <c r="A321" s="1" t="s">
        <v>443</v>
      </c>
      <c r="B321" s="2" t="s">
        <v>359</v>
      </c>
      <c r="C321" s="2" t="s">
        <v>295</v>
      </c>
      <c r="D321" s="2" t="s">
        <v>431</v>
      </c>
      <c r="E321" s="6">
        <v>2200</v>
      </c>
      <c r="F321" s="18">
        <f>480</f>
        <v>480</v>
      </c>
      <c r="G321" s="18"/>
      <c r="H321" s="18">
        <f>2310+1015.65+1845.3</f>
        <v>5170.95</v>
      </c>
      <c r="I321" s="18"/>
      <c r="J321" s="18"/>
      <c r="K321" s="18"/>
      <c r="L321" s="13">
        <f t="shared" si="16"/>
        <v>5650.95</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f>5250</f>
        <v>5250</v>
      </c>
      <c r="I325" s="18"/>
      <c r="J325" s="18"/>
      <c r="K325" s="18"/>
      <c r="L325" s="13">
        <f t="shared" si="16"/>
        <v>5250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480</v>
      </c>
      <c r="G329" s="39">
        <f t="shared" si="17"/>
        <v>0</v>
      </c>
      <c r="H329" s="39">
        <f t="shared" si="17"/>
        <v>35326.68</v>
      </c>
      <c r="I329" s="39">
        <f t="shared" si="17"/>
        <v>0</v>
      </c>
      <c r="J329" s="39">
        <f t="shared" si="17"/>
        <v>20325.63</v>
      </c>
      <c r="K329" s="39">
        <f t="shared" si="17"/>
        <v>2945</v>
      </c>
      <c r="L329" s="38">
        <f t="shared" si="17"/>
        <v>59077.31</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f>62218.77+62218.78+205563.62+205563.63</f>
        <v>535564.80000000005</v>
      </c>
      <c r="I337" s="18"/>
      <c r="J337" s="18"/>
      <c r="K337" s="18"/>
      <c r="L337" s="13">
        <f t="shared" si="18"/>
        <v>535564.80000000005</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535564.80000000005</v>
      </c>
      <c r="I338" s="38">
        <f t="shared" si="19"/>
        <v>0</v>
      </c>
      <c r="J338" s="38">
        <f t="shared" si="19"/>
        <v>0</v>
      </c>
      <c r="K338" s="38">
        <f t="shared" si="19"/>
        <v>0</v>
      </c>
      <c r="L338" s="38">
        <f t="shared" si="18"/>
        <v>535564.80000000005</v>
      </c>
      <c r="M338" s="8"/>
      <c r="N338" s="164"/>
    </row>
    <row r="339" spans="1:43" s="3" customFormat="1" ht="12.2" customHeight="1" thickTop="1" x14ac:dyDescent="0.15">
      <c r="A339" s="35" t="s">
        <v>468</v>
      </c>
      <c r="B339" s="37">
        <v>14</v>
      </c>
      <c r="C339" s="37">
        <v>7</v>
      </c>
      <c r="D339" s="36" t="s">
        <v>431</v>
      </c>
      <c r="E339" s="37"/>
      <c r="F339" s="38">
        <f t="shared" ref="F339:L339" si="20">F291+F310+F329+F338</f>
        <v>42531.960000000006</v>
      </c>
      <c r="G339" s="38">
        <f t="shared" si="20"/>
        <v>8698.7200000000012</v>
      </c>
      <c r="H339" s="38">
        <f t="shared" si="20"/>
        <v>729544.16</v>
      </c>
      <c r="I339" s="38">
        <f t="shared" si="20"/>
        <v>25116.370000000003</v>
      </c>
      <c r="J339" s="38">
        <f t="shared" si="20"/>
        <v>32173.53</v>
      </c>
      <c r="K339" s="38">
        <f t="shared" si="20"/>
        <v>5890</v>
      </c>
      <c r="L339" s="38">
        <f t="shared" si="20"/>
        <v>843954.74</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f>2205.67</f>
        <v>2205.67</v>
      </c>
      <c r="L345" s="13">
        <f t="shared" ref="L345:L351" si="21">SUM(F345:K345)</f>
        <v>2205.67</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2205.67</v>
      </c>
      <c r="L352" s="38">
        <f>SUM(L342:L351)</f>
        <v>2205.67</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42531.960000000006</v>
      </c>
      <c r="G353" s="38">
        <f>G339</f>
        <v>8698.7200000000012</v>
      </c>
      <c r="H353" s="38">
        <f>H339</f>
        <v>729544.16</v>
      </c>
      <c r="I353" s="38">
        <f>I339</f>
        <v>25116.370000000003</v>
      </c>
      <c r="J353" s="38">
        <f>J339</f>
        <v>32173.53</v>
      </c>
      <c r="K353" s="38">
        <f>K339+K352</f>
        <v>8095.67</v>
      </c>
      <c r="L353" s="38">
        <f>L339+L352</f>
        <v>846160.41</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f>2724.48+90871.99</f>
        <v>93596.47</v>
      </c>
      <c r="I359" s="18">
        <f>625.89</f>
        <v>625.89</v>
      </c>
      <c r="J359" s="18">
        <f>638</f>
        <v>638</v>
      </c>
      <c r="K359" s="18">
        <f>135.6</f>
        <v>135.6</v>
      </c>
      <c r="L359" s="13">
        <f>SUM(F359:K359)</f>
        <v>94995.96</v>
      </c>
      <c r="M359" s="8"/>
      <c r="N359" s="164"/>
    </row>
    <row r="360" spans="1:22" s="3" customFormat="1" ht="12.2" customHeight="1" x14ac:dyDescent="0.15">
      <c r="A360" s="1" t="s">
        <v>542</v>
      </c>
      <c r="B360" s="2" t="s">
        <v>366</v>
      </c>
      <c r="C360" s="6">
        <v>2</v>
      </c>
      <c r="D360" s="2" t="s">
        <v>431</v>
      </c>
      <c r="E360" s="6"/>
      <c r="F360" s="18"/>
      <c r="G360" s="18"/>
      <c r="H360" s="18">
        <f>1424.16+47501.3</f>
        <v>48925.460000000006</v>
      </c>
      <c r="I360" s="18">
        <f>327.17</f>
        <v>327.17</v>
      </c>
      <c r="J360" s="18">
        <f>332.99</f>
        <v>332.99</v>
      </c>
      <c r="K360" s="18"/>
      <c r="L360" s="13">
        <f>SUM(F360:K360)</f>
        <v>49585.62</v>
      </c>
      <c r="M360" s="8"/>
      <c r="N360" s="164"/>
    </row>
    <row r="361" spans="1:22" s="3" customFormat="1" ht="12.2" customHeight="1" x14ac:dyDescent="0.15">
      <c r="A361" s="3" t="s">
        <v>543</v>
      </c>
      <c r="B361" s="2" t="s">
        <v>366</v>
      </c>
      <c r="C361" s="6">
        <v>3</v>
      </c>
      <c r="D361" s="2" t="s">
        <v>431</v>
      </c>
      <c r="E361" s="6"/>
      <c r="F361" s="18"/>
      <c r="G361" s="18"/>
      <c r="H361" s="18">
        <f>2043.36+68154.04</f>
        <v>70197.399999999994</v>
      </c>
      <c r="I361" s="18">
        <v>469.4</v>
      </c>
      <c r="J361" s="18">
        <v>478.01</v>
      </c>
      <c r="K361" s="18"/>
      <c r="L361" s="13">
        <f>SUM(F361:K361)</f>
        <v>71144.809999999983</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212719.33</v>
      </c>
      <c r="I363" s="38">
        <f t="shared" si="22"/>
        <v>1422.46</v>
      </c>
      <c r="J363" s="38">
        <f t="shared" si="22"/>
        <v>1449</v>
      </c>
      <c r="K363" s="38">
        <f t="shared" si="22"/>
        <v>135.6</v>
      </c>
      <c r="L363" s="38">
        <f t="shared" si="22"/>
        <v>215726.39</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625.89</v>
      </c>
      <c r="G369" s="53">
        <v>327.17</v>
      </c>
      <c r="H369" s="53">
        <v>469.4</v>
      </c>
      <c r="I369" s="13">
        <f>SUM(F369:H369)</f>
        <v>1422.46</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625.89</v>
      </c>
      <c r="G370" s="38">
        <f>SUM(G368:G369)</f>
        <v>327.17</v>
      </c>
      <c r="H370" s="38">
        <f>SUM(H368:H369)</f>
        <v>469.4</v>
      </c>
      <c r="I370" s="38">
        <f>SUM(I368:I369)</f>
        <v>1422.46</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f>60000</f>
        <v>60000</v>
      </c>
      <c r="H397" s="18">
        <f>9477.7</f>
        <v>9477.7000000000007</v>
      </c>
      <c r="I397" s="18"/>
      <c r="J397" s="23" t="s">
        <v>288</v>
      </c>
      <c r="K397" s="23" t="s">
        <v>288</v>
      </c>
      <c r="L397" s="13">
        <f t="shared" si="26"/>
        <v>69477.7</v>
      </c>
      <c r="M397" s="8"/>
      <c r="N397" s="164"/>
    </row>
    <row r="398" spans="1:14" s="3" customFormat="1" ht="12.2" customHeight="1" x14ac:dyDescent="0.15">
      <c r="A398" s="62" t="s">
        <v>515</v>
      </c>
      <c r="B398" s="2" t="s">
        <v>381</v>
      </c>
      <c r="C398" s="6">
        <v>10</v>
      </c>
      <c r="D398" s="2" t="s">
        <v>432</v>
      </c>
      <c r="E398" s="6"/>
      <c r="F398" s="18"/>
      <c r="G398" s="18">
        <f>60000</f>
        <v>60000</v>
      </c>
      <c r="H398" s="18">
        <f>12358.48</f>
        <v>12358.48</v>
      </c>
      <c r="I398" s="18"/>
      <c r="J398" s="23" t="s">
        <v>288</v>
      </c>
      <c r="K398" s="23" t="s">
        <v>288</v>
      </c>
      <c r="L398" s="13">
        <f t="shared" si="26"/>
        <v>72358.48</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v>30000</v>
      </c>
      <c r="H400" s="18">
        <v>2464.91</v>
      </c>
      <c r="I400" s="18"/>
      <c r="J400" s="23" t="s">
        <v>288</v>
      </c>
      <c r="K400" s="23" t="s">
        <v>288</v>
      </c>
      <c r="L400" s="13">
        <f t="shared" si="26"/>
        <v>32464.91</v>
      </c>
      <c r="M400" s="8"/>
      <c r="N400" s="164"/>
    </row>
    <row r="401" spans="1:21" s="3" customFormat="1" ht="12.2" customHeight="1" thickBot="1" x14ac:dyDescent="0.2">
      <c r="A401" s="62" t="s">
        <v>510</v>
      </c>
      <c r="B401" s="2" t="s">
        <v>381</v>
      </c>
      <c r="C401" s="6">
        <v>13</v>
      </c>
      <c r="D401" s="2" t="s">
        <v>432</v>
      </c>
      <c r="E401" s="6"/>
      <c r="F401" s="18"/>
      <c r="G401" s="18">
        <f>10000</f>
        <v>10000</v>
      </c>
      <c r="H401" s="18">
        <f>989.55+3758.77+1305.54+884.43</f>
        <v>6938.29</v>
      </c>
      <c r="I401" s="18"/>
      <c r="J401" s="23" t="s">
        <v>288</v>
      </c>
      <c r="K401" s="23" t="s">
        <v>288</v>
      </c>
      <c r="L401" s="13">
        <f t="shared" si="26"/>
        <v>16938.29</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160000</v>
      </c>
      <c r="H402" s="38">
        <f>SUM(H396:H401)</f>
        <v>31239.38</v>
      </c>
      <c r="I402" s="38">
        <f>SUM(I396:I401)</f>
        <v>0</v>
      </c>
      <c r="J402" s="42" t="s">
        <v>288</v>
      </c>
      <c r="K402" s="42" t="s">
        <v>288</v>
      </c>
      <c r="L402" s="38">
        <f>SUM(L396:L401)</f>
        <v>191239.38</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160000</v>
      </c>
      <c r="H409" s="38">
        <f>H394+H402+H408</f>
        <v>31239.38</v>
      </c>
      <c r="I409" s="38">
        <f>I394+I402+I408</f>
        <v>0</v>
      </c>
      <c r="J409" s="23" t="s">
        <v>288</v>
      </c>
      <c r="K409" s="23" t="s">
        <v>288</v>
      </c>
      <c r="L409" s="38">
        <f>L394+L402+L408</f>
        <v>191239.38</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v>113045</v>
      </c>
      <c r="I423" s="18"/>
      <c r="J423" s="18"/>
      <c r="K423" s="18"/>
      <c r="L423" s="13">
        <f t="shared" si="29"/>
        <v>113045</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v>23841.51</v>
      </c>
      <c r="K426" s="18"/>
      <c r="L426" s="13">
        <f t="shared" si="29"/>
        <v>23841.51</v>
      </c>
      <c r="M426" s="8"/>
      <c r="N426" s="164"/>
    </row>
    <row r="427" spans="1:21" s="3" customFormat="1" ht="12.2" customHeight="1" thickBot="1" x14ac:dyDescent="0.2">
      <c r="A427" s="62" t="s">
        <v>510</v>
      </c>
      <c r="B427" s="6">
        <v>17</v>
      </c>
      <c r="C427" s="6">
        <v>13</v>
      </c>
      <c r="D427" s="2" t="s">
        <v>432</v>
      </c>
      <c r="E427" s="6"/>
      <c r="F427" s="18"/>
      <c r="G427" s="18"/>
      <c r="H427" s="18"/>
      <c r="I427" s="18"/>
      <c r="J427" s="18"/>
      <c r="K427" s="18">
        <v>2250</v>
      </c>
      <c r="L427" s="13">
        <f t="shared" si="29"/>
        <v>2250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113045</v>
      </c>
      <c r="I428" s="38">
        <f t="shared" si="30"/>
        <v>0</v>
      </c>
      <c r="J428" s="38">
        <f t="shared" si="30"/>
        <v>23841.51</v>
      </c>
      <c r="K428" s="38">
        <f t="shared" si="30"/>
        <v>2250</v>
      </c>
      <c r="L428" s="38">
        <f t="shared" si="30"/>
        <v>139136.51</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113045</v>
      </c>
      <c r="I435" s="38">
        <f t="shared" si="32"/>
        <v>0</v>
      </c>
      <c r="J435" s="38">
        <f t="shared" si="32"/>
        <v>23841.51</v>
      </c>
      <c r="K435" s="38">
        <f t="shared" si="32"/>
        <v>2250</v>
      </c>
      <c r="L435" s="38">
        <f t="shared" si="32"/>
        <v>139136.51</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276649.65999999997</v>
      </c>
      <c r="G440" s="18">
        <f>548539.23-276649.66+17246.58</f>
        <v>289136.15000000002</v>
      </c>
      <c r="H440" s="18"/>
      <c r="I440" s="13">
        <f t="shared" ref="I440:I446" si="33">SUM(F440:H440)</f>
        <v>565785.81000000006</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276649.65999999997</v>
      </c>
      <c r="G447" s="13">
        <f>SUM(G440:G446)</f>
        <v>289136.15000000002</v>
      </c>
      <c r="H447" s="13">
        <f>SUM(H440:H446)</f>
        <v>0</v>
      </c>
      <c r="I447" s="13">
        <f>SUM(I440:I446)</f>
        <v>565785.81000000006</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276649.65999999997</v>
      </c>
      <c r="G460" s="18">
        <v>289136.15000000002</v>
      </c>
      <c r="H460" s="18"/>
      <c r="I460" s="13">
        <f t="shared" si="34"/>
        <v>565785.81000000006</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276649.65999999997</v>
      </c>
      <c r="G461" s="65">
        <f>SUM(G455:G460)</f>
        <v>289136.15000000002</v>
      </c>
      <c r="H461" s="65">
        <f>SUM(H455:H460)</f>
        <v>0</v>
      </c>
      <c r="I461" s="65">
        <f>SUM(I455:I460)</f>
        <v>565785.81000000006</v>
      </c>
      <c r="J461" s="23" t="s">
        <v>288</v>
      </c>
      <c r="K461" s="23" t="s">
        <v>288</v>
      </c>
      <c r="L461" s="23" t="s">
        <v>288</v>
      </c>
      <c r="N461" s="130"/>
    </row>
    <row r="462" spans="1:86" ht="12.2" customHeight="1" thickTop="1" x14ac:dyDescent="0.2">
      <c r="A462" s="40" t="s">
        <v>424</v>
      </c>
      <c r="B462" s="41">
        <v>18</v>
      </c>
      <c r="C462" s="64">
        <v>21</v>
      </c>
      <c r="D462" s="114" t="s">
        <v>432</v>
      </c>
      <c r="E462" s="64"/>
      <c r="F462" s="39">
        <f>F453+F461</f>
        <v>276649.65999999997</v>
      </c>
      <c r="G462" s="39">
        <f>G453+G461</f>
        <v>289136.15000000002</v>
      </c>
      <c r="H462" s="39">
        <f>H453+H461</f>
        <v>0</v>
      </c>
      <c r="I462" s="39">
        <f>I453+I461</f>
        <v>565785.81000000006</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1106957.1200000001</v>
      </c>
      <c r="G466" s="18">
        <v>4280.24</v>
      </c>
      <c r="H466" s="18">
        <v>8728.65</v>
      </c>
      <c r="I466" s="18"/>
      <c r="J466" s="18">
        <v>513682.94</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8837960.2</f>
        <v>8837960.1999999993</v>
      </c>
      <c r="G469" s="18">
        <v>215726.39</v>
      </c>
      <c r="H469" s="18">
        <v>846160.41</v>
      </c>
      <c r="I469" s="18"/>
      <c r="J469" s="18">
        <v>191239.38</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8837960.1999999993</v>
      </c>
      <c r="G471" s="19">
        <f>SUM(G469:G470)</f>
        <v>215726.39</v>
      </c>
      <c r="H471" s="19">
        <f>SUM(H469:H470)</f>
        <v>846160.41</v>
      </c>
      <c r="I471" s="19">
        <f>SUM(I469:I470)</f>
        <v>0</v>
      </c>
      <c r="J471" s="19">
        <f>SUM(J469:J470)</f>
        <v>191239.38</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8557720.2599999998</v>
      </c>
      <c r="G473" s="18">
        <v>215726.39</v>
      </c>
      <c r="H473" s="18">
        <v>846160.41</v>
      </c>
      <c r="I473" s="18"/>
      <c r="J473" s="18">
        <v>139136.51</v>
      </c>
      <c r="K473" s="23" t="s">
        <v>288</v>
      </c>
      <c r="L473" s="23" t="s">
        <v>288</v>
      </c>
      <c r="N473" s="130"/>
    </row>
    <row r="474" spans="1:14" ht="12.2" customHeight="1" x14ac:dyDescent="0.2">
      <c r="A474" s="71" t="s">
        <v>613</v>
      </c>
      <c r="B474" s="22">
        <v>19</v>
      </c>
      <c r="C474" s="31">
        <v>6</v>
      </c>
      <c r="D474" s="2" t="s">
        <v>432</v>
      </c>
      <c r="E474" s="31"/>
      <c r="F474" s="18">
        <v>61986.67</v>
      </c>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8619706.9299999997</v>
      </c>
      <c r="G475" s="19">
        <f>SUM(G473:G474)</f>
        <v>215726.39</v>
      </c>
      <c r="H475" s="19">
        <f>SUM(H473:H474)</f>
        <v>846160.41</v>
      </c>
      <c r="I475" s="19">
        <f>SUM(I473:I474)</f>
        <v>0</v>
      </c>
      <c r="J475" s="19">
        <f>SUM(J473:J474)</f>
        <v>139136.51</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1325210.3900000006</v>
      </c>
      <c r="G477" s="19">
        <f>(G466+G471)- G475</f>
        <v>4280.2399999999907</v>
      </c>
      <c r="H477" s="19">
        <f>(H466+H471)- H475</f>
        <v>8728.6500000000233</v>
      </c>
      <c r="I477" s="19">
        <f>(I466+I471)- I475</f>
        <v>0</v>
      </c>
      <c r="J477" s="19">
        <f>(J466+J471)- J475</f>
        <v>565785.81000000006</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1847</v>
      </c>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5</v>
      </c>
      <c r="G491" s="111">
        <v>10</v>
      </c>
      <c r="H491" s="111">
        <v>5</v>
      </c>
      <c r="I491" s="111"/>
      <c r="J491" s="111"/>
      <c r="K491" s="23" t="s">
        <v>288</v>
      </c>
      <c r="L491" s="23" t="s">
        <v>288</v>
      </c>
      <c r="N491" s="130"/>
    </row>
    <row r="492" spans="1:14" ht="12.2" customHeight="1" x14ac:dyDescent="0.2">
      <c r="A492" s="21" t="s">
        <v>615</v>
      </c>
      <c r="B492" s="22">
        <v>20</v>
      </c>
      <c r="C492" s="22">
        <v>2</v>
      </c>
      <c r="D492" s="2" t="s">
        <v>432</v>
      </c>
      <c r="E492" s="22"/>
      <c r="F492" s="112" t="s">
        <v>1843</v>
      </c>
      <c r="G492" s="112" t="s">
        <v>1845</v>
      </c>
      <c r="H492" s="111">
        <f>6/23</f>
        <v>0.2608695652173913</v>
      </c>
      <c r="I492" s="111"/>
      <c r="J492" s="111"/>
      <c r="K492" s="23" t="s">
        <v>288</v>
      </c>
      <c r="L492" s="23" t="s">
        <v>288</v>
      </c>
      <c r="N492" s="130"/>
    </row>
    <row r="493" spans="1:14" ht="12.2" customHeight="1" x14ac:dyDescent="0.2">
      <c r="A493" s="21" t="s">
        <v>616</v>
      </c>
      <c r="B493" s="22">
        <v>20</v>
      </c>
      <c r="C493" s="22">
        <v>3</v>
      </c>
      <c r="D493" s="2" t="s">
        <v>432</v>
      </c>
      <c r="E493" s="22"/>
      <c r="F493" s="112" t="s">
        <v>1844</v>
      </c>
      <c r="G493" s="112" t="s">
        <v>1846</v>
      </c>
      <c r="H493" s="111">
        <f>8/28</f>
        <v>0.2857142857142857</v>
      </c>
      <c r="I493" s="111"/>
      <c r="J493" s="111"/>
      <c r="K493" s="23" t="s">
        <v>288</v>
      </c>
      <c r="L493" s="23" t="s">
        <v>288</v>
      </c>
      <c r="N493" s="130"/>
    </row>
    <row r="494" spans="1:14" ht="12.2" customHeight="1" x14ac:dyDescent="0.2">
      <c r="A494" s="21" t="s">
        <v>617</v>
      </c>
      <c r="B494" s="22">
        <v>20</v>
      </c>
      <c r="C494" s="22">
        <v>4</v>
      </c>
      <c r="D494" s="2" t="s">
        <v>432</v>
      </c>
      <c r="E494" s="22"/>
      <c r="F494" s="18">
        <v>361500</v>
      </c>
      <c r="G494" s="18">
        <v>456100</v>
      </c>
      <c r="H494" s="18">
        <v>408797</v>
      </c>
      <c r="I494" s="18"/>
      <c r="J494" s="18"/>
      <c r="K494" s="23" t="s">
        <v>288</v>
      </c>
      <c r="L494" s="23" t="s">
        <v>288</v>
      </c>
      <c r="N494" s="130"/>
    </row>
    <row r="495" spans="1:14" ht="12.2" customHeight="1" x14ac:dyDescent="0.2">
      <c r="A495" s="21" t="s">
        <v>618</v>
      </c>
      <c r="B495" s="22">
        <v>20</v>
      </c>
      <c r="C495" s="22">
        <v>5</v>
      </c>
      <c r="D495" s="2" t="s">
        <v>432</v>
      </c>
      <c r="E495" s="22"/>
      <c r="F495" s="18">
        <v>1.49E-2</v>
      </c>
      <c r="G495" s="18">
        <v>1.41E-2</v>
      </c>
      <c r="H495" s="18">
        <v>3.2599999999999997E-2</v>
      </c>
      <c r="I495" s="18"/>
      <c r="J495" s="18"/>
      <c r="K495" s="23" t="s">
        <v>288</v>
      </c>
      <c r="L495" s="23" t="s">
        <v>288</v>
      </c>
      <c r="N495" s="130"/>
    </row>
    <row r="496" spans="1:14" ht="12.2" customHeight="1" x14ac:dyDescent="0.2">
      <c r="A496" s="21" t="s">
        <v>619</v>
      </c>
      <c r="B496" s="22">
        <v>20</v>
      </c>
      <c r="C496" s="22">
        <v>6</v>
      </c>
      <c r="D496" s="2" t="s">
        <v>432</v>
      </c>
      <c r="E496" s="22"/>
      <c r="F496" s="18">
        <v>140000</v>
      </c>
      <c r="G496" s="18">
        <v>410400</v>
      </c>
      <c r="H496" s="18">
        <v>408797</v>
      </c>
      <c r="I496" s="18"/>
      <c r="J496" s="18"/>
      <c r="K496" s="19">
        <f>SUM(F496:J496)</f>
        <v>959197</v>
      </c>
      <c r="L496" s="23" t="s">
        <v>288</v>
      </c>
      <c r="N496" s="130"/>
    </row>
    <row r="497" spans="1:14" ht="12.2" customHeight="1" x14ac:dyDescent="0.2">
      <c r="A497" s="21" t="s">
        <v>620</v>
      </c>
      <c r="B497" s="22">
        <v>20</v>
      </c>
      <c r="C497" s="22">
        <v>7</v>
      </c>
      <c r="D497" s="2" t="s">
        <v>432</v>
      </c>
      <c r="E497" s="22"/>
      <c r="F497" s="18">
        <v>0</v>
      </c>
      <c r="G497" s="18">
        <v>0</v>
      </c>
      <c r="H497" s="18">
        <v>0</v>
      </c>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0</v>
      </c>
      <c r="G498" s="18">
        <v>0</v>
      </c>
      <c r="H498" s="18">
        <v>0</v>
      </c>
      <c r="I498" s="18"/>
      <c r="J498" s="18"/>
      <c r="K498" s="19">
        <f t="shared" si="35"/>
        <v>0</v>
      </c>
      <c r="L498" s="23" t="s">
        <v>288</v>
      </c>
      <c r="N498" s="130"/>
    </row>
    <row r="499" spans="1:14" ht="12.2" customHeight="1" x14ac:dyDescent="0.2">
      <c r="A499" s="143" t="s">
        <v>622</v>
      </c>
      <c r="B499" s="144">
        <v>20</v>
      </c>
      <c r="C499" s="144">
        <v>9</v>
      </c>
      <c r="D499" s="145" t="s">
        <v>432</v>
      </c>
      <c r="E499" s="144"/>
      <c r="F499" s="146">
        <v>70000</v>
      </c>
      <c r="G499" s="146">
        <v>364800</v>
      </c>
      <c r="H499" s="146">
        <v>408797</v>
      </c>
      <c r="I499" s="146"/>
      <c r="J499" s="146"/>
      <c r="K499" s="147">
        <f t="shared" si="35"/>
        <v>843597</v>
      </c>
      <c r="L499" s="148" t="s">
        <v>288</v>
      </c>
      <c r="N499" s="130"/>
    </row>
    <row r="500" spans="1:14" ht="12.2" customHeight="1" thickBot="1" x14ac:dyDescent="0.25">
      <c r="A500" s="21" t="s">
        <v>623</v>
      </c>
      <c r="B500" s="22">
        <v>20</v>
      </c>
      <c r="C500" s="22">
        <v>10</v>
      </c>
      <c r="D500" s="2" t="s">
        <v>432</v>
      </c>
      <c r="E500" s="22"/>
      <c r="F500" s="18">
        <v>1785</v>
      </c>
      <c r="G500" s="18">
        <f>9074.4+9074.4+7911.6+7911.6+6748.8+6748.8+5586+5586+4423.2+4423.2+3260.4+3260.4+2097.6+2097.6+934.8+934.8</f>
        <v>80073.600000000006</v>
      </c>
      <c r="H500" s="18">
        <f>10424.32+8339.44+8339.44+6254.56+6254.56+4169.71+4169.71+2084.85+2084.85</f>
        <v>52121.439999999995</v>
      </c>
      <c r="I500" s="18"/>
      <c r="J500" s="18"/>
      <c r="K500" s="19">
        <f t="shared" si="35"/>
        <v>133980.04</v>
      </c>
      <c r="L500" s="23" t="s">
        <v>288</v>
      </c>
      <c r="N500" s="130"/>
    </row>
    <row r="501" spans="1:14" ht="12.2" customHeight="1" thickTop="1" x14ac:dyDescent="0.2">
      <c r="A501" s="97" t="s">
        <v>624</v>
      </c>
      <c r="B501" s="41">
        <v>20</v>
      </c>
      <c r="C501" s="41">
        <v>11</v>
      </c>
      <c r="D501" s="36" t="s">
        <v>432</v>
      </c>
      <c r="E501" s="41"/>
      <c r="F501" s="39">
        <f>SUM(F499:F500)</f>
        <v>71785</v>
      </c>
      <c r="G501" s="39">
        <f>SUM(G499:G500)</f>
        <v>444873.6</v>
      </c>
      <c r="H501" s="39">
        <f>SUM(H499:H500)</f>
        <v>460918.44</v>
      </c>
      <c r="I501" s="39">
        <f>SUM(I499:I500)</f>
        <v>0</v>
      </c>
      <c r="J501" s="39">
        <f>SUM(J499:J500)</f>
        <v>0</v>
      </c>
      <c r="K501" s="39">
        <f t="shared" si="35"/>
        <v>977577.04</v>
      </c>
      <c r="L501" s="42" t="s">
        <v>288</v>
      </c>
      <c r="N501" s="130"/>
    </row>
    <row r="502" spans="1:14" ht="12.2" customHeight="1" x14ac:dyDescent="0.2">
      <c r="A502" s="143" t="s">
        <v>651</v>
      </c>
      <c r="B502" s="144">
        <v>20</v>
      </c>
      <c r="C502" s="144">
        <v>12</v>
      </c>
      <c r="D502" s="145" t="s">
        <v>432</v>
      </c>
      <c r="E502" s="144"/>
      <c r="F502" s="146">
        <v>70000</v>
      </c>
      <c r="G502" s="146">
        <f>45600</f>
        <v>45600</v>
      </c>
      <c r="H502" s="146">
        <v>81760</v>
      </c>
      <c r="I502" s="146"/>
      <c r="J502" s="146"/>
      <c r="K502" s="147">
        <f t="shared" si="35"/>
        <v>197360</v>
      </c>
      <c r="L502" s="148" t="s">
        <v>288</v>
      </c>
      <c r="N502" s="130"/>
    </row>
    <row r="503" spans="1:14" ht="12.2" customHeight="1" thickBot="1" x14ac:dyDescent="0.25">
      <c r="A503" s="21" t="s">
        <v>625</v>
      </c>
      <c r="B503" s="22">
        <v>20</v>
      </c>
      <c r="C503" s="22">
        <v>13</v>
      </c>
      <c r="D503" s="2" t="s">
        <v>432</v>
      </c>
      <c r="E503" s="22"/>
      <c r="F503" s="18">
        <v>1785</v>
      </c>
      <c r="G503" s="18">
        <f>9074.4+9074.4</f>
        <v>18148.8</v>
      </c>
      <c r="H503" s="18">
        <f>10424.32+8339.44</f>
        <v>18763.760000000002</v>
      </c>
      <c r="I503" s="18"/>
      <c r="J503" s="18"/>
      <c r="K503" s="19">
        <f t="shared" si="35"/>
        <v>38697.56</v>
      </c>
      <c r="L503" s="23" t="s">
        <v>288</v>
      </c>
      <c r="N503" s="130"/>
    </row>
    <row r="504" spans="1:14" ht="12.2" customHeight="1" thickTop="1" x14ac:dyDescent="0.2">
      <c r="A504" s="97" t="s">
        <v>626</v>
      </c>
      <c r="B504" s="41">
        <v>20</v>
      </c>
      <c r="C504" s="41">
        <v>14</v>
      </c>
      <c r="D504" s="36" t="s">
        <v>432</v>
      </c>
      <c r="E504" s="41"/>
      <c r="F504" s="39">
        <f>SUM(F502:F503)</f>
        <v>71785</v>
      </c>
      <c r="G504" s="39">
        <f>SUM(G502:G503)</f>
        <v>63748.800000000003</v>
      </c>
      <c r="H504" s="39">
        <f>SUM(H502:H503)</f>
        <v>100523.76000000001</v>
      </c>
      <c r="I504" s="39">
        <f>SUM(I502:I503)</f>
        <v>0</v>
      </c>
      <c r="J504" s="39">
        <f>SUM(J502:J503)</f>
        <v>0</v>
      </c>
      <c r="K504" s="39">
        <f t="shared" si="35"/>
        <v>236057.56</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273441.5</f>
        <v>273441.5</v>
      </c>
      <c r="G522" s="18">
        <v>146062.46</v>
      </c>
      <c r="H522" s="18">
        <v>263839.55</v>
      </c>
      <c r="I522" s="18">
        <v>1376.56</v>
      </c>
      <c r="J522" s="18">
        <v>2242.56</v>
      </c>
      <c r="K522" s="18">
        <v>185</v>
      </c>
      <c r="L522" s="69">
        <f>SUM(F522:K522)</f>
        <v>687147.63000000012</v>
      </c>
      <c r="N522" s="130"/>
    </row>
    <row r="523" spans="1:14" ht="12.2" customHeight="1" x14ac:dyDescent="0.2">
      <c r="A523" s="21" t="s">
        <v>634</v>
      </c>
      <c r="B523" s="22">
        <v>21</v>
      </c>
      <c r="C523" s="22">
        <v>2</v>
      </c>
      <c r="D523" s="2" t="s">
        <v>432</v>
      </c>
      <c r="E523" s="22"/>
      <c r="F523" s="18">
        <v>101910.59</v>
      </c>
      <c r="G523" s="18">
        <v>46891.7</v>
      </c>
      <c r="H523" s="18">
        <v>937.9</v>
      </c>
      <c r="I523" s="18"/>
      <c r="J523" s="18"/>
      <c r="K523" s="18"/>
      <c r="L523" s="69">
        <f>SUM(F523:K523)</f>
        <v>149740.18999999997</v>
      </c>
      <c r="N523" s="130"/>
    </row>
    <row r="524" spans="1:14" ht="12.2" customHeight="1" thickBot="1" x14ac:dyDescent="0.25">
      <c r="A524" s="21" t="s">
        <v>635</v>
      </c>
      <c r="B524" s="22">
        <v>21</v>
      </c>
      <c r="C524" s="22">
        <v>3</v>
      </c>
      <c r="D524" s="2" t="s">
        <v>432</v>
      </c>
      <c r="E524" s="22"/>
      <c r="F524" s="18">
        <v>90478.81</v>
      </c>
      <c r="G524" s="18">
        <v>79918</v>
      </c>
      <c r="H524" s="18">
        <v>194593.73</v>
      </c>
      <c r="I524" s="18">
        <v>413.83</v>
      </c>
      <c r="J524" s="18">
        <v>8343</v>
      </c>
      <c r="K524" s="18"/>
      <c r="L524" s="69">
        <f>SUM(F524:K524)</f>
        <v>373747.37000000005</v>
      </c>
      <c r="N524" s="130"/>
    </row>
    <row r="525" spans="1:14" ht="12.2" customHeight="1" thickTop="1" x14ac:dyDescent="0.2">
      <c r="A525" s="97" t="s">
        <v>63</v>
      </c>
      <c r="B525" s="41">
        <v>21</v>
      </c>
      <c r="C525" s="41">
        <v>4</v>
      </c>
      <c r="D525" s="115" t="s">
        <v>432</v>
      </c>
      <c r="E525" s="41"/>
      <c r="F525" s="81">
        <f>SUM(F522:F524)</f>
        <v>465830.89999999997</v>
      </c>
      <c r="G525" s="81">
        <f t="shared" ref="G525:L525" si="36">SUM(G522:G524)</f>
        <v>272872.15999999997</v>
      </c>
      <c r="H525" s="81">
        <f t="shared" si="36"/>
        <v>459371.18000000005</v>
      </c>
      <c r="I525" s="81">
        <f t="shared" si="36"/>
        <v>1790.3899999999999</v>
      </c>
      <c r="J525" s="81">
        <f t="shared" si="36"/>
        <v>10585.56</v>
      </c>
      <c r="K525" s="81">
        <f t="shared" si="36"/>
        <v>185</v>
      </c>
      <c r="L525" s="70">
        <f t="shared" si="36"/>
        <v>1210635.1900000002</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f>225981.6</f>
        <v>225981.6</v>
      </c>
      <c r="I527" s="18"/>
      <c r="J527" s="18"/>
      <c r="K527" s="18"/>
      <c r="L527" s="69">
        <f>SUM(F527:K527)</f>
        <v>225981.6</v>
      </c>
      <c r="M527" s="8"/>
      <c r="N527" s="164"/>
    </row>
    <row r="528" spans="1:14" s="3" customFormat="1" ht="12.2" customHeight="1" x14ac:dyDescent="0.15">
      <c r="A528" s="21" t="s">
        <v>634</v>
      </c>
      <c r="B528" s="22">
        <v>21</v>
      </c>
      <c r="C528" s="22">
        <v>6</v>
      </c>
      <c r="D528" s="2" t="s">
        <v>432</v>
      </c>
      <c r="E528" s="22"/>
      <c r="F528" s="18"/>
      <c r="G528" s="18"/>
      <c r="H528" s="18">
        <v>32390.22</v>
      </c>
      <c r="I528" s="18"/>
      <c r="J528" s="18"/>
      <c r="K528" s="18"/>
      <c r="L528" s="69">
        <f>SUM(F528:K528)</f>
        <v>32390.22</v>
      </c>
      <c r="M528" s="8"/>
      <c r="N528" s="164"/>
    </row>
    <row r="529" spans="1:14" s="3" customFormat="1" ht="12.2" customHeight="1" thickBot="1" x14ac:dyDescent="0.2">
      <c r="A529" s="21" t="s">
        <v>635</v>
      </c>
      <c r="B529" s="22">
        <v>21</v>
      </c>
      <c r="C529" s="22">
        <v>7</v>
      </c>
      <c r="D529" s="2" t="s">
        <v>432</v>
      </c>
      <c r="E529" s="22"/>
      <c r="F529" s="18"/>
      <c r="G529" s="18"/>
      <c r="H529" s="18">
        <v>42841</v>
      </c>
      <c r="I529" s="18"/>
      <c r="J529" s="18"/>
      <c r="K529" s="18"/>
      <c r="L529" s="69">
        <f>SUM(F529:K529)</f>
        <v>42841</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301212.82</v>
      </c>
      <c r="I530" s="70">
        <f t="shared" si="37"/>
        <v>0</v>
      </c>
      <c r="J530" s="70">
        <f t="shared" si="37"/>
        <v>0</v>
      </c>
      <c r="K530" s="70">
        <f t="shared" si="37"/>
        <v>0</v>
      </c>
      <c r="L530" s="70">
        <f t="shared" si="37"/>
        <v>301212.82</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f>41374.67</f>
        <v>41374.67</v>
      </c>
      <c r="G532" s="18">
        <v>18618.599999999999</v>
      </c>
      <c r="H532" s="18"/>
      <c r="I532" s="18"/>
      <c r="J532" s="18"/>
      <c r="K532" s="18"/>
      <c r="L532" s="69">
        <f>SUM(F532:K532)</f>
        <v>59993.27</v>
      </c>
      <c r="M532" s="8"/>
      <c r="N532" s="164"/>
    </row>
    <row r="533" spans="1:14" s="3" customFormat="1" ht="12.2" customHeight="1" x14ac:dyDescent="0.15">
      <c r="A533" s="21" t="s">
        <v>634</v>
      </c>
      <c r="B533" s="22">
        <v>21</v>
      </c>
      <c r="C533" s="22">
        <v>10</v>
      </c>
      <c r="D533" s="2" t="s">
        <v>432</v>
      </c>
      <c r="E533" s="22"/>
      <c r="F533" s="18">
        <v>24024</v>
      </c>
      <c r="G533" s="18">
        <v>10810.8</v>
      </c>
      <c r="H533" s="18"/>
      <c r="I533" s="18"/>
      <c r="J533" s="18"/>
      <c r="K533" s="18"/>
      <c r="L533" s="69">
        <f>SUM(F533:K533)</f>
        <v>34834.800000000003</v>
      </c>
      <c r="M533" s="8"/>
      <c r="N533" s="164"/>
    </row>
    <row r="534" spans="1:14" s="3" customFormat="1" ht="12.2" customHeight="1" thickBot="1" x14ac:dyDescent="0.2">
      <c r="A534" s="21" t="s">
        <v>635</v>
      </c>
      <c r="B534" s="22">
        <v>21</v>
      </c>
      <c r="C534" s="22">
        <v>11</v>
      </c>
      <c r="D534" s="2" t="s">
        <v>432</v>
      </c>
      <c r="E534" s="22"/>
      <c r="F534" s="18">
        <v>14681.33</v>
      </c>
      <c r="G534" s="18">
        <v>6606.6</v>
      </c>
      <c r="H534" s="18"/>
      <c r="I534" s="18"/>
      <c r="J534" s="18"/>
      <c r="K534" s="18"/>
      <c r="L534" s="69">
        <f>SUM(F534:K534)</f>
        <v>21287.93</v>
      </c>
      <c r="M534" s="8"/>
      <c r="N534" s="164"/>
    </row>
    <row r="535" spans="1:14" s="3" customFormat="1" ht="12.2" customHeight="1" thickTop="1" x14ac:dyDescent="0.15">
      <c r="A535" s="97" t="s">
        <v>67</v>
      </c>
      <c r="B535" s="41">
        <v>21</v>
      </c>
      <c r="C535" s="41">
        <v>12</v>
      </c>
      <c r="D535" s="115" t="s">
        <v>432</v>
      </c>
      <c r="E535" s="41"/>
      <c r="F535" s="70">
        <f>SUM(F532:F534)</f>
        <v>80080</v>
      </c>
      <c r="G535" s="70">
        <f t="shared" ref="G535:L535" si="38">SUM(G532:G534)</f>
        <v>36036</v>
      </c>
      <c r="H535" s="70">
        <f t="shared" si="38"/>
        <v>0</v>
      </c>
      <c r="I535" s="70">
        <f t="shared" si="38"/>
        <v>0</v>
      </c>
      <c r="J535" s="70">
        <f t="shared" si="38"/>
        <v>0</v>
      </c>
      <c r="K535" s="70">
        <f t="shared" si="38"/>
        <v>0</v>
      </c>
      <c r="L535" s="70">
        <f t="shared" si="38"/>
        <v>116116</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0</v>
      </c>
      <c r="I545" s="140">
        <f t="shared" si="40"/>
        <v>0</v>
      </c>
      <c r="J545" s="140">
        <f t="shared" si="40"/>
        <v>0</v>
      </c>
      <c r="K545" s="140">
        <f t="shared" si="40"/>
        <v>0</v>
      </c>
      <c r="L545" s="140">
        <f t="shared" si="40"/>
        <v>0</v>
      </c>
      <c r="M545" s="8"/>
      <c r="N545" s="164"/>
    </row>
    <row r="546" spans="1:14" s="3" customFormat="1" ht="12.2" customHeight="1" thickTop="1" x14ac:dyDescent="0.15">
      <c r="A546" s="75" t="s">
        <v>72</v>
      </c>
      <c r="B546" s="41">
        <v>21</v>
      </c>
      <c r="C546" s="41">
        <v>21</v>
      </c>
      <c r="D546" s="115" t="s">
        <v>432</v>
      </c>
      <c r="E546" s="41"/>
      <c r="F546" s="70">
        <f>F525+F530+F535+F540+F545</f>
        <v>545910.89999999991</v>
      </c>
      <c r="G546" s="70">
        <f t="shared" ref="G546:L546" si="41">G525+G530+G535+G540+G545</f>
        <v>308908.15999999997</v>
      </c>
      <c r="H546" s="70">
        <f t="shared" si="41"/>
        <v>760584</v>
      </c>
      <c r="I546" s="70">
        <f t="shared" si="41"/>
        <v>1790.3899999999999</v>
      </c>
      <c r="J546" s="70">
        <f t="shared" si="41"/>
        <v>10585.56</v>
      </c>
      <c r="K546" s="70">
        <f t="shared" si="41"/>
        <v>185</v>
      </c>
      <c r="L546" s="70">
        <f t="shared" si="41"/>
        <v>1627964.0100000002</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687147.63000000012</v>
      </c>
      <c r="G550" s="69">
        <f>L527</f>
        <v>225981.6</v>
      </c>
      <c r="H550" s="69">
        <f>L532</f>
        <v>59993.27</v>
      </c>
      <c r="I550" s="69">
        <f>L537</f>
        <v>0</v>
      </c>
      <c r="J550" s="69">
        <f>L542</f>
        <v>0</v>
      </c>
      <c r="K550" s="69">
        <f>SUM(F550:J550)</f>
        <v>973122.50000000012</v>
      </c>
      <c r="L550" s="23" t="s">
        <v>288</v>
      </c>
      <c r="M550" s="8"/>
      <c r="N550" s="164"/>
    </row>
    <row r="551" spans="1:14" s="3" customFormat="1" ht="12.2" customHeight="1" x14ac:dyDescent="0.15">
      <c r="A551" s="21" t="s">
        <v>634</v>
      </c>
      <c r="B551" s="22">
        <v>21</v>
      </c>
      <c r="C551" s="22">
        <v>23</v>
      </c>
      <c r="D551" s="2" t="s">
        <v>432</v>
      </c>
      <c r="E551" s="22"/>
      <c r="F551" s="69">
        <f>L523</f>
        <v>149740.18999999997</v>
      </c>
      <c r="G551" s="69">
        <f>L528</f>
        <v>32390.22</v>
      </c>
      <c r="H551" s="69">
        <f>L533</f>
        <v>34834.800000000003</v>
      </c>
      <c r="I551" s="69">
        <f>L538</f>
        <v>0</v>
      </c>
      <c r="J551" s="69">
        <f>L543</f>
        <v>0</v>
      </c>
      <c r="K551" s="69">
        <f>SUM(F551:J551)</f>
        <v>216965.20999999996</v>
      </c>
      <c r="L551" s="23" t="s">
        <v>288</v>
      </c>
      <c r="M551" s="8"/>
      <c r="N551" s="164"/>
    </row>
    <row r="552" spans="1:14" s="3" customFormat="1" ht="12.2" customHeight="1" thickBot="1" x14ac:dyDescent="0.2">
      <c r="A552" s="21" t="s">
        <v>635</v>
      </c>
      <c r="B552" s="22">
        <v>21</v>
      </c>
      <c r="C552" s="22">
        <v>24</v>
      </c>
      <c r="D552" s="2" t="s">
        <v>432</v>
      </c>
      <c r="E552" s="22"/>
      <c r="F552" s="69">
        <f>L524</f>
        <v>373747.37000000005</v>
      </c>
      <c r="G552" s="69">
        <f>L529</f>
        <v>42841</v>
      </c>
      <c r="H552" s="69">
        <f>L534</f>
        <v>21287.93</v>
      </c>
      <c r="I552" s="69">
        <f>L539</f>
        <v>0</v>
      </c>
      <c r="J552" s="69">
        <f>L544</f>
        <v>0</v>
      </c>
      <c r="K552" s="69">
        <f>SUM(F552:J552)</f>
        <v>437876.30000000005</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1210635.1900000002</v>
      </c>
      <c r="G553" s="70">
        <f t="shared" si="42"/>
        <v>301212.82</v>
      </c>
      <c r="H553" s="70">
        <f t="shared" si="42"/>
        <v>116116</v>
      </c>
      <c r="I553" s="70">
        <f t="shared" si="42"/>
        <v>0</v>
      </c>
      <c r="J553" s="70">
        <f t="shared" si="42"/>
        <v>0</v>
      </c>
      <c r="K553" s="70">
        <f t="shared" si="42"/>
        <v>1627964.01</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v>121391.28</v>
      </c>
      <c r="I583" s="69">
        <f t="shared" si="47"/>
        <v>121391.28</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v>67976.58</v>
      </c>
      <c r="I584" s="69">
        <f t="shared" si="47"/>
        <v>67976.58</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9194.34</v>
      </c>
      <c r="I585" s="69">
        <f t="shared" si="47"/>
        <v>9194.34</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0</v>
      </c>
      <c r="H589" s="79">
        <f t="shared" si="48"/>
        <v>198562.19999999998</v>
      </c>
      <c r="I589" s="79">
        <f t="shared" si="48"/>
        <v>198562.19999999998</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53668.98</v>
      </c>
      <c r="I592" s="18">
        <v>32012.880000000001</v>
      </c>
      <c r="J592" s="18">
        <v>33059.199999999997</v>
      </c>
      <c r="K592" s="80">
        <f t="shared" ref="K592:K598" si="49">SUM(H592:J592)</f>
        <v>118741.06</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c r="K593" s="80">
        <f t="shared" si="49"/>
        <v>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55712.69</v>
      </c>
      <c r="K594" s="80">
        <f t="shared" si="49"/>
        <v>55712.69</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v>7582.56</v>
      </c>
      <c r="J595" s="18">
        <v>15720.26</v>
      </c>
      <c r="K595" s="80">
        <f t="shared" si="49"/>
        <v>23302.82</v>
      </c>
      <c r="L595" s="23" t="s">
        <v>288</v>
      </c>
      <c r="M595" s="8"/>
      <c r="N595" s="164"/>
    </row>
    <row r="596" spans="1:14" s="3" customFormat="1" ht="12.2" customHeight="1" x14ac:dyDescent="0.15">
      <c r="A596" s="103" t="s">
        <v>652</v>
      </c>
      <c r="B596" s="22">
        <v>23</v>
      </c>
      <c r="C596" s="22">
        <v>5</v>
      </c>
      <c r="D596" s="2" t="s">
        <v>432</v>
      </c>
      <c r="E596" s="22"/>
      <c r="F596" s="78">
        <v>2725</v>
      </c>
      <c r="G596" s="79" t="s">
        <v>97</v>
      </c>
      <c r="H596" s="18">
        <v>4370.68</v>
      </c>
      <c r="I596" s="18">
        <v>12239.14</v>
      </c>
      <c r="J596" s="18">
        <v>4314.3900000000003</v>
      </c>
      <c r="K596" s="80">
        <f t="shared" si="49"/>
        <v>20924.21</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58039.66</v>
      </c>
      <c r="I599" s="81">
        <f>SUM(I592:I598)</f>
        <v>51834.58</v>
      </c>
      <c r="J599" s="81">
        <f>SUM(J592:J598)</f>
        <v>108806.54</v>
      </c>
      <c r="K599" s="81">
        <f>SUM(K592:K598)</f>
        <v>218680.78</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585.14+12958.44+2242.56+8300.05</f>
        <v>24086.19</v>
      </c>
      <c r="I605" s="18">
        <f>1688.57+7705.96+1305.29</f>
        <v>10699.82</v>
      </c>
      <c r="J605" s="18">
        <f>57797.4+3003.66+10283.54+4240+5339.34+14986.29</f>
        <v>95650.23000000001</v>
      </c>
      <c r="K605" s="80">
        <f>SUM(H605:J605)</f>
        <v>130436.24</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24086.19</v>
      </c>
      <c r="I606" s="81">
        <f>SUM(I603:I605)</f>
        <v>10699.82</v>
      </c>
      <c r="J606" s="81">
        <f>SUM(J603:J605)</f>
        <v>95650.23000000001</v>
      </c>
      <c r="K606" s="81">
        <f>SUM(K603:K605)</f>
        <v>130436.24</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f>19310+5380</f>
        <v>24690</v>
      </c>
      <c r="G612" s="18">
        <f>1457.81+1767.02+1152.87+14.22+81.63+60.64+192.47+336.6+864.16</f>
        <v>5927.420000000001</v>
      </c>
      <c r="H612" s="18">
        <f>49083.33+4784.78+60.26+9625</f>
        <v>63553.37</v>
      </c>
      <c r="I612" s="18">
        <f>151.36+267.15</f>
        <v>418.51</v>
      </c>
      <c r="J612" s="18"/>
      <c r="K612" s="18"/>
      <c r="L612" s="69">
        <f>SUM(F612:K612)</f>
        <v>94589.3</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f>8700</f>
        <v>8700</v>
      </c>
      <c r="G614" s="18">
        <f>644.93+1708.66</f>
        <v>2353.59</v>
      </c>
      <c r="H614" s="18">
        <f>381.53+498.51</f>
        <v>880.04</v>
      </c>
      <c r="I614" s="18">
        <f>1143.18</f>
        <v>1143.18</v>
      </c>
      <c r="J614" s="18"/>
      <c r="K614" s="18"/>
      <c r="L614" s="69">
        <f>SUM(F614:K614)</f>
        <v>13076.810000000001</v>
      </c>
      <c r="M614" s="8"/>
      <c r="N614" s="164"/>
    </row>
    <row r="615" spans="1:14" s="3" customFormat="1" ht="12.2" customHeight="1" thickTop="1" x14ac:dyDescent="0.15">
      <c r="A615" s="75" t="s">
        <v>340</v>
      </c>
      <c r="B615" s="41">
        <v>23</v>
      </c>
      <c r="C615" s="41">
        <v>16</v>
      </c>
      <c r="D615" s="36" t="s">
        <v>432</v>
      </c>
      <c r="E615" s="41"/>
      <c r="F615" s="81">
        <f t="shared" ref="F615:L615" si="50">SUM(F612:F614)</f>
        <v>33390</v>
      </c>
      <c r="G615" s="81">
        <f t="shared" si="50"/>
        <v>8281.010000000002</v>
      </c>
      <c r="H615" s="81">
        <f t="shared" si="50"/>
        <v>64433.41</v>
      </c>
      <c r="I615" s="81">
        <f t="shared" si="50"/>
        <v>1561.69</v>
      </c>
      <c r="J615" s="81">
        <f t="shared" si="50"/>
        <v>0</v>
      </c>
      <c r="K615" s="81">
        <f t="shared" si="50"/>
        <v>0</v>
      </c>
      <c r="L615" s="70">
        <f t="shared" si="50"/>
        <v>107666.11</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3318451.76</v>
      </c>
      <c r="H618" s="80">
        <f>SUM(F52)</f>
        <v>3318451.7600000002</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36266.680000000008</v>
      </c>
      <c r="H619" s="80">
        <f>SUM(G52)</f>
        <v>36266.68</v>
      </c>
      <c r="I619" s="87" t="s">
        <v>872</v>
      </c>
      <c r="J619" s="80">
        <f>G619-H619</f>
        <v>0</v>
      </c>
      <c r="K619" s="80"/>
      <c r="L619" s="80"/>
      <c r="M619" s="8"/>
    </row>
    <row r="620" spans="1:14" s="3" customFormat="1" ht="12.2" customHeight="1" x14ac:dyDescent="0.15">
      <c r="A620" s="74"/>
      <c r="B620" s="22"/>
      <c r="C620" s="22"/>
      <c r="D620" s="22"/>
      <c r="E620" s="22"/>
      <c r="F620" s="87" t="s">
        <v>685</v>
      </c>
      <c r="G620" s="80">
        <f>SUM(H19)</f>
        <v>83568.91</v>
      </c>
      <c r="H620" s="80">
        <f>SUM(H52)</f>
        <v>83568.909999999989</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565785.81000000006</v>
      </c>
      <c r="H622" s="80">
        <f>SUM(J52)</f>
        <v>565785.81000000006</v>
      </c>
      <c r="I622" s="87" t="s">
        <v>875</v>
      </c>
      <c r="J622" s="80">
        <f>G622-H622</f>
        <v>0</v>
      </c>
      <c r="K622" s="80"/>
      <c r="L622" s="80"/>
      <c r="M622" s="8"/>
    </row>
    <row r="623" spans="1:14" s="3" customFormat="1" ht="12.2" customHeight="1" x14ac:dyDescent="0.15">
      <c r="A623" s="74"/>
      <c r="B623" s="22"/>
      <c r="C623" s="22"/>
      <c r="D623" s="22"/>
      <c r="E623" s="22"/>
      <c r="F623" s="87" t="s">
        <v>861</v>
      </c>
      <c r="G623" s="80">
        <f>F51</f>
        <v>1325210.3900000001</v>
      </c>
      <c r="H623" s="80">
        <f>F477</f>
        <v>1325210.3900000006</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4280.24</v>
      </c>
      <c r="H624" s="80">
        <f>G477</f>
        <v>4280.2399999999907</v>
      </c>
      <c r="I624" s="87" t="s">
        <v>102</v>
      </c>
      <c r="J624" s="80">
        <f t="shared" si="51"/>
        <v>9.0949470177292824E-12</v>
      </c>
      <c r="K624" s="80"/>
      <c r="L624" s="80"/>
      <c r="M624" s="8"/>
    </row>
    <row r="625" spans="1:13" s="3" customFormat="1" ht="12.2" customHeight="1" x14ac:dyDescent="0.15">
      <c r="A625" s="74"/>
      <c r="B625" s="22"/>
      <c r="C625" s="22"/>
      <c r="D625" s="22"/>
      <c r="E625" s="22"/>
      <c r="F625" s="86" t="s">
        <v>863</v>
      </c>
      <c r="G625" s="80">
        <f>H51</f>
        <v>8728.65</v>
      </c>
      <c r="H625" s="80">
        <f>H477</f>
        <v>8728.6500000000233</v>
      </c>
      <c r="I625" s="87" t="s">
        <v>103</v>
      </c>
      <c r="J625" s="80">
        <f t="shared" si="51"/>
        <v>-2.3646862246096134E-11</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565785.81000000006</v>
      </c>
      <c r="H627" s="80">
        <f>J477</f>
        <v>565785.81000000006</v>
      </c>
      <c r="I627" s="87" t="s">
        <v>105</v>
      </c>
      <c r="J627" s="80">
        <f t="shared" si="51"/>
        <v>0</v>
      </c>
      <c r="K627" s="67"/>
      <c r="L627" s="69"/>
      <c r="M627" s="8"/>
    </row>
    <row r="628" spans="1:13" s="3" customFormat="1" ht="12.2" customHeight="1" x14ac:dyDescent="0.15">
      <c r="A628" s="21"/>
      <c r="B628" s="22"/>
      <c r="C628" s="22"/>
      <c r="D628" s="22"/>
      <c r="E628" s="22"/>
      <c r="F628" s="86" t="s">
        <v>658</v>
      </c>
      <c r="G628" s="80">
        <f>F194</f>
        <v>8837960.1999999993</v>
      </c>
      <c r="H628" s="80">
        <f>SUM(F469)</f>
        <v>8837960.1999999993</v>
      </c>
      <c r="I628" s="87" t="s">
        <v>106</v>
      </c>
      <c r="J628" s="80">
        <f>G628-H628</f>
        <v>0</v>
      </c>
      <c r="K628" s="67"/>
      <c r="L628" s="69"/>
      <c r="M628" s="8"/>
    </row>
    <row r="629" spans="1:13" s="3" customFormat="1" ht="12.2" customHeight="1" x14ac:dyDescent="0.15">
      <c r="A629" s="21"/>
      <c r="B629" s="22"/>
      <c r="C629" s="22"/>
      <c r="D629" s="22"/>
      <c r="E629" s="22"/>
      <c r="F629" s="86" t="s">
        <v>659</v>
      </c>
      <c r="G629" s="80">
        <f>G194</f>
        <v>215726.39</v>
      </c>
      <c r="H629" s="80">
        <f>SUM(G469)</f>
        <v>215726.39</v>
      </c>
      <c r="I629" s="87" t="s">
        <v>107</v>
      </c>
      <c r="J629" s="80">
        <f>G629-H629</f>
        <v>0</v>
      </c>
      <c r="K629" s="67"/>
      <c r="L629" s="69"/>
      <c r="M629" s="8"/>
    </row>
    <row r="630" spans="1:13" s="3" customFormat="1" ht="12.2" customHeight="1" x14ac:dyDescent="0.15">
      <c r="A630" s="21"/>
      <c r="B630" s="22"/>
      <c r="C630" s="22"/>
      <c r="D630" s="22"/>
      <c r="E630" s="22"/>
      <c r="F630" s="86" t="s">
        <v>660</v>
      </c>
      <c r="G630" s="80">
        <f>H194</f>
        <v>846160.41</v>
      </c>
      <c r="H630" s="80">
        <f>SUM(H469)</f>
        <v>846160.41</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191239.38</v>
      </c>
      <c r="H632" s="80">
        <f>SUM(J469)</f>
        <v>191239.38</v>
      </c>
      <c r="I632" s="87" t="s">
        <v>110</v>
      </c>
      <c r="J632" s="80">
        <f>G632-H632</f>
        <v>0</v>
      </c>
      <c r="K632" s="67"/>
      <c r="L632" s="69"/>
      <c r="M632" s="8"/>
    </row>
    <row r="633" spans="1:13" s="3" customFormat="1" ht="12.2" customHeight="1" x14ac:dyDescent="0.15">
      <c r="A633" s="21"/>
      <c r="B633" s="22"/>
      <c r="C633" s="22"/>
      <c r="D633" s="22"/>
      <c r="E633" s="22"/>
      <c r="F633" s="86" t="s">
        <v>394</v>
      </c>
      <c r="G633" s="80">
        <f>SUM(L272)</f>
        <v>8557720.2599999998</v>
      </c>
      <c r="H633" s="80">
        <f>SUM(F473)</f>
        <v>8557720.2599999998</v>
      </c>
      <c r="I633" s="87" t="s">
        <v>111</v>
      </c>
      <c r="J633" s="80">
        <f t="shared" si="51"/>
        <v>0</v>
      </c>
      <c r="K633" s="67"/>
      <c r="L633" s="69"/>
      <c r="M633" s="8"/>
    </row>
    <row r="634" spans="1:13" s="3" customFormat="1" ht="12.2" customHeight="1" x14ac:dyDescent="0.15">
      <c r="A634" s="21"/>
      <c r="B634" s="22"/>
      <c r="C634" s="22"/>
      <c r="D634" s="22"/>
      <c r="E634" s="22"/>
      <c r="F634" s="86" t="s">
        <v>395</v>
      </c>
      <c r="G634" s="80">
        <f>SUM(L353)</f>
        <v>846160.41</v>
      </c>
      <c r="H634" s="80">
        <f>SUM(H473)</f>
        <v>846160.41</v>
      </c>
      <c r="I634" s="87" t="s">
        <v>112</v>
      </c>
      <c r="J634" s="80">
        <f>G634-H634</f>
        <v>0</v>
      </c>
      <c r="K634" s="67"/>
      <c r="L634" s="69"/>
      <c r="M634" s="8"/>
    </row>
    <row r="635" spans="1:13" s="124" customFormat="1" ht="12.2" customHeight="1" x14ac:dyDescent="0.15">
      <c r="A635" s="21"/>
      <c r="B635" s="22"/>
      <c r="C635" s="22"/>
      <c r="D635" s="22"/>
      <c r="E635" s="22"/>
      <c r="F635" s="99" t="s">
        <v>247</v>
      </c>
      <c r="G635" s="80">
        <f>I363</f>
        <v>1422.46</v>
      </c>
      <c r="H635" s="80">
        <f>I370</f>
        <v>1422.46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215726.39</v>
      </c>
      <c r="H636" s="80">
        <f>SUM(G473)</f>
        <v>215726.39</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191239.38</v>
      </c>
      <c r="H638" s="108">
        <f>SUM(J469)</f>
        <v>191239.38</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139136.51</v>
      </c>
      <c r="H639" s="108">
        <f>SUM(J473)</f>
        <v>139136.51</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276649.65999999997</v>
      </c>
      <c r="H640" s="80">
        <f>SUM(F462)</f>
        <v>276649.65999999997</v>
      </c>
      <c r="I640" s="87" t="s">
        <v>837</v>
      </c>
      <c r="J640" s="80">
        <f t="shared" si="51"/>
        <v>0</v>
      </c>
      <c r="K640" s="67"/>
      <c r="L640" s="69"/>
      <c r="M640" s="8"/>
    </row>
    <row r="641" spans="1:13" s="3" customFormat="1" ht="12.2" customHeight="1" x14ac:dyDescent="0.15">
      <c r="A641" s="21"/>
      <c r="B641" s="22"/>
      <c r="C641" s="22"/>
      <c r="D641" s="22"/>
      <c r="E641" s="22"/>
      <c r="F641" s="86" t="s">
        <v>119</v>
      </c>
      <c r="G641" s="80">
        <f>SUM(G447)</f>
        <v>289136.15000000002</v>
      </c>
      <c r="H641" s="80">
        <f>SUM(G462)</f>
        <v>289136.15000000002</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565785.81000000006</v>
      </c>
      <c r="H643" s="80">
        <f>SUM(I462)</f>
        <v>565785.81000000006</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31239.38</v>
      </c>
      <c r="H645" s="80">
        <f>H409</f>
        <v>31239.38</v>
      </c>
      <c r="I645" s="87" t="s">
        <v>480</v>
      </c>
      <c r="J645" s="80">
        <f t="shared" si="51"/>
        <v>0</v>
      </c>
      <c r="K645" s="67"/>
      <c r="L645" s="69"/>
      <c r="M645" s="8"/>
    </row>
    <row r="646" spans="1:13" s="3" customFormat="1" ht="12.2" customHeight="1" x14ac:dyDescent="0.15">
      <c r="A646" s="21"/>
      <c r="B646" s="22"/>
      <c r="C646" s="22"/>
      <c r="D646" s="22"/>
      <c r="E646" s="22"/>
      <c r="F646" s="86" t="s">
        <v>664</v>
      </c>
      <c r="G646" s="80">
        <f>J184</f>
        <v>160000</v>
      </c>
      <c r="H646" s="80">
        <f>G409</f>
        <v>160000</v>
      </c>
      <c r="I646" s="87" t="s">
        <v>481</v>
      </c>
      <c r="J646" s="80">
        <f t="shared" si="51"/>
        <v>0</v>
      </c>
      <c r="K646" s="67"/>
      <c r="L646" s="69"/>
      <c r="M646" s="8"/>
    </row>
    <row r="647" spans="1:13" s="3" customFormat="1" ht="12.2" customHeight="1" x14ac:dyDescent="0.15">
      <c r="A647" s="21"/>
      <c r="B647" s="22"/>
      <c r="C647" s="22"/>
      <c r="D647" s="22"/>
      <c r="E647" s="22"/>
      <c r="F647" s="86" t="s">
        <v>662</v>
      </c>
      <c r="G647" s="80">
        <f>J194</f>
        <v>191239.38</v>
      </c>
      <c r="H647" s="80">
        <f>L409</f>
        <v>191239.38</v>
      </c>
      <c r="I647" s="87" t="s">
        <v>477</v>
      </c>
      <c r="J647" s="80">
        <f t="shared" si="51"/>
        <v>0</v>
      </c>
      <c r="K647" s="67"/>
      <c r="L647" s="69"/>
      <c r="M647" s="8"/>
    </row>
    <row r="648" spans="1:13" s="3" customFormat="1" ht="12.2" customHeight="1" x14ac:dyDescent="0.15">
      <c r="A648" s="21"/>
      <c r="B648" s="22"/>
      <c r="C648" s="22"/>
      <c r="D648" s="22"/>
      <c r="E648" s="22"/>
      <c r="F648" s="86" t="s">
        <v>51</v>
      </c>
      <c r="G648" s="80">
        <f>K599</f>
        <v>218680.78</v>
      </c>
      <c r="H648" s="80">
        <f>L209+L227+L245</f>
        <v>218680.77999999997</v>
      </c>
      <c r="I648" s="87" t="s">
        <v>396</v>
      </c>
      <c r="J648" s="80">
        <f t="shared" si="51"/>
        <v>0</v>
      </c>
      <c r="K648" s="67"/>
      <c r="L648" s="69"/>
      <c r="M648" s="8"/>
    </row>
    <row r="649" spans="1:13" s="3" customFormat="1" ht="12.2" customHeight="1" x14ac:dyDescent="0.15">
      <c r="A649" s="21"/>
      <c r="B649" s="22"/>
      <c r="C649" s="22"/>
      <c r="D649" s="22"/>
      <c r="E649" s="22"/>
      <c r="F649" s="86" t="s">
        <v>52</v>
      </c>
      <c r="G649" s="80">
        <f>K606</f>
        <v>130436.24</v>
      </c>
      <c r="H649" s="80">
        <f>(J258+J339)-(J256+J337)</f>
        <v>130436.24</v>
      </c>
      <c r="I649" s="87" t="s">
        <v>699</v>
      </c>
      <c r="J649" s="80">
        <f t="shared" si="51"/>
        <v>0</v>
      </c>
      <c r="K649" s="67"/>
      <c r="L649" s="69"/>
      <c r="M649" s="8"/>
    </row>
    <row r="650" spans="1:13" s="3" customFormat="1" ht="12.2" customHeight="1" x14ac:dyDescent="0.15">
      <c r="A650" s="21"/>
      <c r="B650" s="22"/>
      <c r="C650" s="22"/>
      <c r="D650" s="22"/>
      <c r="E650" s="22"/>
      <c r="F650" s="86" t="s">
        <v>387</v>
      </c>
      <c r="G650" s="80">
        <f>L209</f>
        <v>58039.659999999996</v>
      </c>
      <c r="H650" s="80">
        <f>H599</f>
        <v>58039.66</v>
      </c>
      <c r="I650" s="87" t="s">
        <v>388</v>
      </c>
      <c r="J650" s="80">
        <f t="shared" si="51"/>
        <v>0</v>
      </c>
      <c r="K650" s="67"/>
      <c r="L650" s="69"/>
      <c r="M650" s="8"/>
    </row>
    <row r="651" spans="1:13" s="3" customFormat="1" ht="12.2" customHeight="1" x14ac:dyDescent="0.15">
      <c r="A651" s="21"/>
      <c r="B651" s="22"/>
      <c r="C651" s="22"/>
      <c r="D651" s="22"/>
      <c r="E651" s="22"/>
      <c r="F651" s="86" t="s">
        <v>392</v>
      </c>
      <c r="G651" s="80">
        <f>L227</f>
        <v>51834.579999999994</v>
      </c>
      <c r="H651" s="80">
        <f>I599</f>
        <v>51834.58</v>
      </c>
      <c r="I651" s="87" t="s">
        <v>389</v>
      </c>
      <c r="J651" s="80">
        <f t="shared" si="51"/>
        <v>0</v>
      </c>
      <c r="K651" s="67"/>
      <c r="L651" s="69"/>
      <c r="M651" s="8"/>
    </row>
    <row r="652" spans="1:13" s="3" customFormat="1" ht="12.2" customHeight="1" x14ac:dyDescent="0.15">
      <c r="A652" s="21"/>
      <c r="B652" s="22"/>
      <c r="C652" s="22"/>
      <c r="D652" s="22"/>
      <c r="E652" s="22"/>
      <c r="F652" s="86" t="s">
        <v>393</v>
      </c>
      <c r="G652" s="80">
        <f>L245</f>
        <v>108806.54</v>
      </c>
      <c r="H652" s="80">
        <f>J599</f>
        <v>108806.54</v>
      </c>
      <c r="I652" s="87" t="s">
        <v>390</v>
      </c>
      <c r="J652" s="80">
        <f t="shared" si="51"/>
        <v>0</v>
      </c>
      <c r="K652" s="67"/>
      <c r="L652" s="69"/>
      <c r="M652" s="8"/>
    </row>
    <row r="653" spans="1:13" s="3" customFormat="1" ht="12.2" customHeight="1" x14ac:dyDescent="0.15">
      <c r="A653" s="21"/>
      <c r="B653" s="22"/>
      <c r="C653" s="22"/>
      <c r="D653" s="22"/>
      <c r="E653" s="22"/>
      <c r="F653" s="86" t="s">
        <v>665</v>
      </c>
      <c r="G653" s="80">
        <f>G180+G182</f>
        <v>67205.38</v>
      </c>
      <c r="H653" s="80">
        <f>K264+K346</f>
        <v>67205.38</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160000</v>
      </c>
      <c r="H656" s="80">
        <f>K267+K348</f>
        <v>160000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3596558.7200000007</v>
      </c>
      <c r="G661" s="13">
        <f>(L230+L310+L360)</f>
        <v>1866983.5099999998</v>
      </c>
      <c r="H661" s="13">
        <f>(L248+L329+L361)</f>
        <v>2991225.8300000005</v>
      </c>
      <c r="I661" s="13">
        <f>SUM(F661:H661)</f>
        <v>8454768.0600000005</v>
      </c>
      <c r="J661" s="13"/>
      <c r="K661" s="13"/>
      <c r="L661" s="13"/>
      <c r="M661" s="9"/>
    </row>
    <row r="662" spans="1:13" s="3" customFormat="1" ht="12.2" customHeight="1" x14ac:dyDescent="0.2">
      <c r="A662" s="1" t="s">
        <v>127</v>
      </c>
      <c r="F662" s="13">
        <f>(L359/IF(SUM(L359:L361)=0,1,SUM(L359:L361))*(SUM(G97:G110)))</f>
        <v>24691.934145668503</v>
      </c>
      <c r="G662" s="13">
        <f>(L360/IF(SUM(L359:L361)=0,1,SUM(L359:L361))*(SUM(G97:G110)))</f>
        <v>12888.599300561236</v>
      </c>
      <c r="H662" s="13">
        <f>(L361/IF(SUM(L359:L361)=0,1,SUM(L359:L361))*(SUM(G97:G110)))</f>
        <v>18492.396553770261</v>
      </c>
      <c r="I662" s="13">
        <f>SUM(F662:H662)</f>
        <v>56072.93</v>
      </c>
      <c r="J662"/>
      <c r="K662" s="13"/>
      <c r="L662" s="13"/>
      <c r="M662" s="8"/>
    </row>
    <row r="663" spans="1:13" s="3" customFormat="1" ht="12.2" customHeight="1" x14ac:dyDescent="0.2">
      <c r="A663" s="1" t="s">
        <v>128</v>
      </c>
      <c r="F663" s="13">
        <f>(L209+L288)-(J209+J288)</f>
        <v>58039.659999999996</v>
      </c>
      <c r="G663" s="13">
        <f>(L227+L307)-(J227+J307)</f>
        <v>51834.579999999994</v>
      </c>
      <c r="H663" s="13">
        <f>(L245+L326)-(J245+J326)</f>
        <v>108806.54</v>
      </c>
      <c r="I663" s="13">
        <f>SUM(F663:H663)</f>
        <v>218680.77999999997</v>
      </c>
      <c r="J663"/>
      <c r="K663" s="13"/>
      <c r="L663" s="13"/>
      <c r="M663" s="9"/>
    </row>
    <row r="664" spans="1:13" s="3" customFormat="1" ht="12.2" customHeight="1" x14ac:dyDescent="0.15">
      <c r="A664" s="141" t="s">
        <v>129</v>
      </c>
      <c r="B664" s="124"/>
      <c r="C664" s="124"/>
      <c r="D664" s="124"/>
      <c r="E664" s="124"/>
      <c r="F664" s="142">
        <f>SUM(F576:F588)+SUM(H603:H605)+SUM(L612)</f>
        <v>118675.49</v>
      </c>
      <c r="G664" s="142">
        <f>SUM(G576:G588)+SUM(I603:I605)+L613</f>
        <v>10699.82</v>
      </c>
      <c r="H664" s="142">
        <f>SUM(H576:H588)+SUM(J603:J605)+L614</f>
        <v>307289.24</v>
      </c>
      <c r="I664" s="13">
        <f>SUM(F664:H664)</f>
        <v>436664.55</v>
      </c>
      <c r="J664" s="13"/>
      <c r="K664" s="13"/>
      <c r="L664" s="13"/>
      <c r="M664" s="9"/>
    </row>
    <row r="665" spans="1:13" s="3" customFormat="1" ht="12.2" customHeight="1" x14ac:dyDescent="0.15">
      <c r="A665" s="1" t="s">
        <v>130</v>
      </c>
      <c r="F665" s="13">
        <f>F661-SUM(F662:F664)</f>
        <v>3395151.6358543322</v>
      </c>
      <c r="G665" s="13">
        <f>G661-SUM(G662:G664)</f>
        <v>1791560.5106994386</v>
      </c>
      <c r="H665" s="13">
        <f>H661-SUM(H662:H664)</f>
        <v>2556637.6534462301</v>
      </c>
      <c r="I665" s="13">
        <f>I661-SUM(I662:I664)</f>
        <v>7743349.8000000007</v>
      </c>
      <c r="J665" s="13"/>
      <c r="K665" s="13"/>
      <c r="L665" s="13"/>
      <c r="M665" s="8"/>
    </row>
    <row r="666" spans="1:13" s="3" customFormat="1" ht="12.2" customHeight="1" x14ac:dyDescent="0.2">
      <c r="A666" s="1" t="s">
        <v>131</v>
      </c>
      <c r="F666" s="182">
        <v>112.06</v>
      </c>
      <c r="G666" s="183">
        <v>61.83</v>
      </c>
      <c r="H666" s="183">
        <v>72.55</v>
      </c>
      <c r="I666" s="13">
        <f>SUM(F666:H666)</f>
        <v>246.44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30297.62</v>
      </c>
      <c r="G668" s="13">
        <f>ROUND(G665/G666,2)</f>
        <v>28975.59</v>
      </c>
      <c r="H668" s="13">
        <f>ROUND(H665/H666,2)</f>
        <v>35239.660000000003</v>
      </c>
      <c r="I668" s="13">
        <f>ROUND(I665/I666,2)</f>
        <v>31420.83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-1.27</v>
      </c>
      <c r="I671" s="13">
        <f>SUM(F671:H671)</f>
        <v>-1.27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30297.62</v>
      </c>
      <c r="G673" s="13">
        <f>ROUND((G665+G670)/(G666+G671),2)</f>
        <v>28975.59</v>
      </c>
      <c r="H673" s="13">
        <f>ROUND((H665+H670)/(H666+H671),2)</f>
        <v>35867.53</v>
      </c>
      <c r="I673" s="13">
        <f>ROUND((I665+I670)/(I666+I671),2)</f>
        <v>31583.59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7" sqref="C27"/>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51558.32</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30289.32</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21269</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30481.63</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Lincoln-Woodstock Cooperative</v>
      </c>
      <c r="C5" s="321"/>
      <c r="D5" s="321"/>
      <c r="E5" s="321"/>
      <c r="F5" s="321"/>
    </row>
    <row r="8" spans="1:9" ht="18" x14ac:dyDescent="0.25">
      <c r="A8" s="239" t="s">
        <v>1548</v>
      </c>
      <c r="F8" s="246" t="s">
        <v>1566</v>
      </c>
    </row>
    <row r="9" spans="1:9" ht="15" x14ac:dyDescent="0.2">
      <c r="A9" s="237" t="s">
        <v>1549</v>
      </c>
      <c r="B9" s="240">
        <f>'DOE25'!G97</f>
        <v>56072.930000000008</v>
      </c>
      <c r="F9" s="237" t="s">
        <v>1562</v>
      </c>
    </row>
    <row r="10" spans="1:9" ht="15" x14ac:dyDescent="0.2">
      <c r="A10" s="237" t="s">
        <v>1550</v>
      </c>
      <c r="B10" s="240">
        <f>'DOE25'!G112-'DOE25'!G97</f>
        <v>0</v>
      </c>
      <c r="F10" s="237" t="s">
        <v>1563</v>
      </c>
    </row>
    <row r="11" spans="1:9" ht="15" x14ac:dyDescent="0.2">
      <c r="A11" s="237" t="s">
        <v>1551</v>
      </c>
      <c r="B11" s="240">
        <f>'DOE25'!G140</f>
        <v>2706.75</v>
      </c>
      <c r="F11" s="237" t="s">
        <v>1564</v>
      </c>
    </row>
    <row r="12" spans="1:9" ht="15" x14ac:dyDescent="0.2">
      <c r="A12" s="237" t="s">
        <v>1552</v>
      </c>
      <c r="B12" s="240">
        <f>'DOE25'!G170</f>
        <v>89741.330000000016</v>
      </c>
      <c r="F12" s="237" t="s">
        <v>1565</v>
      </c>
    </row>
    <row r="13" spans="1:9" ht="15" x14ac:dyDescent="0.2">
      <c r="A13" s="237" t="s">
        <v>1553</v>
      </c>
      <c r="B13" s="240">
        <f>'DOE25'!G193-'DOE25'!G180</f>
        <v>0</v>
      </c>
      <c r="F13" s="237" t="s">
        <v>1575</v>
      </c>
    </row>
    <row r="14" spans="1:9" ht="18" x14ac:dyDescent="0.25">
      <c r="A14" s="239" t="s">
        <v>732</v>
      </c>
      <c r="B14" s="241">
        <f>SUM(B9:B13)</f>
        <v>148521.01</v>
      </c>
    </row>
    <row r="16" spans="1:9" ht="18" x14ac:dyDescent="0.25">
      <c r="A16" s="239" t="s">
        <v>783</v>
      </c>
      <c r="F16" s="246" t="s">
        <v>1567</v>
      </c>
    </row>
    <row r="17" spans="1:6" ht="15" x14ac:dyDescent="0.2">
      <c r="A17" s="237" t="s">
        <v>1554</v>
      </c>
      <c r="B17" s="240">
        <f>'DOE25'!L363-'DOE25'!L362</f>
        <v>215726.39</v>
      </c>
      <c r="F17" s="237" t="s">
        <v>1568</v>
      </c>
    </row>
    <row r="18" spans="1:6" ht="15" x14ac:dyDescent="0.2">
      <c r="A18" s="237" t="s">
        <v>1555</v>
      </c>
      <c r="B18" s="250"/>
      <c r="F18" s="246" t="s">
        <v>1592</v>
      </c>
    </row>
    <row r="19" spans="1:6" ht="18" x14ac:dyDescent="0.25">
      <c r="A19" s="239" t="s">
        <v>725</v>
      </c>
      <c r="B19" s="241">
        <f>SUM(B17:B18)</f>
        <v>215726.39</v>
      </c>
    </row>
    <row r="21" spans="1:6" ht="18.75" thickBot="1" x14ac:dyDescent="0.3">
      <c r="A21" s="239" t="s">
        <v>1556</v>
      </c>
    </row>
    <row r="22" spans="1:6" ht="18.75" thickTop="1" x14ac:dyDescent="0.25">
      <c r="A22" s="239" t="s">
        <v>1557</v>
      </c>
      <c r="B22" s="245">
        <f>B14-B19</f>
        <v>-67205.38</v>
      </c>
      <c r="F22" s="237" t="s">
        <v>1569</v>
      </c>
    </row>
    <row r="26" spans="1:6" ht="18" x14ac:dyDescent="0.25">
      <c r="A26" s="239" t="s">
        <v>186</v>
      </c>
    </row>
    <row r="27" spans="1:6" ht="15" x14ac:dyDescent="0.2">
      <c r="A27" s="237" t="s">
        <v>1558</v>
      </c>
      <c r="B27" s="240">
        <f>'DOE25'!G180</f>
        <v>67205.38</v>
      </c>
      <c r="F27" s="237" t="s">
        <v>1570</v>
      </c>
    </row>
    <row r="28" spans="1:6" ht="15" x14ac:dyDescent="0.2">
      <c r="A28" s="237" t="s">
        <v>1560</v>
      </c>
      <c r="B28" s="240">
        <f>'DOE25'!L362</f>
        <v>0</v>
      </c>
      <c r="F28" s="237" t="s">
        <v>1571</v>
      </c>
    </row>
    <row r="31" spans="1:6" ht="15" x14ac:dyDescent="0.2">
      <c r="A31" s="237" t="s">
        <v>1789</v>
      </c>
      <c r="B31" s="240">
        <f>'DOE25'!G466</f>
        <v>4280.24</v>
      </c>
      <c r="F31" s="237" t="s">
        <v>1572</v>
      </c>
    </row>
    <row r="33" spans="1:6" ht="15" x14ac:dyDescent="0.2">
      <c r="A33" s="237" t="s">
        <v>1790</v>
      </c>
      <c r="B33" s="240">
        <f>'DOE25'!G477</f>
        <v>4280.2399999999907</v>
      </c>
      <c r="F33" s="237" t="s">
        <v>1573</v>
      </c>
    </row>
    <row r="36" spans="1:6" ht="15" x14ac:dyDescent="0.2">
      <c r="A36" s="237" t="s">
        <v>1559</v>
      </c>
      <c r="B36" s="251">
        <v>11020.03</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0" sqref="C10"/>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Lincoln-Woodstock Cooperative</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2179639.9</v>
      </c>
      <c r="C9" s="166">
        <f>'DOE25'!G198+'DOE25'!G216+'DOE25'!G234+'DOE25'!G277+'DOE25'!G296+'DOE25'!G315</f>
        <v>1285306.92</v>
      </c>
    </row>
    <row r="10" spans="1:3" x14ac:dyDescent="0.2">
      <c r="A10" t="s">
        <v>772</v>
      </c>
      <c r="B10" s="176">
        <f>816846.89+540710.11+754801.86+4620</f>
        <v>2116978.86</v>
      </c>
      <c r="C10" s="176">
        <f>258696.09+5372.77+769.38+243.21+59684.42+157947.48+473.1+2715.89+182481.86+3463.13+310.09+127.11+39081.85+106195.4+311.41+1787.67+224088.17+3765.56+541.98+182.43+57110.92+144572.6+434.71+2495.49+319.34+907.35-4793.57+31330.19-102.68</f>
        <v>1280513.3500000003</v>
      </c>
    </row>
    <row r="11" spans="1:3" x14ac:dyDescent="0.2">
      <c r="A11" t="s">
        <v>773</v>
      </c>
      <c r="B11" s="176"/>
      <c r="C11" s="176"/>
    </row>
    <row r="12" spans="1:3" x14ac:dyDescent="0.2">
      <c r="A12" t="s">
        <v>774</v>
      </c>
      <c r="B12" s="176">
        <f>18700+8800+35161.04</f>
        <v>62661.04</v>
      </c>
      <c r="C12" s="176">
        <v>4793.57</v>
      </c>
    </row>
    <row r="13" spans="1:3" x14ac:dyDescent="0.2">
      <c r="A13" t="str">
        <f>IF(B9=B13,IF(C9=C13,"Check Total OK","Check Total Error"),"Check Total Error")</f>
        <v>Check Total OK</v>
      </c>
      <c r="B13" s="168">
        <f>SUM(B10:B12)</f>
        <v>2179639.9</v>
      </c>
      <c r="C13" s="168">
        <f>SUM(C10:C12)</f>
        <v>1285306.9200000004</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475043.93000000005</v>
      </c>
      <c r="C18" s="166">
        <f>'DOE25'!G199+'DOE25'!G217+'DOE25'!G235+'DOE25'!G278+'DOE25'!G297+'DOE25'!G316</f>
        <v>277757.59999999998</v>
      </c>
    </row>
    <row r="19" spans="1:3" x14ac:dyDescent="0.2">
      <c r="A19" t="s">
        <v>772</v>
      </c>
      <c r="B19" s="176">
        <f>240573.06+76747.07+87828.81+4320+9213.03+1858.44-178862.48</f>
        <v>241677.93000000002</v>
      </c>
      <c r="C19" s="176">
        <f>79442.9+2709.93+213.18+18068.55+23825.96+139.62+801.51+21608.59+795.93+110.24+5693.46+9387.84+57.97+332.8+57467.65+1118.08+89.04+6019.09+9643.16+50.58+290.37+330.48+1152.87+14.22+81.63+2327.08+42.84+670.26+1809.49+5.31+30.46-1193.4-13682.98-86435</f>
        <v>143019.7099999999</v>
      </c>
    </row>
    <row r="20" spans="1:3" x14ac:dyDescent="0.2">
      <c r="A20" t="s">
        <v>773</v>
      </c>
      <c r="B20" s="176">
        <f>23913.52+19310-4320+178862.48</f>
        <v>217766</v>
      </c>
      <c r="C20" s="176">
        <f>1767.02+1752.88+3100.2+1457.81-330.48+16387.26+4051.79+5240.03+13682.98+86435</f>
        <v>133544.49</v>
      </c>
    </row>
    <row r="21" spans="1:3" x14ac:dyDescent="0.2">
      <c r="A21" t="s">
        <v>774</v>
      </c>
      <c r="B21" s="176">
        <f>11700+1250+2650</f>
        <v>15600</v>
      </c>
      <c r="C21" s="176">
        <v>1193.4000000000001</v>
      </c>
    </row>
    <row r="22" spans="1:3" x14ac:dyDescent="0.2">
      <c r="A22" t="str">
        <f>IF(B18=B22,IF(C18=C22,"Check Total OK","Check Total Error"),"Check Total Error")</f>
        <v>Check Total OK</v>
      </c>
      <c r="B22" s="168">
        <f>SUM(B19:B21)</f>
        <v>475043.93000000005</v>
      </c>
      <c r="C22" s="168">
        <f>SUM(C19:C21)</f>
        <v>277757.59999999992</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85445.67</v>
      </c>
      <c r="C36" s="172">
        <f>'DOE25'!G201+'DOE25'!G219+'DOE25'!G237+'DOE25'!G280+'DOE25'!G299+'DOE25'!G318</f>
        <v>17515.400000000001</v>
      </c>
    </row>
    <row r="37" spans="1:3" x14ac:dyDescent="0.2">
      <c r="A37" t="s">
        <v>772</v>
      </c>
      <c r="B37" s="176">
        <f>8700+3820+5380</f>
        <v>17900</v>
      </c>
      <c r="C37" s="176">
        <f>60.64+192.47+644.93+1708.66+269.12+750.25+336.6+864.16</f>
        <v>4826.83</v>
      </c>
    </row>
    <row r="38" spans="1:3" x14ac:dyDescent="0.2">
      <c r="A38" t="s">
        <v>773</v>
      </c>
      <c r="B38" s="176"/>
      <c r="C38" s="176"/>
    </row>
    <row r="39" spans="1:3" x14ac:dyDescent="0.2">
      <c r="A39" t="s">
        <v>774</v>
      </c>
      <c r="B39" s="176">
        <f>814+14722+52009.67</f>
        <v>67545.67</v>
      </c>
      <c r="C39" s="176">
        <f>58.98+159.87+0.47+2.69+1117.92+1010.87+8.48+48.67+65+3903.37+491.82+5483.58+29.95+171.95+134.95</f>
        <v>12688.570000000002</v>
      </c>
    </row>
    <row r="40" spans="1:3" x14ac:dyDescent="0.2">
      <c r="A40" t="str">
        <f>IF(B36=B40,IF(C36=C40,"Check Total OK","Check Total Error"),"Check Total Error")</f>
        <v>Check Total OK</v>
      </c>
      <c r="B40" s="168">
        <f>SUM(B37:B39)</f>
        <v>85445.67</v>
      </c>
      <c r="C40" s="168">
        <f>SUM(C37:C39)</f>
        <v>17515.400000000001</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Lincoln-Woodstock Cooperative</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4976139.93</v>
      </c>
      <c r="D5" s="19">
        <f>SUM('DOE25'!L198:L201)+SUM('DOE25'!L216:L219)+SUM('DOE25'!L234:L237)-F5-G5-H5</f>
        <v>4709972.42</v>
      </c>
      <c r="E5" s="179"/>
      <c r="F5" s="180">
        <f>207812.5-25000</f>
        <v>182812.5</v>
      </c>
      <c r="G5" s="19">
        <f>SUM('DOE25'!J198:J201)+SUM('DOE25'!J216:J219)+SUM('DOE25'!J234:J237)</f>
        <v>63074.77</v>
      </c>
      <c r="H5" s="19">
        <f>SUM('DOE25'!K198:K201)+SUM('DOE25'!K216:K219)+SUM('DOE25'!K234:K237)</f>
        <v>20280.239999999998</v>
      </c>
      <c r="I5" s="191"/>
    </row>
    <row r="6" spans="1:9" x14ac:dyDescent="0.2">
      <c r="A6" s="31">
        <v>2100</v>
      </c>
      <c r="B6" t="s">
        <v>793</v>
      </c>
      <c r="C6" s="205">
        <f t="shared" si="0"/>
        <v>744065.54</v>
      </c>
      <c r="D6" s="19">
        <f>'DOE25'!L203+'DOE25'!L221+'DOE25'!L239-F6-G6-H6</f>
        <v>559960.54</v>
      </c>
      <c r="E6" s="179"/>
      <c r="F6" s="180">
        <f>(90248.98-25000)+(123811.02-25000)+(43596-25000)</f>
        <v>182656</v>
      </c>
      <c r="G6" s="19">
        <f>'DOE25'!J203+'DOE25'!J221+'DOE25'!J239</f>
        <v>0</v>
      </c>
      <c r="H6" s="19">
        <f>'DOE25'!K203+'DOE25'!K221+'DOE25'!K239</f>
        <v>1449</v>
      </c>
      <c r="I6" s="191"/>
    </row>
    <row r="7" spans="1:9" x14ac:dyDescent="0.2">
      <c r="A7" s="31">
        <v>2200</v>
      </c>
      <c r="B7" t="s">
        <v>817</v>
      </c>
      <c r="C7" s="205">
        <f t="shared" si="0"/>
        <v>211251.76</v>
      </c>
      <c r="D7" s="19">
        <f>'DOE25'!L204+'DOE25'!L222+'DOE25'!L240-F7-G7-H7</f>
        <v>211251.76</v>
      </c>
      <c r="E7" s="179"/>
      <c r="F7" s="180"/>
      <c r="G7" s="19">
        <f>'DOE25'!J204+'DOE25'!J222+'DOE25'!J240</f>
        <v>0</v>
      </c>
      <c r="H7" s="19">
        <f>'DOE25'!K204+'DOE25'!K222+'DOE25'!K240</f>
        <v>0</v>
      </c>
      <c r="I7" s="191"/>
    </row>
    <row r="8" spans="1:9" x14ac:dyDescent="0.2">
      <c r="A8" s="31">
        <v>2300</v>
      </c>
      <c r="B8" t="s">
        <v>794</v>
      </c>
      <c r="C8" s="205">
        <f t="shared" si="0"/>
        <v>750432.30000000016</v>
      </c>
      <c r="D8" s="179"/>
      <c r="E8" s="19">
        <f>'DOE25'!L205+'DOE25'!L223+'DOE25'!L241-F8-G8-H8-D9-D11</f>
        <v>726637.85000000021</v>
      </c>
      <c r="F8" s="180"/>
      <c r="G8" s="19">
        <f>'DOE25'!J205+'DOE25'!J223+'DOE25'!J241</f>
        <v>0</v>
      </c>
      <c r="H8" s="19">
        <f>'DOE25'!K205+'DOE25'!K223+'DOE25'!K241</f>
        <v>23794.45</v>
      </c>
      <c r="I8" s="191"/>
    </row>
    <row r="9" spans="1:9" ht="14.25" x14ac:dyDescent="0.2">
      <c r="A9" s="31">
        <v>2310</v>
      </c>
      <c r="B9" s="71" t="s">
        <v>884</v>
      </c>
      <c r="C9" s="205">
        <f t="shared" si="0"/>
        <v>31160.16</v>
      </c>
      <c r="D9" s="180">
        <f>30212.86+947.3</f>
        <v>31160.16</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446580.31</v>
      </c>
      <c r="D12" s="19">
        <f>'DOE25'!L206+'DOE25'!L224+'DOE25'!L242-F12-G12-H12</f>
        <v>407290.83</v>
      </c>
      <c r="E12" s="179"/>
      <c r="F12" s="180"/>
      <c r="G12" s="19">
        <f>'DOE25'!J206+'DOE25'!J224+'DOE25'!J242</f>
        <v>30947.940000000002</v>
      </c>
      <c r="H12" s="19">
        <f>'DOE25'!K206+'DOE25'!K224+'DOE25'!K242</f>
        <v>8341.5400000000009</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552340.94999999995</v>
      </c>
      <c r="D14" s="19">
        <f>'DOE25'!L208+'DOE25'!L226+'DOE25'!L244-F14-G14-H14</f>
        <v>516195.79999999993</v>
      </c>
      <c r="E14" s="179"/>
      <c r="F14" s="180"/>
      <c r="G14" s="19">
        <f>'DOE25'!J208+'DOE25'!J226+'DOE25'!J244</f>
        <v>4240</v>
      </c>
      <c r="H14" s="19">
        <f>'DOE25'!K208+'DOE25'!K226+'DOE25'!K244</f>
        <v>31905.15</v>
      </c>
      <c r="I14" s="191"/>
    </row>
    <row r="15" spans="1:9" x14ac:dyDescent="0.2">
      <c r="A15" s="31">
        <v>2700</v>
      </c>
      <c r="B15" t="s">
        <v>796</v>
      </c>
      <c r="C15" s="205">
        <f t="shared" si="0"/>
        <v>218680.77999999997</v>
      </c>
      <c r="D15" s="19">
        <f>'DOE25'!L209+'DOE25'!L227+'DOE25'!L245-F15-G15-H15</f>
        <v>32097.599999999955</v>
      </c>
      <c r="E15" s="179"/>
      <c r="F15" s="180">
        <f>205877.89-25000</f>
        <v>180877.89</v>
      </c>
      <c r="G15" s="19">
        <f>'DOE25'!J209+'DOE25'!J227+'DOE25'!J245</f>
        <v>0</v>
      </c>
      <c r="H15" s="19">
        <f>'DOE25'!K209+'DOE25'!K227+'DOE25'!K245</f>
        <v>5705.29</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743457.97000000009</v>
      </c>
      <c r="D22" s="179"/>
      <c r="E22" s="179"/>
      <c r="F22" s="179"/>
      <c r="G22" s="19">
        <f>'DOE25'!L256+'DOE25'!L337</f>
        <v>743457.97000000009</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152201.20000000001</v>
      </c>
      <c r="D25" s="179"/>
      <c r="E25" s="179"/>
      <c r="F25" s="190"/>
      <c r="G25" s="179"/>
      <c r="H25" s="179"/>
      <c r="I25" s="189">
        <f>'DOE25'!L261+'DOE25'!L262+'DOE25'!L342+'DOE25'!L343</f>
        <v>152201.20000000001</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169320.79</v>
      </c>
      <c r="D29" s="211">
        <f>'DOE25'!L359+'DOE25'!L360+'DOE25'!L361-'DOE25'!I368-F29-G29-H29-F39</f>
        <v>167736.19</v>
      </c>
      <c r="E29" s="179"/>
      <c r="F29" s="179"/>
      <c r="G29" s="19">
        <f>'DOE25'!J359+'DOE25'!J360+'DOE25'!J361</f>
        <v>1449</v>
      </c>
      <c r="H29" s="19">
        <f>'DOE25'!K359+'DOE25'!K360+'DOE25'!K361</f>
        <v>135.6</v>
      </c>
      <c r="I29" s="191"/>
    </row>
    <row r="30" spans="1:9" x14ac:dyDescent="0.2">
      <c r="A30" s="31"/>
      <c r="C30" s="206"/>
      <c r="D30" s="19"/>
      <c r="F30" s="200"/>
      <c r="G30" s="19"/>
      <c r="H30" s="19"/>
      <c r="I30" s="191"/>
    </row>
    <row r="31" spans="1:9" x14ac:dyDescent="0.2">
      <c r="A31" s="31" t="s">
        <v>814</v>
      </c>
      <c r="B31" t="s">
        <v>813</v>
      </c>
      <c r="C31" s="205">
        <f>SUM(D31:I31)</f>
        <v>308389.94000000006</v>
      </c>
      <c r="D31" s="19">
        <f>'DOE25'!L291+'DOE25'!L310+'DOE25'!L329+'DOE25'!L334+'DOE25'!L335+'DOE25'!L336-F31-G31-H31</f>
        <v>258523.67000000004</v>
      </c>
      <c r="E31" s="179"/>
      <c r="F31" s="180">
        <f>(31422.5-25000)+(30380.24-25000)</f>
        <v>11802.740000000002</v>
      </c>
      <c r="G31" s="19">
        <f>'DOE25'!J291+'DOE25'!J310+'DOE25'!J329+'DOE25'!J334+'DOE25'!J335+'DOE25'!J336</f>
        <v>32173.53</v>
      </c>
      <c r="H31" s="19">
        <f>'DOE25'!K291+'DOE25'!K310+'DOE25'!K329+'DOE25'!K334+'DOE25'!K335+'DOE25'!K336</f>
        <v>5890</v>
      </c>
      <c r="I31" s="191"/>
    </row>
    <row r="32" spans="1:9" ht="12" thickBot="1" x14ac:dyDescent="0.25">
      <c r="C32" s="206"/>
      <c r="G32" s="187"/>
      <c r="H32" s="187"/>
      <c r="I32" s="193"/>
    </row>
    <row r="33" spans="1:9" ht="12" thickTop="1" x14ac:dyDescent="0.2">
      <c r="B33" t="s">
        <v>806</v>
      </c>
      <c r="D33" s="181">
        <f t="shared" ref="D33:I33" si="1">SUM(D5:D31)</f>
        <v>6894188.9699999997</v>
      </c>
      <c r="E33" s="181">
        <f t="shared" si="1"/>
        <v>726637.85000000021</v>
      </c>
      <c r="F33" s="181">
        <f t="shared" si="1"/>
        <v>558149.13</v>
      </c>
      <c r="G33" s="181">
        <f t="shared" si="1"/>
        <v>875343.21000000008</v>
      </c>
      <c r="H33" s="181">
        <f t="shared" si="1"/>
        <v>97501.27</v>
      </c>
      <c r="I33" s="181">
        <f t="shared" si="1"/>
        <v>152201.20000000001</v>
      </c>
    </row>
    <row r="34" spans="1:9" ht="12" thickBot="1" x14ac:dyDescent="0.25"/>
    <row r="35" spans="1:9" ht="12" thickBot="1" x14ac:dyDescent="0.25">
      <c r="B35" s="187" t="s">
        <v>827</v>
      </c>
      <c r="D35" s="188">
        <f>E33</f>
        <v>726637.85000000021</v>
      </c>
      <c r="E35" s="184"/>
      <c r="F35" s="294" t="s">
        <v>1596</v>
      </c>
      <c r="G35" s="295"/>
      <c r="H35" s="295"/>
      <c r="I35" s="296"/>
    </row>
    <row r="36" spans="1:9" ht="12" thickTop="1" x14ac:dyDescent="0.2">
      <c r="B36" t="s">
        <v>807</v>
      </c>
      <c r="D36" s="19">
        <f>D33</f>
        <v>6894188.9699999997</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46405.599999999999</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B14" sqref="B14"/>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Lincoln-Woodstock Cooperative</v>
      </c>
      <c r="B2">
        <f>'DOE25'!B2</f>
        <v>305</v>
      </c>
      <c r="J2" s="223" t="s">
        <v>1799</v>
      </c>
      <c r="K2" s="308">
        <f>SUM('DOE25'!L198:L201)+SUM('DOE25'!L277:L280)</f>
        <v>2161260.5499999998</v>
      </c>
      <c r="L2" s="308">
        <f>'DOE25'!L203+'DOE25'!L282</f>
        <v>406529.88</v>
      </c>
      <c r="M2" s="308">
        <f>'DOE25'!L204+'DOE25'!L283</f>
        <v>87200.26999999999</v>
      </c>
      <c r="N2" s="308">
        <f>'DOE25'!L206+'DOE25'!L285</f>
        <v>219152.38999999998</v>
      </c>
      <c r="O2" s="316">
        <f>'Salaries-Benefits'!B10+'Salaries-Benefits'!B12+'Salaries-Benefits'!B19+'Salaries-Benefits'!B21+'Salaries-Benefits'!B28+'Salaries-Benefits'!B30+'Salaries-Benefits'!B37+'Salaries-Benefits'!B39</f>
        <v>2522363.5</v>
      </c>
      <c r="P2" s="316">
        <f>'Salaries-Benefits'!B11+'Salaries-Benefits'!B20+'Salaries-Benefits'!B29+'Salaries-Benefits'!B38</f>
        <v>217766</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3501562.76</v>
      </c>
      <c r="G4" s="228">
        <f>'DOE25'!L212+'DOE25'!L291</f>
        <v>3501562.7600000007</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c r="E5" s="219"/>
      <c r="F5" s="231">
        <f>D5+E5</f>
        <v>0</v>
      </c>
      <c r="G5" s="222"/>
      <c r="H5" s="222"/>
      <c r="J5" s="71" t="s">
        <v>1840</v>
      </c>
      <c r="K5" s="20"/>
      <c r="L5" s="20"/>
      <c r="M5" s="20"/>
      <c r="N5" s="20"/>
      <c r="O5" s="20"/>
      <c r="P5" s="20"/>
      <c r="Q5" s="20"/>
    </row>
    <row r="6" spans="1:22" x14ac:dyDescent="0.2">
      <c r="A6" t="str" cm="1">
        <f t="array" ref="A6">IFERROR(INDEX('School Tables'!$A$4:$G$365,'School Tables'!$J4,3),"")</f>
        <v>Lin-Wood Public School (Elem)</v>
      </c>
      <c r="B6" s="229">
        <f>IFERROR(VLOOKUP(A6,'School Tables'!$C$3:$D$365,2,FALSE),"")</f>
        <v>20880</v>
      </c>
      <c r="C6" s="222" t="str">
        <f>IFERROR(INDEX('School Tables'!$B$3:$B$365,MATCH('School Level Expenditures'!B6,'School Tables'!$D$3:$D$365,0)),"")</f>
        <v>Lincoln-Woodstock Cooperative</v>
      </c>
      <c r="D6" s="219">
        <f>3294388.14+13785.29-102.68</f>
        <v>3308070.75</v>
      </c>
      <c r="E6" s="219">
        <v>193492.01</v>
      </c>
      <c r="F6" s="231">
        <f t="shared" ref="F6:F20" si="2">D6+E6</f>
        <v>3501562.76</v>
      </c>
      <c r="G6" s="222"/>
      <c r="H6" s="222"/>
      <c r="J6" t="str">
        <f t="shared" ref="J6:J20" si="3">A6</f>
        <v>Lin-Wood Public School (Elem)</v>
      </c>
      <c r="K6" s="20">
        <f>1397937.86+665474.86+1556.27+38543.21+36086+21765.03-102.68</f>
        <v>2161260.5499999998</v>
      </c>
      <c r="L6" s="20">
        <f>13660.24+392869.64</f>
        <v>406529.88</v>
      </c>
      <c r="M6" s="307">
        <f>69568.79+17631.48</f>
        <v>87200.26999999999</v>
      </c>
      <c r="N6" s="20">
        <v>219152.39</v>
      </c>
      <c r="O6" s="20">
        <f>816846.89+18700+3820+4620+1858.44+5380+240573.06-88133+11700+814+4320+9213.03-12.48</f>
        <v>1029699.94</v>
      </c>
      <c r="P6" s="20">
        <f>21861+20608+21859+20805+3006+19310-4320</f>
        <v>103129</v>
      </c>
      <c r="Q6" s="20">
        <f>1464.08+739.99+12565.9+399.99+1295.55+15.84+364.76+1226.16</f>
        <v>18072.269999999997</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3308070.75</v>
      </c>
      <c r="E21" s="261">
        <f>SUM(E5:E20)</f>
        <v>193492.01</v>
      </c>
      <c r="F21" s="216"/>
      <c r="G21" s="216"/>
      <c r="H21" s="216"/>
      <c r="K21" s="262">
        <f t="shared" ref="K21:Q21" si="4">SUM(K5:K20)</f>
        <v>2161260.5499999998</v>
      </c>
      <c r="L21" s="262">
        <f t="shared" si="4"/>
        <v>406529.88</v>
      </c>
      <c r="M21" s="262">
        <f t="shared" si="4"/>
        <v>87200.26999999999</v>
      </c>
      <c r="N21" s="262">
        <f t="shared" si="4"/>
        <v>219152.39</v>
      </c>
      <c r="O21" s="262">
        <f t="shared" si="4"/>
        <v>1029699.94</v>
      </c>
      <c r="P21" s="262">
        <f t="shared" si="4"/>
        <v>103129</v>
      </c>
      <c r="Q21" s="262">
        <f t="shared" si="4"/>
        <v>18072.269999999997</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1093763.4999999998</v>
      </c>
      <c r="L23" s="19">
        <f>'DOE25'!L221+'DOE25'!L301</f>
        <v>148535.99</v>
      </c>
      <c r="M23" s="19">
        <f>'DOE25'!L222+'DOE25'!L302</f>
        <v>60081.75</v>
      </c>
      <c r="N23" s="19">
        <f>'DOE25'!L224+'DOE25'!L304</f>
        <v>104238.72000000002</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1817397.8900000001</v>
      </c>
      <c r="G25" s="228">
        <f>'DOE25'!L230+'DOE25'!L310</f>
        <v>1817397.8899999997</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Lin-Wood Public School (Middle)</v>
      </c>
      <c r="B27" s="229">
        <f>IFERROR(VLOOKUP(A27,'School Tables'!$N$4:$O$100,2,FALSE),"")</f>
        <v>23105</v>
      </c>
      <c r="C27" s="222" t="str">
        <f>IFERROR(INDEX('School Tables'!$M$4:$M$100,MATCH('School Level Expenditures'!A27,'School Tables'!$N$4:$N$100,0)),"")</f>
        <v>Lincoln-Woodstock Cooperative</v>
      </c>
      <c r="D27" s="219">
        <f>1754371.33+7205.94</f>
        <v>1761577.27</v>
      </c>
      <c r="E27" s="219">
        <v>55820.62</v>
      </c>
      <c r="F27" s="231">
        <f t="shared" ref="F27:F33" si="6">D27+E27</f>
        <v>1817397.8900000001</v>
      </c>
      <c r="G27" s="222"/>
      <c r="H27" s="222"/>
      <c r="J27" t="str">
        <f t="shared" ref="J27:J33" si="7">A27</f>
        <v>Lin-Wood Public School (Middle)</v>
      </c>
      <c r="K27" s="20">
        <f>916859.8+121041.87+22844.94+4250.29+28766.6</f>
        <v>1093763.5000000002</v>
      </c>
      <c r="L27" s="20">
        <f>141011.99+7524</f>
        <v>148535.99</v>
      </c>
      <c r="M27" s="307">
        <f>50052.02+10029.73</f>
        <v>60081.75</v>
      </c>
      <c r="N27" s="20">
        <v>104238.72</v>
      </c>
      <c r="O27" s="20">
        <f>540710.11+8800+76747.07-47444+1250+14722</f>
        <v>594785.17999999993</v>
      </c>
      <c r="P27" s="20">
        <f>20667+26777+23914</f>
        <v>71358</v>
      </c>
      <c r="Q27" s="20">
        <f>2000.37+2759.13+937.32+26.28+190.67+363.17</f>
        <v>6276.94</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1761577.27</v>
      </c>
      <c r="E34" s="261">
        <f>SUM(E26:E33)</f>
        <v>55820.62</v>
      </c>
      <c r="F34" s="216"/>
      <c r="G34" s="216"/>
      <c r="H34" s="216"/>
      <c r="K34" s="262">
        <f t="shared" ref="K34:Q34" si="8">SUM(K26:K33)</f>
        <v>1093763.5000000002</v>
      </c>
      <c r="L34" s="262">
        <f t="shared" si="8"/>
        <v>148535.99</v>
      </c>
      <c r="M34" s="262">
        <f t="shared" si="8"/>
        <v>60081.75</v>
      </c>
      <c r="N34" s="262">
        <f t="shared" si="8"/>
        <v>104238.72</v>
      </c>
      <c r="O34" s="262">
        <f t="shared" si="8"/>
        <v>594785.17999999993</v>
      </c>
      <c r="P34" s="262">
        <f t="shared" si="8"/>
        <v>71358</v>
      </c>
      <c r="Q34" s="262">
        <f t="shared" si="8"/>
        <v>6276.94</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1889507.3700000003</v>
      </c>
      <c r="L36" s="19">
        <f>'DOE25'!L239+'DOE25'!L320</f>
        <v>219379.91</v>
      </c>
      <c r="M36" s="19">
        <f>'DOE25'!L240+'DOE25'!L321</f>
        <v>97281.900000000009</v>
      </c>
      <c r="N36" s="19">
        <f>'DOE25'!L242+'DOE25'!L323</f>
        <v>123189.20000000001</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2920081.0199999996</v>
      </c>
      <c r="G38" s="228">
        <f>'DOE25'!L248+'DOE25'!L329</f>
        <v>2920081.0200000005</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198562.2</f>
        <v>198562.2</v>
      </c>
      <c r="E39" s="219"/>
      <c r="F39" s="231">
        <f t="shared" ref="F39:F44" si="10">D39+E39</f>
        <v>198562.2</v>
      </c>
      <c r="G39" s="222"/>
      <c r="H39" s="222"/>
      <c r="J39" s="71" t="s">
        <v>1840</v>
      </c>
      <c r="K39" s="315">
        <v>198562.2</v>
      </c>
      <c r="L39" s="315"/>
      <c r="M39" s="315"/>
      <c r="N39" s="315"/>
      <c r="O39" s="315"/>
      <c r="P39" s="315"/>
      <c r="Q39" s="315"/>
    </row>
    <row r="40" spans="1:17" x14ac:dyDescent="0.2">
      <c r="A40" t="str" cm="1">
        <f t="array" ref="A40">IFERROR(INDEX('School Tables'!$W$4:$AC$120,'School Tables'!$AF4,3),"")</f>
        <v>Lin-Wood Public School (High)</v>
      </c>
      <c r="B40" s="229">
        <f>IFERROR(VLOOKUP(A40,'School Tables'!$Y$4:$Z$120,2,FALSE),"")</f>
        <v>23110</v>
      </c>
      <c r="C40" s="222" t="str">
        <f>IFERROR(INDEX('School Tables'!$X$4:$X$120,MATCH('School Level Expenditures'!A40,'School Tables'!$Y$4:$Y$120,0)),"")</f>
        <v>Lincoln-Woodstock Cooperative</v>
      </c>
      <c r="D40" s="219">
        <f>2850664.75+10338.96-198562.2+177.8+9500+6209.73</f>
        <v>2678329.0399999996</v>
      </c>
      <c r="E40" s="219">
        <v>43189.78</v>
      </c>
      <c r="F40" s="231">
        <f t="shared" si="10"/>
        <v>2721518.8199999994</v>
      </c>
      <c r="G40" s="222"/>
      <c r="H40" s="222"/>
      <c r="J40" t="str">
        <f>A40</f>
        <v>Lin-Wood Public School (High)</v>
      </c>
      <c r="K40" s="20">
        <f>1349558.67+368408.03+9194.34+123365.97+17931.29+5339.34-198562.2+9500+6209.73</f>
        <v>1690945.1700000002</v>
      </c>
      <c r="L40" s="20">
        <f>210183.91+9196</f>
        <v>219379.91</v>
      </c>
      <c r="M40" s="307">
        <f>91630.95+5473.15+177.8</f>
        <v>97281.9</v>
      </c>
      <c r="N40" s="20">
        <v>123189.2</v>
      </c>
      <c r="O40" s="20">
        <f>754801.86+35161.04+87828.81-43273+2650+52009.67+8700</f>
        <v>897878.38</v>
      </c>
      <c r="P40" s="20">
        <f>21673+21606</f>
        <v>43279</v>
      </c>
      <c r="Q40" s="20">
        <f>2830.63+224.14+3657.25+571.94+29.88+273.57+451.07+220</f>
        <v>8258.48</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2876891.2399999998</v>
      </c>
      <c r="E45" s="262">
        <f>SUM(E39:E44)</f>
        <v>43189.78</v>
      </c>
      <c r="K45" s="262">
        <f t="shared" ref="K45:Q45" si="11">SUM(K39:K44)</f>
        <v>1889507.37</v>
      </c>
      <c r="L45" s="262">
        <f t="shared" si="11"/>
        <v>219379.91</v>
      </c>
      <c r="M45" s="262">
        <f t="shared" si="11"/>
        <v>97281.9</v>
      </c>
      <c r="N45" s="262">
        <f t="shared" si="11"/>
        <v>123189.2</v>
      </c>
      <c r="O45" s="262">
        <f t="shared" si="11"/>
        <v>897878.38</v>
      </c>
      <c r="P45" s="262">
        <f t="shared" si="11"/>
        <v>43279</v>
      </c>
      <c r="Q45" s="262">
        <f t="shared" si="11"/>
        <v>8258.48</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Lincoln-Woodstock Cooperative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1954034.13</v>
      </c>
      <c r="D8" s="73">
        <f>'DOE25'!G9</f>
        <v>0</v>
      </c>
      <c r="E8" s="73">
        <f>'DOE25'!H9</f>
        <v>0</v>
      </c>
      <c r="F8" s="73">
        <f>'DOE25'!I9</f>
        <v>0</v>
      </c>
      <c r="G8" s="73">
        <f>'DOE25'!J9</f>
        <v>565785.81000000006</v>
      </c>
      <c r="H8" s="13">
        <f>SUM(C8:G8)</f>
        <v>2519819.94</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1361615.38</v>
      </c>
      <c r="D11" s="73">
        <f>'DOE25'!G12</f>
        <v>19337.29</v>
      </c>
      <c r="E11" s="73">
        <f>'DOE25'!H12</f>
        <v>43084.229999999996</v>
      </c>
      <c r="F11" s="73">
        <f>'DOE25'!I12</f>
        <v>0</v>
      </c>
      <c r="G11" s="73">
        <f>'DOE25'!J12</f>
        <v>0</v>
      </c>
      <c r="H11" s="13">
        <f t="shared" si="0"/>
        <v>1424036.9</v>
      </c>
      <c r="I11" s="90"/>
    </row>
    <row r="12" spans="1:9" x14ac:dyDescent="0.2">
      <c r="A12" s="1" t="s">
        <v>143</v>
      </c>
      <c r="B12" s="6">
        <v>140</v>
      </c>
      <c r="C12" s="73">
        <f>'DOE25'!F13</f>
        <v>0</v>
      </c>
      <c r="D12" s="73">
        <f>'DOE25'!G13</f>
        <v>13574.09</v>
      </c>
      <c r="E12" s="73">
        <f>'DOE25'!H13</f>
        <v>40484.68</v>
      </c>
      <c r="F12" s="73">
        <f>'DOE25'!I13</f>
        <v>0</v>
      </c>
      <c r="G12" s="73">
        <f>'DOE25'!J13</f>
        <v>0</v>
      </c>
      <c r="H12" s="13">
        <f t="shared" si="0"/>
        <v>54058.770000000004</v>
      </c>
      <c r="I12" s="90"/>
    </row>
    <row r="13" spans="1:9" x14ac:dyDescent="0.2">
      <c r="A13" s="1" t="s">
        <v>144</v>
      </c>
      <c r="B13" s="6">
        <v>150</v>
      </c>
      <c r="C13" s="73">
        <f>'DOE25'!F14</f>
        <v>2802.25</v>
      </c>
      <c r="D13" s="73">
        <f>'DOE25'!G14</f>
        <v>3355.3</v>
      </c>
      <c r="E13" s="73">
        <f>'DOE25'!H14</f>
        <v>0</v>
      </c>
      <c r="F13" s="73">
        <f>'DOE25'!I14</f>
        <v>0</v>
      </c>
      <c r="G13" s="73">
        <f>'DOE25'!J14</f>
        <v>0</v>
      </c>
      <c r="H13" s="13">
        <f t="shared" si="0"/>
        <v>6157.55</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3318451.76</v>
      </c>
      <c r="D18" s="38">
        <f>SUM(D8:D17)</f>
        <v>36266.680000000008</v>
      </c>
      <c r="E18" s="38">
        <f>SUM(E8:E17)</f>
        <v>83568.91</v>
      </c>
      <c r="F18" s="38">
        <f>SUM(F8:F17)</f>
        <v>0</v>
      </c>
      <c r="G18" s="38">
        <f>SUM(G8:G17)</f>
        <v>565785.81000000006</v>
      </c>
      <c r="H18" s="38">
        <f t="shared" si="0"/>
        <v>4004073.16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1385011.23</v>
      </c>
      <c r="D21" s="73">
        <f>'DOE25'!G22</f>
        <v>4582.1000000000004</v>
      </c>
      <c r="E21" s="73">
        <f>'DOE25'!H22</f>
        <v>68332.759999999995</v>
      </c>
      <c r="F21" s="73">
        <f>'DOE25'!I22</f>
        <v>0</v>
      </c>
      <c r="G21" s="73">
        <f>'DOE25'!J22</f>
        <v>0</v>
      </c>
      <c r="H21" s="13">
        <f t="shared" ref="H21:H31" si="1">SUM(C21:G21)</f>
        <v>1457926.09</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24540.58</v>
      </c>
      <c r="D23" s="73">
        <f>'DOE25'!G24</f>
        <v>8540.81</v>
      </c>
      <c r="E23" s="73">
        <f>'DOE25'!H24</f>
        <v>0</v>
      </c>
      <c r="F23" s="73">
        <f>'DOE25'!I24</f>
        <v>0</v>
      </c>
      <c r="G23" s="73">
        <f>'DOE25'!J24</f>
        <v>0</v>
      </c>
      <c r="H23" s="13">
        <f t="shared" si="1"/>
        <v>33081.39</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408689.56</v>
      </c>
      <c r="D27" s="73">
        <f>'DOE25'!G28</f>
        <v>0</v>
      </c>
      <c r="E27" s="73">
        <f>'DOE25'!H28</f>
        <v>0</v>
      </c>
      <c r="F27" s="73">
        <f>'DOE25'!I28</f>
        <v>0</v>
      </c>
      <c r="G27" s="23" t="s">
        <v>288</v>
      </c>
      <c r="H27" s="13">
        <f t="shared" si="1"/>
        <v>408689.56</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175000</v>
      </c>
      <c r="D29" s="73">
        <f>'DOE25'!G30</f>
        <v>18863.53</v>
      </c>
      <c r="E29" s="73">
        <f>'DOE25'!H30</f>
        <v>6507.5</v>
      </c>
      <c r="F29" s="73">
        <f>'DOE25'!I30</f>
        <v>0</v>
      </c>
      <c r="G29" s="23" t="s">
        <v>288</v>
      </c>
      <c r="H29" s="13">
        <f t="shared" si="1"/>
        <v>200371.03</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1993241.37</v>
      </c>
      <c r="D31" s="38">
        <f>SUM(D21:D30)</f>
        <v>31986.44</v>
      </c>
      <c r="E31" s="38">
        <f>SUM(E21:E30)</f>
        <v>74840.259999999995</v>
      </c>
      <c r="F31" s="38">
        <f>SUM(F21:F30)</f>
        <v>0</v>
      </c>
      <c r="G31" s="38">
        <f>SUM(G21:G30)</f>
        <v>0</v>
      </c>
      <c r="H31" s="38">
        <f t="shared" si="1"/>
        <v>2100068.0699999998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4280.24</v>
      </c>
      <c r="E39" s="23" t="s">
        <v>288</v>
      </c>
      <c r="F39" s="23" t="s">
        <v>288</v>
      </c>
      <c r="G39" s="23" t="s">
        <v>288</v>
      </c>
      <c r="H39" s="13">
        <f t="shared" si="2"/>
        <v>4280.24</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100000</v>
      </c>
      <c r="D43" s="73">
        <f>'DOE25'!G44</f>
        <v>0</v>
      </c>
      <c r="E43" s="73">
        <f>'DOE25'!H44</f>
        <v>0</v>
      </c>
      <c r="F43" s="73">
        <f>'DOE25'!I44</f>
        <v>0</v>
      </c>
      <c r="G43" s="23" t="s">
        <v>288</v>
      </c>
      <c r="H43" s="13">
        <f t="shared" si="2"/>
        <v>100000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399750</v>
      </c>
      <c r="D45" s="23" t="s">
        <v>288</v>
      </c>
      <c r="E45" s="23" t="s">
        <v>288</v>
      </c>
      <c r="F45" s="23" t="s">
        <v>288</v>
      </c>
      <c r="G45" s="23" t="s">
        <v>288</v>
      </c>
      <c r="H45" s="13">
        <f t="shared" si="2"/>
        <v>399750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565785.81000000006</v>
      </c>
      <c r="H47" s="13">
        <f t="shared" si="2"/>
        <v>565785.81000000006</v>
      </c>
      <c r="I47" s="90"/>
    </row>
    <row r="48" spans="1:9" x14ac:dyDescent="0.2">
      <c r="A48" s="1" t="s">
        <v>878</v>
      </c>
      <c r="B48" s="6">
        <v>753</v>
      </c>
      <c r="C48" s="73">
        <f>'DOE25'!F49</f>
        <v>392105.54</v>
      </c>
      <c r="D48" s="73">
        <f>'DOE25'!G49</f>
        <v>0</v>
      </c>
      <c r="E48" s="73">
        <f>'DOE25'!H49</f>
        <v>8728.65</v>
      </c>
      <c r="F48" s="73">
        <f>'DOE25'!I49</f>
        <v>0</v>
      </c>
      <c r="G48" s="73">
        <f>'DOE25'!J49</f>
        <v>0</v>
      </c>
      <c r="H48" s="13">
        <f t="shared" si="2"/>
        <v>400834.19</v>
      </c>
      <c r="I48" s="90"/>
    </row>
    <row r="49" spans="1:9" ht="12" thickBot="1" x14ac:dyDescent="0.25">
      <c r="A49" s="28" t="s">
        <v>879</v>
      </c>
      <c r="B49" s="56">
        <v>770</v>
      </c>
      <c r="C49" s="73">
        <f>'DOE25'!F50</f>
        <v>433354.85</v>
      </c>
      <c r="D49" s="23" t="s">
        <v>288</v>
      </c>
      <c r="E49" s="23" t="s">
        <v>288</v>
      </c>
      <c r="F49" s="23" t="s">
        <v>288</v>
      </c>
      <c r="G49" s="23" t="s">
        <v>288</v>
      </c>
      <c r="H49" s="13">
        <f t="shared" si="2"/>
        <v>433354.85</v>
      </c>
      <c r="I49" s="90"/>
    </row>
    <row r="50" spans="1:9" ht="12.75" thickTop="1" thickBot="1" x14ac:dyDescent="0.25">
      <c r="A50" s="35" t="s">
        <v>880</v>
      </c>
      <c r="B50" s="44"/>
      <c r="C50" s="38">
        <f>SUM(C34:C49)</f>
        <v>1325210.3900000001</v>
      </c>
      <c r="D50" s="38">
        <f>SUM(D34:D49)</f>
        <v>4280.24</v>
      </c>
      <c r="E50" s="38">
        <f>SUM(E34:E49)</f>
        <v>8728.65</v>
      </c>
      <c r="F50" s="38">
        <f>SUM(F34:F49)</f>
        <v>0</v>
      </c>
      <c r="G50" s="38">
        <f>SUM(G34:G49)</f>
        <v>565785.81000000006</v>
      </c>
      <c r="H50" s="38">
        <f t="shared" si="2"/>
        <v>1904005.09</v>
      </c>
      <c r="I50" s="90"/>
    </row>
    <row r="51" spans="1:9" ht="12" thickTop="1" x14ac:dyDescent="0.2">
      <c r="A51" s="35" t="s">
        <v>881</v>
      </c>
      <c r="B51" s="2"/>
      <c r="C51" s="38">
        <f>C50+C31</f>
        <v>3318451.7600000002</v>
      </c>
      <c r="D51" s="38">
        <f>D50+D31</f>
        <v>36266.68</v>
      </c>
      <c r="E51" s="38">
        <f>E50+E31</f>
        <v>83568.909999999989</v>
      </c>
      <c r="F51" s="38">
        <f>F50+F31</f>
        <v>0</v>
      </c>
      <c r="G51" s="38">
        <f>G50+G31</f>
        <v>565785.81000000006</v>
      </c>
      <c r="H51" s="38">
        <f t="shared" si="2"/>
        <v>4004073.1600000006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5610008</v>
      </c>
      <c r="D56" s="73">
        <f>'DOE25'!G60</f>
        <v>0</v>
      </c>
      <c r="E56" s="73">
        <f>'DOE25'!H60</f>
        <v>0</v>
      </c>
      <c r="F56" s="73">
        <f>'DOE25'!I60</f>
        <v>0</v>
      </c>
      <c r="G56" s="73">
        <f>'DOE25'!J60</f>
        <v>0</v>
      </c>
      <c r="H56" s="13">
        <f t="shared" ref="H56:H63" si="3">SUM(C56:G56)</f>
        <v>5610008</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21190.19</v>
      </c>
      <c r="D59" s="73">
        <f>'DOE25'!G96</f>
        <v>0</v>
      </c>
      <c r="E59" s="73">
        <f>'DOE25'!H96</f>
        <v>0</v>
      </c>
      <c r="F59" s="73">
        <f>'DOE25'!I96</f>
        <v>0</v>
      </c>
      <c r="G59" s="73">
        <f>'DOE25'!J96</f>
        <v>31239.38</v>
      </c>
      <c r="H59" s="13">
        <f t="shared" si="3"/>
        <v>52429.57</v>
      </c>
      <c r="I59"/>
    </row>
    <row r="60" spans="1:9" x14ac:dyDescent="0.2">
      <c r="A60" s="1" t="s">
        <v>170</v>
      </c>
      <c r="B60" s="22" t="s">
        <v>171</v>
      </c>
      <c r="C60" s="23" t="s">
        <v>288</v>
      </c>
      <c r="D60" s="73">
        <f>'DOE25'!G97</f>
        <v>56072.930000000008</v>
      </c>
      <c r="E60" s="23" t="s">
        <v>288</v>
      </c>
      <c r="F60" s="23" t="s">
        <v>288</v>
      </c>
      <c r="G60" s="23" t="s">
        <v>288</v>
      </c>
      <c r="H60" s="13">
        <f t="shared" si="3"/>
        <v>56072.930000000008</v>
      </c>
      <c r="I60"/>
    </row>
    <row r="61" spans="1:9" ht="12" thickBot="1" x14ac:dyDescent="0.25">
      <c r="A61" s="1" t="s">
        <v>172</v>
      </c>
      <c r="B61" s="22" t="s">
        <v>173</v>
      </c>
      <c r="C61" s="73">
        <f>SUM('DOE25'!F98:F110)</f>
        <v>3325.66</v>
      </c>
      <c r="D61" s="73">
        <f>SUM('DOE25'!G98:G110)</f>
        <v>0</v>
      </c>
      <c r="E61" s="73">
        <f>SUM('DOE25'!H98:H110)</f>
        <v>0</v>
      </c>
      <c r="F61" s="73">
        <f>SUM('DOE25'!I98:I110)</f>
        <v>0</v>
      </c>
      <c r="G61" s="73">
        <f>SUM('DOE25'!J98:J110)</f>
        <v>0</v>
      </c>
      <c r="H61" s="13">
        <f t="shared" si="3"/>
        <v>3325.66</v>
      </c>
      <c r="I61"/>
    </row>
    <row r="62" spans="1:9" ht="12.75" thickTop="1" thickBot="1" x14ac:dyDescent="0.25">
      <c r="A62" s="28" t="s">
        <v>174</v>
      </c>
      <c r="B62" s="6"/>
      <c r="C62" s="93">
        <f>SUM(C57:C61)</f>
        <v>24515.85</v>
      </c>
      <c r="D62" s="93">
        <f>SUM(D57:D61)</f>
        <v>56072.930000000008</v>
      </c>
      <c r="E62" s="93">
        <f>SUM(E57:E61)</f>
        <v>0</v>
      </c>
      <c r="F62" s="93">
        <f>SUM(F57:F61)</f>
        <v>0</v>
      </c>
      <c r="G62" s="93">
        <f>SUM(G57:G61)</f>
        <v>31239.38</v>
      </c>
      <c r="H62" s="13">
        <f t="shared" si="3"/>
        <v>111828.16</v>
      </c>
      <c r="I62"/>
    </row>
    <row r="63" spans="1:9" ht="12" thickTop="1" x14ac:dyDescent="0.2">
      <c r="A63" s="28" t="s">
        <v>175</v>
      </c>
      <c r="B63" s="6"/>
      <c r="C63" s="21">
        <f>C56+C62</f>
        <v>5634523.8499999996</v>
      </c>
      <c r="D63" s="21">
        <f>D56+D62</f>
        <v>56072.930000000008</v>
      </c>
      <c r="E63" s="21">
        <f>E56+E62</f>
        <v>0</v>
      </c>
      <c r="F63" s="21">
        <f>F56+F62</f>
        <v>0</v>
      </c>
      <c r="G63" s="21">
        <f>G56+G62</f>
        <v>31239.38</v>
      </c>
      <c r="H63" s="13">
        <f t="shared" si="3"/>
        <v>5721836.1599999992</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225677.67</v>
      </c>
      <c r="D66" s="23" t="s">
        <v>288</v>
      </c>
      <c r="E66" s="23" t="s">
        <v>288</v>
      </c>
      <c r="F66" s="23" t="s">
        <v>288</v>
      </c>
      <c r="G66" s="23" t="s">
        <v>288</v>
      </c>
      <c r="H66" s="13">
        <f t="shared" ref="H66:H81" si="4">SUM(C66:G66)</f>
        <v>225677.67</v>
      </c>
      <c r="I66"/>
    </row>
    <row r="67" spans="1:9" x14ac:dyDescent="0.2">
      <c r="A67" s="1" t="s">
        <v>767</v>
      </c>
      <c r="B67" s="6">
        <v>3112</v>
      </c>
      <c r="C67" s="73">
        <f>'DOE25'!F118</f>
        <v>2384997</v>
      </c>
      <c r="D67" s="23"/>
      <c r="E67" s="23"/>
      <c r="F67" s="23"/>
      <c r="G67" s="23"/>
      <c r="H67" s="13">
        <f t="shared" si="4"/>
        <v>2384997</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2936.29</v>
      </c>
      <c r="D69" s="73">
        <f>'DOE25'!G120</f>
        <v>0</v>
      </c>
      <c r="E69" s="73">
        <f>'DOE25'!H120</f>
        <v>0</v>
      </c>
      <c r="F69" s="73">
        <f>'DOE25'!I120</f>
        <v>0</v>
      </c>
      <c r="G69" s="73">
        <f>'DOE25'!J120</f>
        <v>0</v>
      </c>
      <c r="H69" s="13">
        <f t="shared" si="4"/>
        <v>2936.29</v>
      </c>
      <c r="I69"/>
    </row>
    <row r="70" spans="1:9" ht="12" thickTop="1" x14ac:dyDescent="0.2">
      <c r="A70" s="28" t="s">
        <v>252</v>
      </c>
      <c r="B70" s="2"/>
      <c r="C70" s="97">
        <f>SUM(C66:C69)</f>
        <v>2613610.96</v>
      </c>
      <c r="D70" s="97">
        <f>D69</f>
        <v>0</v>
      </c>
      <c r="E70" s="97">
        <f>E69</f>
        <v>0</v>
      </c>
      <c r="F70" s="97">
        <f>F69</f>
        <v>0</v>
      </c>
      <c r="G70" s="97">
        <f>G69</f>
        <v>0</v>
      </c>
      <c r="H70" s="13">
        <f t="shared" si="4"/>
        <v>2613610.96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64308.01</v>
      </c>
      <c r="D75" s="23" t="s">
        <v>288</v>
      </c>
      <c r="E75" s="23" t="s">
        <v>288</v>
      </c>
      <c r="F75" s="23" t="s">
        <v>288</v>
      </c>
      <c r="G75" s="23" t="s">
        <v>288</v>
      </c>
      <c r="H75" s="13">
        <f t="shared" si="4"/>
        <v>64308.01</v>
      </c>
      <c r="I75"/>
    </row>
    <row r="76" spans="1:9" x14ac:dyDescent="0.2">
      <c r="A76" s="1" t="s">
        <v>257</v>
      </c>
      <c r="B76" s="6" t="s">
        <v>179</v>
      </c>
      <c r="C76" s="73">
        <f>SUM('DOE25'!F127:F130)</f>
        <v>3254.4</v>
      </c>
      <c r="D76" s="23" t="s">
        <v>288</v>
      </c>
      <c r="E76" s="73">
        <f>SUM('DOE25'!H127:H130)</f>
        <v>0</v>
      </c>
      <c r="F76" s="73">
        <f>SUM('DOE25'!I127:I130)</f>
        <v>0</v>
      </c>
      <c r="G76" s="23" t="s">
        <v>288</v>
      </c>
      <c r="H76" s="13">
        <f t="shared" si="4"/>
        <v>3254.4</v>
      </c>
      <c r="I76"/>
    </row>
    <row r="77" spans="1:9" ht="12" thickBot="1" x14ac:dyDescent="0.25">
      <c r="A77" s="1" t="s">
        <v>258</v>
      </c>
      <c r="B77" s="6" t="s">
        <v>180</v>
      </c>
      <c r="C77" s="73">
        <f>SUM('DOE25'!F131:F135)</f>
        <v>0</v>
      </c>
      <c r="D77" s="73">
        <f>SUM('DOE25'!G131:G135)</f>
        <v>2706.75</v>
      </c>
      <c r="E77" s="73">
        <f>SUM('DOE25'!H131:H135)</f>
        <v>0</v>
      </c>
      <c r="F77" s="73">
        <f>SUM('DOE25'!I131:I135)</f>
        <v>0</v>
      </c>
      <c r="G77" s="73">
        <f>SUM('DOE25'!J131:J135)</f>
        <v>0</v>
      </c>
      <c r="H77" s="13">
        <f t="shared" si="4"/>
        <v>2706.75</v>
      </c>
      <c r="I77"/>
    </row>
    <row r="78" spans="1:9" ht="12.75" thickTop="1" thickBot="1" x14ac:dyDescent="0.25">
      <c r="A78" s="28" t="s">
        <v>259</v>
      </c>
      <c r="B78" s="6"/>
      <c r="C78" s="93">
        <f>SUM(C72:C77)</f>
        <v>67562.41</v>
      </c>
      <c r="D78" s="93">
        <f>SUM(D72:D77)</f>
        <v>2706.75</v>
      </c>
      <c r="E78" s="93">
        <f>SUM(E72:E77)</f>
        <v>0</v>
      </c>
      <c r="F78" s="93">
        <f>SUM(F72:F77)</f>
        <v>0</v>
      </c>
      <c r="G78" s="93">
        <f>SUM(G72:G77)</f>
        <v>0</v>
      </c>
      <c r="H78" s="13">
        <f t="shared" si="4"/>
        <v>70269.16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2681173.37</v>
      </c>
      <c r="D81" s="93">
        <f>SUM(D79:D80)+D78+D70</f>
        <v>2706.75</v>
      </c>
      <c r="E81" s="93">
        <f>SUM(E79:E80)+E78+E70</f>
        <v>0</v>
      </c>
      <c r="F81" s="93">
        <f>SUM(F79:F80)+F78+F70</f>
        <v>0</v>
      </c>
      <c r="G81" s="93">
        <f>SUM(G79:G80)+G78+G70</f>
        <v>0</v>
      </c>
      <c r="H81" s="93">
        <f t="shared" si="4"/>
        <v>2683880.12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30481.63</v>
      </c>
      <c r="F85" s="73">
        <f>'DOE25'!I147</f>
        <v>0</v>
      </c>
      <c r="G85" s="23" t="s">
        <v>288</v>
      </c>
      <c r="H85" s="13">
        <f t="shared" ref="H85:H104" si="5">SUM(C85:G85)</f>
        <v>30481.63</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37638.06</v>
      </c>
      <c r="D88" s="252">
        <f>SUM('DOE25'!G153:G162)</f>
        <v>89741.330000000016</v>
      </c>
      <c r="E88" s="252">
        <f>SUM('DOE25'!H153:H162)</f>
        <v>815678.78</v>
      </c>
      <c r="F88" s="252">
        <f>SUM('DOE25'!I153:I162)</f>
        <v>0</v>
      </c>
      <c r="G88" s="23" t="s">
        <v>288</v>
      </c>
      <c r="H88" s="13">
        <f t="shared" si="5"/>
        <v>943058.17</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52419.25</v>
      </c>
      <c r="D90" s="23" t="s">
        <v>288</v>
      </c>
      <c r="E90" s="23" t="s">
        <v>288</v>
      </c>
      <c r="F90" s="23" t="s">
        <v>288</v>
      </c>
      <c r="G90" s="23" t="s">
        <v>288</v>
      </c>
      <c r="H90" s="13">
        <f t="shared" si="5"/>
        <v>52419.25</v>
      </c>
    </row>
    <row r="91" spans="1:9" ht="12.75" thickTop="1" thickBot="1" x14ac:dyDescent="0.25">
      <c r="A91" s="32" t="s">
        <v>747</v>
      </c>
      <c r="C91" s="94">
        <f>SUM(C85:C90)</f>
        <v>90057.31</v>
      </c>
      <c r="D91" s="94">
        <f>SUM(D85:D90)</f>
        <v>89741.330000000016</v>
      </c>
      <c r="E91" s="94">
        <f>SUM(E85:E90)</f>
        <v>846160.41</v>
      </c>
      <c r="F91" s="94">
        <f>SUM(F85:F90)</f>
        <v>0</v>
      </c>
      <c r="G91" s="23" t="s">
        <v>288</v>
      </c>
      <c r="H91" s="13">
        <f t="shared" si="5"/>
        <v>1025959.05</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430000</v>
      </c>
      <c r="D93" s="23" t="s">
        <v>288</v>
      </c>
      <c r="E93" s="23" t="s">
        <v>288</v>
      </c>
      <c r="F93" s="73">
        <f>SUM('DOE25'!I174:I176)</f>
        <v>0</v>
      </c>
      <c r="G93" s="23" t="s">
        <v>288</v>
      </c>
      <c r="H93" s="13">
        <f t="shared" si="5"/>
        <v>430000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67205.38</v>
      </c>
      <c r="E96" s="73">
        <f>'DOE25'!H180</f>
        <v>0</v>
      </c>
      <c r="F96" s="73">
        <f>'DOE25'!I180</f>
        <v>0</v>
      </c>
      <c r="G96" s="73">
        <f>'DOE25'!J180</f>
        <v>160000</v>
      </c>
      <c r="H96" s="13">
        <f t="shared" si="5"/>
        <v>227205.38</v>
      </c>
    </row>
    <row r="97" spans="1:8" x14ac:dyDescent="0.2">
      <c r="A97" t="s">
        <v>751</v>
      </c>
      <c r="B97" s="31" t="s">
        <v>188</v>
      </c>
      <c r="C97" s="73">
        <f>SUM('DOE25'!F181:F182)</f>
        <v>2205.67</v>
      </c>
      <c r="D97" s="73">
        <f>SUM('DOE25'!G181:G182)</f>
        <v>0</v>
      </c>
      <c r="E97" s="73">
        <f>SUM('DOE25'!H181:H182)</f>
        <v>0</v>
      </c>
      <c r="F97" s="73">
        <f>SUM('DOE25'!I181:I182)</f>
        <v>0</v>
      </c>
      <c r="G97" s="73">
        <f>SUM('DOE25'!J181:J182)</f>
        <v>0</v>
      </c>
      <c r="H97" s="13">
        <f t="shared" si="5"/>
        <v>2205.67</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432205.67</v>
      </c>
      <c r="D103" s="68">
        <f>SUM(D93:D102)</f>
        <v>67205.38</v>
      </c>
      <c r="E103" s="68">
        <f>SUM(E93:E102)</f>
        <v>0</v>
      </c>
      <c r="F103" s="68">
        <f>SUM(F93:F102)</f>
        <v>0</v>
      </c>
      <c r="G103" s="68">
        <f>SUM(G93:G102)</f>
        <v>160000</v>
      </c>
      <c r="H103" s="68">
        <f t="shared" si="5"/>
        <v>659411.05000000005</v>
      </c>
    </row>
    <row r="104" spans="1:8" ht="12.75" thickTop="1" thickBot="1" x14ac:dyDescent="0.25">
      <c r="A104" s="32" t="s">
        <v>758</v>
      </c>
      <c r="C104" s="68">
        <f>C63+C81+C91+C103</f>
        <v>8837960.1999999993</v>
      </c>
      <c r="D104" s="68">
        <f>D63+D81+D91+D103</f>
        <v>215726.39</v>
      </c>
      <c r="E104" s="68">
        <f>E63+E81+E91+E103</f>
        <v>846160.41</v>
      </c>
      <c r="F104" s="68">
        <f>F63+F81+F91+F103</f>
        <v>0</v>
      </c>
      <c r="G104" s="68">
        <f>G63+G81+G103</f>
        <v>191239.38</v>
      </c>
      <c r="H104" s="68">
        <f t="shared" si="5"/>
        <v>10091086.380000001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3664253.6499999994</v>
      </c>
      <c r="D109" s="23" t="s">
        <v>288</v>
      </c>
      <c r="E109" s="73">
        <f>('DOE25'!L277)+('DOE25'!L296)+('DOE25'!L315)</f>
        <v>60724.790000000008</v>
      </c>
      <c r="F109" s="23" t="s">
        <v>288</v>
      </c>
      <c r="G109" s="23" t="s">
        <v>288</v>
      </c>
      <c r="H109" s="13">
        <f t="shared" ref="H109:H115" si="6">SUM(C109:G109)</f>
        <v>3724978.4399999995</v>
      </c>
    </row>
    <row r="110" spans="1:8" x14ac:dyDescent="0.2">
      <c r="A110" t="s">
        <v>198</v>
      </c>
      <c r="B110" s="31" t="s">
        <v>199</v>
      </c>
      <c r="C110" s="73">
        <f>('DOE25'!L199)+('DOE25'!L217)+('DOE25'!L235)</f>
        <v>1154924.7600000002</v>
      </c>
      <c r="D110" s="23" t="s">
        <v>288</v>
      </c>
      <c r="E110" s="73">
        <f>('DOE25'!L278)+('DOE25'!L297)+('DOE25'!L316)</f>
        <v>79691.94</v>
      </c>
      <c r="F110" s="23" t="s">
        <v>288</v>
      </c>
      <c r="G110" s="23" t="s">
        <v>288</v>
      </c>
      <c r="H110" s="13">
        <f t="shared" si="6"/>
        <v>1234616.7000000002</v>
      </c>
    </row>
    <row r="111" spans="1:8" x14ac:dyDescent="0.2">
      <c r="A111" t="s">
        <v>200</v>
      </c>
      <c r="B111" s="31" t="s">
        <v>165</v>
      </c>
      <c r="C111" s="73">
        <f>('DOE25'!L200)+('DOE25'!L218)+('DOE25'!L236)</f>
        <v>9194.34</v>
      </c>
      <c r="D111" s="23" t="s">
        <v>288</v>
      </c>
      <c r="E111" s="73">
        <f>('DOE25'!L279)+('DOE25'!L298)+('DOE25'!L317)</f>
        <v>0</v>
      </c>
      <c r="F111" s="23" t="s">
        <v>288</v>
      </c>
      <c r="G111" s="23" t="s">
        <v>288</v>
      </c>
      <c r="H111" s="13">
        <f t="shared" si="6"/>
        <v>9194.34</v>
      </c>
    </row>
    <row r="112" spans="1:8" x14ac:dyDescent="0.2">
      <c r="A112" t="s">
        <v>201</v>
      </c>
      <c r="B112" s="31" t="s">
        <v>167</v>
      </c>
      <c r="C112" s="73">
        <f>('DOE25'!L201)+('DOE25'!L219)+('DOE25'!L237)</f>
        <v>147767.18000000002</v>
      </c>
      <c r="D112" s="23" t="s">
        <v>288</v>
      </c>
      <c r="E112" s="73">
        <f>+('DOE25'!L280)+('DOE25'!L299)+('DOE25'!L318)</f>
        <v>27974.760000000002</v>
      </c>
      <c r="F112" s="23" t="s">
        <v>288</v>
      </c>
      <c r="G112" s="23" t="s">
        <v>288</v>
      </c>
      <c r="H112" s="13">
        <f t="shared" si="6"/>
        <v>175741.94000000003</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4976139.93</v>
      </c>
      <c r="D115" s="68">
        <f>SUM(D109:D114)</f>
        <v>0</v>
      </c>
      <c r="E115" s="68">
        <f>SUM(E109:E114)</f>
        <v>168391.49000000002</v>
      </c>
      <c r="F115" s="68">
        <f>SUM(F109:F114)</f>
        <v>0</v>
      </c>
      <c r="G115" s="68">
        <f>SUM(G109:G114)</f>
        <v>0</v>
      </c>
      <c r="H115" s="68">
        <f t="shared" si="6"/>
        <v>5144531.42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744065.54</v>
      </c>
      <c r="D118" s="23" t="s">
        <v>288</v>
      </c>
      <c r="E118" s="73">
        <f>+('DOE25'!L282)+('DOE25'!L301)+('DOE25'!L320)</f>
        <v>30380.239999999998</v>
      </c>
      <c r="F118" s="23" t="s">
        <v>288</v>
      </c>
      <c r="G118" s="23" t="s">
        <v>288</v>
      </c>
      <c r="H118" s="13">
        <f t="shared" ref="H118:H145" si="7">SUM(C118:G118)</f>
        <v>774445.78</v>
      </c>
    </row>
    <row r="119" spans="1:8" x14ac:dyDescent="0.2">
      <c r="A119" t="s">
        <v>208</v>
      </c>
      <c r="B119" s="31" t="s">
        <v>209</v>
      </c>
      <c r="C119" s="73">
        <f>('DOE25'!L204)+('DOE25'!L222)+('DOE25'!L240)</f>
        <v>211251.76</v>
      </c>
      <c r="D119" s="23" t="s">
        <v>288</v>
      </c>
      <c r="E119" s="73">
        <f>+('DOE25'!L283)+('DOE25'!L302)+('DOE25'!L321)</f>
        <v>33312.159999999996</v>
      </c>
      <c r="F119" s="23" t="s">
        <v>288</v>
      </c>
      <c r="G119" s="23" t="s">
        <v>288</v>
      </c>
      <c r="H119" s="13">
        <f t="shared" si="7"/>
        <v>244563.92</v>
      </c>
    </row>
    <row r="120" spans="1:8" x14ac:dyDescent="0.2">
      <c r="A120" t="s">
        <v>210</v>
      </c>
      <c r="B120" s="31" t="s">
        <v>211</v>
      </c>
      <c r="C120" s="73">
        <f>('DOE25'!L205)+('DOE25'!L223)+('DOE25'!L241)</f>
        <v>781592.4600000002</v>
      </c>
      <c r="D120" s="23" t="s">
        <v>288</v>
      </c>
      <c r="E120" s="73">
        <f>+('DOE25'!L284)+('DOE25'!L303)+('DOE25'!L322)</f>
        <v>0</v>
      </c>
      <c r="F120" s="23" t="s">
        <v>288</v>
      </c>
      <c r="G120" s="23" t="s">
        <v>288</v>
      </c>
      <c r="H120" s="13">
        <f t="shared" si="7"/>
        <v>781592.4600000002</v>
      </c>
    </row>
    <row r="121" spans="1:8" x14ac:dyDescent="0.2">
      <c r="A121" t="s">
        <v>212</v>
      </c>
      <c r="B121" s="31" t="s">
        <v>213</v>
      </c>
      <c r="C121" s="73">
        <f>('DOE25'!L206)+('DOE25'!L224)+('DOE25'!L242)</f>
        <v>446580.31</v>
      </c>
      <c r="D121" s="23" t="s">
        <v>288</v>
      </c>
      <c r="E121" s="73">
        <f>+('DOE25'!L285)+('DOE25'!L304)+('DOE25'!L323)</f>
        <v>0</v>
      </c>
      <c r="F121" s="23" t="s">
        <v>288</v>
      </c>
      <c r="G121" s="23" t="s">
        <v>288</v>
      </c>
      <c r="H121" s="13">
        <f t="shared" si="7"/>
        <v>446580.31</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552340.94999999995</v>
      </c>
      <c r="D123" s="23" t="s">
        <v>288</v>
      </c>
      <c r="E123" s="73">
        <f>+('DOE25'!L287)+('DOE25'!L306)+('DOE25'!L325)</f>
        <v>76306.05</v>
      </c>
      <c r="F123" s="23" t="s">
        <v>288</v>
      </c>
      <c r="G123" s="23" t="s">
        <v>288</v>
      </c>
      <c r="H123" s="13">
        <f t="shared" si="7"/>
        <v>628647</v>
      </c>
    </row>
    <row r="124" spans="1:8" x14ac:dyDescent="0.2">
      <c r="A124" t="s">
        <v>218</v>
      </c>
      <c r="B124" s="31" t="s">
        <v>219</v>
      </c>
      <c r="C124" s="73">
        <f>('DOE25'!L209)+('DOE25'!L227)+('DOE25'!L245+'DOE25'!L255)</f>
        <v>218680.77999999997</v>
      </c>
      <c r="D124" s="23" t="s">
        <v>288</v>
      </c>
      <c r="E124" s="73">
        <f>+('DOE25'!L288)+('DOE25'!L307)+('DOE25'!L326)</f>
        <v>0</v>
      </c>
      <c r="F124" s="23" t="s">
        <v>288</v>
      </c>
      <c r="G124" s="23" t="s">
        <v>288</v>
      </c>
      <c r="H124" s="13">
        <f t="shared" si="7"/>
        <v>218680.77999999997</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215726.39</v>
      </c>
      <c r="E127" s="23" t="s">
        <v>288</v>
      </c>
      <c r="F127" s="23" t="s">
        <v>288</v>
      </c>
      <c r="G127" s="23" t="s">
        <v>288</v>
      </c>
      <c r="H127" s="13">
        <f t="shared" si="7"/>
        <v>215726.39</v>
      </c>
    </row>
    <row r="128" spans="1:8" ht="12.75" thickTop="1" thickBot="1" x14ac:dyDescent="0.25">
      <c r="A128" s="32" t="s">
        <v>226</v>
      </c>
      <c r="C128" s="68">
        <f>SUM(C118:C127)</f>
        <v>2954511.8000000003</v>
      </c>
      <c r="D128" s="68">
        <f>SUM(D118:D127)</f>
        <v>215726.39</v>
      </c>
      <c r="E128" s="68">
        <f>SUM(E118:E127)</f>
        <v>139998.45000000001</v>
      </c>
      <c r="F128" s="68">
        <f>SUM(F118:F127)</f>
        <v>0</v>
      </c>
      <c r="G128" s="68">
        <f>SUM(G118:G127)</f>
        <v>0</v>
      </c>
      <c r="H128" s="68">
        <f t="shared" si="7"/>
        <v>3310236.6400000006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207893.17</v>
      </c>
      <c r="D130" s="23" t="s">
        <v>288</v>
      </c>
      <c r="E130" s="92">
        <f>'DOE25'!L337</f>
        <v>535564.80000000005</v>
      </c>
      <c r="F130" s="92">
        <f>SUM('DOE25'!L375:'DOE25'!L381)</f>
        <v>0</v>
      </c>
      <c r="G130" s="23" t="s">
        <v>288</v>
      </c>
      <c r="H130" s="13">
        <f t="shared" si="7"/>
        <v>743457.97000000009</v>
      </c>
    </row>
    <row r="131" spans="1:8" x14ac:dyDescent="0.2">
      <c r="A131" t="s">
        <v>229</v>
      </c>
      <c r="B131" s="31">
        <v>5110</v>
      </c>
      <c r="C131" s="73">
        <f>'DOE25'!L261</f>
        <v>115600</v>
      </c>
      <c r="D131" s="23" t="s">
        <v>288</v>
      </c>
      <c r="E131" s="92">
        <f>'DOE25'!L342</f>
        <v>0</v>
      </c>
      <c r="F131" s="23" t="s">
        <v>288</v>
      </c>
      <c r="G131" s="23" t="s">
        <v>288</v>
      </c>
      <c r="H131" s="13">
        <f t="shared" si="7"/>
        <v>115600</v>
      </c>
    </row>
    <row r="132" spans="1:8" x14ac:dyDescent="0.2">
      <c r="A132" t="s">
        <v>230</v>
      </c>
      <c r="B132" s="31">
        <v>5120</v>
      </c>
      <c r="C132" s="73">
        <f>'DOE25'!L262</f>
        <v>36601.199999999997</v>
      </c>
      <c r="D132" s="23" t="s">
        <v>288</v>
      </c>
      <c r="E132" s="92">
        <f>'DOE25'!L343</f>
        <v>0</v>
      </c>
      <c r="F132" s="23" t="s">
        <v>288</v>
      </c>
      <c r="G132" s="23" t="s">
        <v>288</v>
      </c>
      <c r="H132" s="13">
        <f t="shared" si="7"/>
        <v>36601.199999999997</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2205.67</v>
      </c>
      <c r="F134" s="73">
        <f>'DOE25'!K382</f>
        <v>0</v>
      </c>
      <c r="G134" s="73">
        <f>'DOE25'!K435</f>
        <v>2250</v>
      </c>
      <c r="H134" s="13">
        <f t="shared" si="7"/>
        <v>4455.67</v>
      </c>
    </row>
    <row r="135" spans="1:8" x14ac:dyDescent="0.2">
      <c r="A135" t="s">
        <v>233</v>
      </c>
      <c r="B135" s="31" t="s">
        <v>234</v>
      </c>
      <c r="C135" s="73">
        <f>'DOE25'!L264</f>
        <v>67205.38</v>
      </c>
      <c r="D135" s="23" t="s">
        <v>288</v>
      </c>
      <c r="E135" s="92">
        <f>'DOE25'!L346</f>
        <v>0</v>
      </c>
      <c r="F135" s="23" t="s">
        <v>288</v>
      </c>
      <c r="G135" s="23" t="s">
        <v>288</v>
      </c>
      <c r="H135" s="13">
        <f t="shared" si="7"/>
        <v>67205.38</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191239.38</v>
      </c>
      <c r="D139" s="23" t="s">
        <v>288</v>
      </c>
      <c r="E139" s="23" t="s">
        <v>288</v>
      </c>
      <c r="F139" s="23" t="s">
        <v>288</v>
      </c>
      <c r="G139" s="23" t="s">
        <v>288</v>
      </c>
      <c r="H139" s="13">
        <f t="shared" si="7"/>
        <v>191239.38</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-31239.380000000005</v>
      </c>
      <c r="D141" s="23" t="s">
        <v>288</v>
      </c>
      <c r="E141" s="23" t="s">
        <v>288</v>
      </c>
      <c r="F141" s="23" t="s">
        <v>288</v>
      </c>
      <c r="G141" s="23" t="s">
        <v>288</v>
      </c>
      <c r="H141" s="13">
        <f t="shared" si="7"/>
        <v>-31239.380000000005</v>
      </c>
    </row>
    <row r="142" spans="1:8" x14ac:dyDescent="0.2">
      <c r="A142" t="s">
        <v>241</v>
      </c>
      <c r="B142" s="31">
        <v>5310</v>
      </c>
      <c r="C142" s="92">
        <f>'DOE25'!L269</f>
        <v>39768.78</v>
      </c>
      <c r="D142" s="23" t="s">
        <v>288</v>
      </c>
      <c r="E142" s="92">
        <f>'DOE25'!L350</f>
        <v>0</v>
      </c>
      <c r="F142" s="23" t="s">
        <v>288</v>
      </c>
      <c r="G142" s="23" t="s">
        <v>288</v>
      </c>
      <c r="H142" s="13">
        <f t="shared" si="7"/>
        <v>39768.78</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627068.53000000014</v>
      </c>
      <c r="D144" s="98">
        <f>SUM(D130:D143)</f>
        <v>0</v>
      </c>
      <c r="E144" s="98">
        <f>SUM(E130:E143)</f>
        <v>537770.47000000009</v>
      </c>
      <c r="F144" s="98">
        <f>SUM(F130:F143)</f>
        <v>0</v>
      </c>
      <c r="G144" s="98">
        <f>SUM(G130:G143)</f>
        <v>2250</v>
      </c>
      <c r="H144" s="98">
        <f t="shared" si="7"/>
        <v>1167089.0000000002</v>
      </c>
    </row>
    <row r="145" spans="1:9" ht="12.75" thickTop="1" thickBot="1" x14ac:dyDescent="0.25">
      <c r="A145" s="32" t="s">
        <v>244</v>
      </c>
      <c r="C145" s="68">
        <f>(C115+C128+C144)</f>
        <v>8557720.2599999998</v>
      </c>
      <c r="D145" s="68">
        <f>(D115+D128+D144)</f>
        <v>215726.39</v>
      </c>
      <c r="E145" s="68">
        <f>(E115+E128+E144)</f>
        <v>846160.41000000015</v>
      </c>
      <c r="F145" s="68">
        <f>(F115+F128+F144)</f>
        <v>0</v>
      </c>
      <c r="G145" s="68">
        <f>(G115+G128+G144)</f>
        <v>2250</v>
      </c>
      <c r="H145" s="68">
        <f t="shared" si="7"/>
        <v>9621857.0600000005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5</v>
      </c>
      <c r="C151" s="110">
        <f>'DOE25'!G491</f>
        <v>10</v>
      </c>
      <c r="D151" s="110">
        <f>'DOE25'!H491</f>
        <v>5</v>
      </c>
      <c r="E151" s="110">
        <f>'DOE25'!I491</f>
        <v>0</v>
      </c>
      <c r="F151" s="110">
        <f>'DOE25'!J491</f>
        <v>0</v>
      </c>
      <c r="G151" s="23" t="s">
        <v>288</v>
      </c>
    </row>
    <row r="152" spans="1:9" x14ac:dyDescent="0.2">
      <c r="A152" s="21" t="s">
        <v>28</v>
      </c>
      <c r="B152" s="109" t="str">
        <f>'DOE25'!F492</f>
        <v>06/19</v>
      </c>
      <c r="C152" s="109" t="str">
        <f>'DOE25'!G492</f>
        <v>01/22</v>
      </c>
      <c r="D152" s="109">
        <f>'DOE25'!H492</f>
        <v>0.2608695652173913</v>
      </c>
      <c r="E152" s="109">
        <f>'DOE25'!I492</f>
        <v>0</v>
      </c>
      <c r="F152" s="109">
        <f>'DOE25'!J492</f>
        <v>0</v>
      </c>
      <c r="G152" s="23" t="s">
        <v>288</v>
      </c>
    </row>
    <row r="153" spans="1:9" x14ac:dyDescent="0.2">
      <c r="A153" s="21" t="s">
        <v>29</v>
      </c>
      <c r="B153" s="109" t="str">
        <f>'DOE25'!F493</f>
        <v>08/24</v>
      </c>
      <c r="C153" s="109" t="str">
        <f>'DOE25'!G493</f>
        <v>02/32</v>
      </c>
      <c r="D153" s="109">
        <f>'DOE25'!H493</f>
        <v>0.2857142857142857</v>
      </c>
      <c r="E153" s="109">
        <f>'DOE25'!I493</f>
        <v>0</v>
      </c>
      <c r="F153" s="109">
        <f>'DOE25'!J493</f>
        <v>0</v>
      </c>
      <c r="G153" s="23" t="s">
        <v>288</v>
      </c>
    </row>
    <row r="154" spans="1:9" x14ac:dyDescent="0.2">
      <c r="A154" s="21" t="s">
        <v>30</v>
      </c>
      <c r="B154" s="19">
        <f>'DOE25'!F494</f>
        <v>361500</v>
      </c>
      <c r="C154" s="19">
        <f>'DOE25'!G494</f>
        <v>456100</v>
      </c>
      <c r="D154" s="19">
        <f>'DOE25'!H494</f>
        <v>408797</v>
      </c>
      <c r="E154" s="19">
        <f>'DOE25'!I494</f>
        <v>0</v>
      </c>
      <c r="F154" s="19">
        <f>'DOE25'!J494</f>
        <v>0</v>
      </c>
      <c r="G154" s="23" t="s">
        <v>288</v>
      </c>
    </row>
    <row r="155" spans="1:9" x14ac:dyDescent="0.2">
      <c r="A155" s="21" t="s">
        <v>31</v>
      </c>
      <c r="B155" s="19">
        <f>'DOE25'!F495</f>
        <v>1.49E-2</v>
      </c>
      <c r="C155" s="19">
        <f>'DOE25'!G495</f>
        <v>1.41E-2</v>
      </c>
      <c r="D155" s="19">
        <f>'DOE25'!H495</f>
        <v>3.2599999999999997E-2</v>
      </c>
      <c r="E155" s="19">
        <f>'DOE25'!I495</f>
        <v>0</v>
      </c>
      <c r="F155" s="19">
        <f>'DOE25'!J495</f>
        <v>0</v>
      </c>
      <c r="G155" s="23" t="s">
        <v>288</v>
      </c>
    </row>
    <row r="156" spans="1:9" x14ac:dyDescent="0.2">
      <c r="A156" s="21" t="s">
        <v>32</v>
      </c>
      <c r="B156" s="19">
        <f>'DOE25'!F496</f>
        <v>140000</v>
      </c>
      <c r="C156" s="19">
        <f>'DOE25'!G496</f>
        <v>410400</v>
      </c>
      <c r="D156" s="19">
        <f>'DOE25'!H496</f>
        <v>408797</v>
      </c>
      <c r="E156" s="19">
        <f>'DOE25'!I496</f>
        <v>0</v>
      </c>
      <c r="F156" s="19">
        <f>'DOE25'!J496</f>
        <v>0</v>
      </c>
      <c r="G156" s="96">
        <f>SUM(B156:F156)</f>
        <v>959197</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70000</v>
      </c>
      <c r="C159" s="19">
        <f>'DOE25'!G499</f>
        <v>364800</v>
      </c>
      <c r="D159" s="19">
        <f>'DOE25'!H499</f>
        <v>408797</v>
      </c>
      <c r="E159" s="19">
        <f>'DOE25'!I499</f>
        <v>0</v>
      </c>
      <c r="F159" s="19">
        <f>'DOE25'!J499</f>
        <v>0</v>
      </c>
      <c r="G159" s="96">
        <f t="shared" si="8"/>
        <v>843597</v>
      </c>
    </row>
    <row r="160" spans="1:9" x14ac:dyDescent="0.2">
      <c r="A160" s="21" t="s">
        <v>36</v>
      </c>
      <c r="B160" s="19">
        <f>'DOE25'!F500</f>
        <v>1785</v>
      </c>
      <c r="C160" s="19">
        <f>'DOE25'!G500</f>
        <v>80073.600000000006</v>
      </c>
      <c r="D160" s="19">
        <f>'DOE25'!H500</f>
        <v>52121.439999999995</v>
      </c>
      <c r="E160" s="19">
        <f>'DOE25'!I500</f>
        <v>0</v>
      </c>
      <c r="F160" s="19">
        <f>'DOE25'!J500</f>
        <v>0</v>
      </c>
      <c r="G160" s="96">
        <f t="shared" si="8"/>
        <v>133980.04</v>
      </c>
    </row>
    <row r="161" spans="1:7" x14ac:dyDescent="0.2">
      <c r="A161" s="21" t="s">
        <v>37</v>
      </c>
      <c r="B161" s="19">
        <f>'DOE25'!F501</f>
        <v>71785</v>
      </c>
      <c r="C161" s="19">
        <f>'DOE25'!G501</f>
        <v>444873.6</v>
      </c>
      <c r="D161" s="19">
        <f>'DOE25'!H501</f>
        <v>460918.44</v>
      </c>
      <c r="E161" s="19">
        <f>'DOE25'!I501</f>
        <v>0</v>
      </c>
      <c r="F161" s="19">
        <f>'DOE25'!J501</f>
        <v>0</v>
      </c>
      <c r="G161" s="96">
        <f t="shared" si="8"/>
        <v>977577.04</v>
      </c>
    </row>
    <row r="162" spans="1:7" x14ac:dyDescent="0.2">
      <c r="A162" s="21" t="s">
        <v>38</v>
      </c>
      <c r="B162" s="19">
        <f>'DOE25'!F502</f>
        <v>70000</v>
      </c>
      <c r="C162" s="19">
        <f>'DOE25'!G502</f>
        <v>45600</v>
      </c>
      <c r="D162" s="19">
        <f>'DOE25'!H502</f>
        <v>81760</v>
      </c>
      <c r="E162" s="19">
        <f>'DOE25'!I502</f>
        <v>0</v>
      </c>
      <c r="F162" s="19">
        <f>'DOE25'!J502</f>
        <v>0</v>
      </c>
      <c r="G162" s="96">
        <f t="shared" si="8"/>
        <v>197360</v>
      </c>
    </row>
    <row r="163" spans="1:7" x14ac:dyDescent="0.2">
      <c r="A163" s="21" t="s">
        <v>39</v>
      </c>
      <c r="B163" s="19">
        <f>'DOE25'!F503</f>
        <v>1785</v>
      </c>
      <c r="C163" s="19">
        <f>'DOE25'!G503</f>
        <v>18148.8</v>
      </c>
      <c r="D163" s="19">
        <f>'DOE25'!H503</f>
        <v>18763.760000000002</v>
      </c>
      <c r="E163" s="19">
        <f>'DOE25'!I503</f>
        <v>0</v>
      </c>
      <c r="F163" s="19">
        <f>'DOE25'!J503</f>
        <v>0</v>
      </c>
      <c r="G163" s="96">
        <f t="shared" si="8"/>
        <v>38697.56</v>
      </c>
    </row>
    <row r="164" spans="1:7" x14ac:dyDescent="0.2">
      <c r="A164" s="21" t="s">
        <v>246</v>
      </c>
      <c r="B164" s="19">
        <f>'DOE25'!F504</f>
        <v>71785</v>
      </c>
      <c r="C164" s="19">
        <f>'DOE25'!G504</f>
        <v>63748.800000000003</v>
      </c>
      <c r="D164" s="19">
        <f>'DOE25'!H504</f>
        <v>100523.76000000001</v>
      </c>
      <c r="E164" s="19">
        <f>'DOE25'!I504</f>
        <v>0</v>
      </c>
      <c r="F164" s="19">
        <f>'DOE25'!J504</f>
        <v>0</v>
      </c>
      <c r="G164" s="96">
        <f t="shared" si="8"/>
        <v>236057.56</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Lincoln-Woodstock Cooperative</v>
      </c>
    </row>
    <row r="3" spans="1:4" x14ac:dyDescent="0.2">
      <c r="B3" s="136" t="s">
        <v>1792</v>
      </c>
    </row>
    <row r="4" spans="1:4" x14ac:dyDescent="0.2">
      <c r="B4" t="s">
        <v>61</v>
      </c>
      <c r="C4" s="128">
        <f>IF('DOE25'!F666+'DOE25'!F671=0,0,ROUND('DOE25'!F673,0))</f>
        <v>30298</v>
      </c>
    </row>
    <row r="5" spans="1:4" x14ac:dyDescent="0.2">
      <c r="B5" t="s">
        <v>700</v>
      </c>
      <c r="C5" s="128">
        <f>IF('DOE25'!G666+'DOE25'!G671=0,0,ROUND('DOE25'!G673,0))</f>
        <v>28976</v>
      </c>
    </row>
    <row r="6" spans="1:4" x14ac:dyDescent="0.2">
      <c r="B6" t="s">
        <v>62</v>
      </c>
      <c r="C6" s="128">
        <f>IF('DOE25'!H666+'DOE25'!H671=0,0,ROUND('DOE25'!H673,0))</f>
        <v>35868</v>
      </c>
    </row>
    <row r="7" spans="1:4" x14ac:dyDescent="0.2">
      <c r="B7" t="s">
        <v>701</v>
      </c>
      <c r="C7" s="128">
        <f>IF('DOE25'!I666+'DOE25'!I671=0,0,ROUND('DOE25'!I673,0))</f>
        <v>31584</v>
      </c>
    </row>
    <row r="9" spans="1:4" x14ac:dyDescent="0.2">
      <c r="A9" s="135" t="s">
        <v>94</v>
      </c>
      <c r="B9" s="136" t="s">
        <v>1793</v>
      </c>
      <c r="C9" s="130" t="s">
        <v>720</v>
      </c>
      <c r="D9" s="130" t="s">
        <v>721</v>
      </c>
    </row>
    <row r="10" spans="1:4" x14ac:dyDescent="0.2">
      <c r="A10">
        <v>1100</v>
      </c>
      <c r="B10" t="s">
        <v>702</v>
      </c>
      <c r="C10" s="128">
        <f>ROUND('DOE25'!L198+'DOE25'!L216+'DOE25'!L234+'DOE25'!L277+'DOE25'!L296+'DOE25'!L315,0)</f>
        <v>3724978</v>
      </c>
      <c r="D10" s="131">
        <f>ROUND((C10/$C$28)*100,1)</f>
        <v>44</v>
      </c>
    </row>
    <row r="11" spans="1:4" x14ac:dyDescent="0.2">
      <c r="A11">
        <v>1200</v>
      </c>
      <c r="B11" t="s">
        <v>703</v>
      </c>
      <c r="C11" s="128">
        <f>ROUND('DOE25'!L199+'DOE25'!L217+'DOE25'!L235+'DOE25'!L278+'DOE25'!L297+'DOE25'!L316,0)</f>
        <v>1234617</v>
      </c>
      <c r="D11" s="131">
        <f>ROUND((C11/$C$28)*100,1)</f>
        <v>14.6</v>
      </c>
    </row>
    <row r="12" spans="1:4" x14ac:dyDescent="0.2">
      <c r="A12">
        <v>1300</v>
      </c>
      <c r="B12" t="s">
        <v>704</v>
      </c>
      <c r="C12" s="128">
        <f>ROUND('DOE25'!L200+'DOE25'!L218+'DOE25'!L236+'DOE25'!L279+'DOE25'!L298+'DOE25'!L317,0)</f>
        <v>9194</v>
      </c>
      <c r="D12" s="131">
        <f>ROUND((C12/$C$28)*100,1)</f>
        <v>0.1</v>
      </c>
    </row>
    <row r="13" spans="1:4" x14ac:dyDescent="0.2">
      <c r="A13">
        <v>1400</v>
      </c>
      <c r="B13" t="s">
        <v>705</v>
      </c>
      <c r="C13" s="128">
        <f>ROUND('DOE25'!L201+'DOE25'!L219+'DOE25'!L237+'DOE25'!L280+'DOE25'!L299+'DOE25'!L318,0)</f>
        <v>175742</v>
      </c>
      <c r="D13" s="131">
        <f>ROUND((C13/$C$28)*100,1)</f>
        <v>2.1</v>
      </c>
    </row>
    <row r="14" spans="1:4" x14ac:dyDescent="0.2">
      <c r="D14" s="131"/>
    </row>
    <row r="15" spans="1:4" x14ac:dyDescent="0.2">
      <c r="A15">
        <v>2100</v>
      </c>
      <c r="B15" t="s">
        <v>706</v>
      </c>
      <c r="C15" s="128">
        <f>ROUND('DOE25'!L203+'DOE25'!L221+'DOE25'!L239+'DOE25'!L282+'DOE25'!L301+'DOE25'!L320,0)</f>
        <v>774446</v>
      </c>
      <c r="D15" s="131">
        <f t="shared" ref="D15:D27" si="0">ROUND((C15/$C$28)*100,1)</f>
        <v>9.1</v>
      </c>
    </row>
    <row r="16" spans="1:4" x14ac:dyDescent="0.2">
      <c r="A16">
        <v>2200</v>
      </c>
      <c r="B16" t="s">
        <v>707</v>
      </c>
      <c r="C16" s="128">
        <f>ROUND('DOE25'!L204+'DOE25'!L222+'DOE25'!L240+'DOE25'!L283+'DOE25'!L302+'DOE25'!L321,0)</f>
        <v>244564</v>
      </c>
      <c r="D16" s="131">
        <f t="shared" si="0"/>
        <v>2.9</v>
      </c>
    </row>
    <row r="17" spans="1:4" x14ac:dyDescent="0.2">
      <c r="A17" s="132" t="s">
        <v>723</v>
      </c>
      <c r="B17" t="s">
        <v>738</v>
      </c>
      <c r="C17" s="128">
        <f>ROUND('DOE25'!L205+'DOE25'!L210+'DOE25'!L223+'DOE25'!L228+'DOE25'!L241+'DOE25'!L246+'DOE25'!L284+'DOE25'!L289+'DOE25'!L303+'DOE25'!L308+'DOE25'!L322+'DOE25'!L327,0)</f>
        <v>781592</v>
      </c>
      <c r="D17" s="131">
        <f t="shared" si="0"/>
        <v>9.1999999999999993</v>
      </c>
    </row>
    <row r="18" spans="1:4" x14ac:dyDescent="0.2">
      <c r="A18">
        <v>2400</v>
      </c>
      <c r="B18" t="s">
        <v>711</v>
      </c>
      <c r="C18" s="128">
        <f>ROUND('DOE25'!L206+'DOE25'!L224+'DOE25'!L242+'DOE25'!L285+'DOE25'!L304+'DOE25'!L323,0)</f>
        <v>446580</v>
      </c>
      <c r="D18" s="131">
        <f t="shared" si="0"/>
        <v>5.3</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628647</v>
      </c>
      <c r="D20" s="131">
        <f t="shared" si="0"/>
        <v>7.4</v>
      </c>
    </row>
    <row r="21" spans="1:4" x14ac:dyDescent="0.2">
      <c r="A21">
        <v>2700</v>
      </c>
      <c r="B21" t="s">
        <v>710</v>
      </c>
      <c r="C21" s="128">
        <f>ROUND('DOE25'!L209+'DOE25'!L227+'DOE25'!L245+'DOE25'!L288+'DOE25'!L307+'DOE25'!L326,0)</f>
        <v>218681</v>
      </c>
      <c r="D21" s="131">
        <f t="shared" si="0"/>
        <v>2.6</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36601</v>
      </c>
      <c r="D25" s="131">
        <f t="shared" si="0"/>
        <v>0.4</v>
      </c>
    </row>
    <row r="26" spans="1:4" x14ac:dyDescent="0.2">
      <c r="A26" s="132" t="s">
        <v>717</v>
      </c>
      <c r="B26" t="s">
        <v>718</v>
      </c>
      <c r="C26" s="128">
        <f>'DOE25'!L269+'DOE25'!L270+'DOE25'!L350+'DOE25'!L351</f>
        <v>39768.78</v>
      </c>
      <c r="D26" s="131">
        <f t="shared" si="0"/>
        <v>0.5</v>
      </c>
    </row>
    <row r="27" spans="1:4" x14ac:dyDescent="0.2">
      <c r="A27">
        <v>3100</v>
      </c>
      <c r="B27" t="s">
        <v>11</v>
      </c>
      <c r="C27" s="128">
        <f>ROUND('DOE25'!L363-'DOE25'!L362,0)-SUM('DOE25'!G97:G110)</f>
        <v>159653.07</v>
      </c>
      <c r="D27" s="131">
        <f t="shared" si="0"/>
        <v>1.9</v>
      </c>
    </row>
    <row r="28" spans="1:4" x14ac:dyDescent="0.2">
      <c r="B28" s="135" t="s">
        <v>719</v>
      </c>
      <c r="C28" s="129">
        <f>SUM(C10:C27)</f>
        <v>8475063.8499999996</v>
      </c>
      <c r="D28" s="133">
        <f>ROUND(SUM(D10:D27),0)</f>
        <v>100</v>
      </c>
    </row>
    <row r="29" spans="1:4" x14ac:dyDescent="0.2">
      <c r="A29">
        <v>4000</v>
      </c>
      <c r="B29" t="s">
        <v>724</v>
      </c>
      <c r="C29" s="128">
        <f>ROUND('DOE25'!L256+'DOE25'!L337+'DOE25'!L375+'DOE25'!L376+'DOE25'!L377+'DOE25'!L378+'DOE25'!L379+'DOE25'!L380+'DOE25'!L381,0)</f>
        <v>743458</v>
      </c>
    </row>
    <row r="30" spans="1:4" x14ac:dyDescent="0.2">
      <c r="B30" s="135" t="s">
        <v>725</v>
      </c>
      <c r="C30" s="129">
        <f>SUM(C28:C29)</f>
        <v>9218521.8499999996</v>
      </c>
    </row>
    <row r="31" spans="1:4" x14ac:dyDescent="0.2">
      <c r="B31" s="32"/>
      <c r="C31" s="129"/>
    </row>
    <row r="32" spans="1:4" x14ac:dyDescent="0.2">
      <c r="A32">
        <v>5100</v>
      </c>
      <c r="B32" s="32" t="s">
        <v>726</v>
      </c>
      <c r="C32" s="129">
        <f>ROUND('DOE25'!L261+'DOE25'!L342,0)</f>
        <v>115600</v>
      </c>
    </row>
    <row r="34" spans="1:4" x14ac:dyDescent="0.2">
      <c r="A34" s="135" t="s">
        <v>94</v>
      </c>
      <c r="B34" s="136" t="s">
        <v>1794</v>
      </c>
      <c r="C34" s="130" t="s">
        <v>720</v>
      </c>
      <c r="D34" s="130" t="s">
        <v>721</v>
      </c>
    </row>
    <row r="35" spans="1:4" x14ac:dyDescent="0.2">
      <c r="A35">
        <v>1100</v>
      </c>
      <c r="B35" s="71" t="s">
        <v>727</v>
      </c>
      <c r="C35" s="128">
        <f>ROUND('DOE25'!F60+'DOE25'!G60+'DOE25'!H60+'DOE25'!I60+'DOE25'!J60,0)</f>
        <v>5610008</v>
      </c>
      <c r="D35" s="131">
        <f t="shared" ref="D35:D40" si="1">ROUND((C35/$C$41)*100,1)</f>
        <v>59.8</v>
      </c>
    </row>
    <row r="36" spans="1:4" x14ac:dyDescent="0.2">
      <c r="B36" s="71" t="s">
        <v>739</v>
      </c>
      <c r="C36" s="128">
        <f>SUM('DOE25'!F112:J112)-SUM('DOE25'!G97:G110)+('DOE25'!F175+'DOE25'!F176+'DOE25'!I175+'DOE25'!I176)-C35</f>
        <v>55755.229999999516</v>
      </c>
      <c r="D36" s="131">
        <f t="shared" si="1"/>
        <v>0.6</v>
      </c>
    </row>
    <row r="37" spans="1:4" x14ac:dyDescent="0.2">
      <c r="A37" s="132" t="s">
        <v>831</v>
      </c>
      <c r="B37" s="71" t="s">
        <v>728</v>
      </c>
      <c r="C37" s="128">
        <f>ROUND('DOE25'!F117+'DOE25'!F118,0)</f>
        <v>2610675</v>
      </c>
      <c r="D37" s="131">
        <f t="shared" si="1"/>
        <v>27.8</v>
      </c>
    </row>
    <row r="38" spans="1:4" x14ac:dyDescent="0.2">
      <c r="A38" s="132" t="s">
        <v>734</v>
      </c>
      <c r="B38" s="71" t="s">
        <v>729</v>
      </c>
      <c r="C38" s="128">
        <f>ROUND(SUM('DOE25'!F140:J140)-SUM('DOE25'!F117:F119),0)</f>
        <v>73205</v>
      </c>
      <c r="D38" s="131">
        <f t="shared" si="1"/>
        <v>0.8</v>
      </c>
    </row>
    <row r="39" spans="1:4" x14ac:dyDescent="0.2">
      <c r="A39">
        <v>4000</v>
      </c>
      <c r="B39" s="71" t="s">
        <v>730</v>
      </c>
      <c r="C39" s="128">
        <f>ROUND('DOE25'!F170+'DOE25'!G170+'DOE25'!H170+'DOE25'!I170,0)</f>
        <v>1025959</v>
      </c>
      <c r="D39" s="131">
        <f t="shared" si="1"/>
        <v>10.9</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9375602.2300000004</v>
      </c>
      <c r="D41" s="133">
        <f>SUM(D35:D40)</f>
        <v>99.9</v>
      </c>
    </row>
    <row r="42" spans="1:4" x14ac:dyDescent="0.2">
      <c r="A42" s="132" t="s">
        <v>737</v>
      </c>
      <c r="B42" s="71" t="s">
        <v>733</v>
      </c>
      <c r="C42" s="128">
        <f>ROUND('DOE25'!F174+'DOE25'!I174+'DOE25'!F177+'DOE25'!I177,0)</f>
        <v>430000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6" sqref="C6:M6"/>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Lincoln-Woodstock Cooperative</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v>5</v>
      </c>
      <c r="B4" s="149">
        <v>14</v>
      </c>
      <c r="C4" s="332" t="s">
        <v>1841</v>
      </c>
      <c r="D4" s="332"/>
      <c r="E4" s="332"/>
      <c r="F4" s="332"/>
      <c r="G4" s="332"/>
      <c r="H4" s="332"/>
      <c r="I4" s="332"/>
      <c r="J4" s="332"/>
      <c r="K4" s="332"/>
      <c r="L4" s="332"/>
      <c r="M4" s="333"/>
    </row>
    <row r="5" spans="1:13" x14ac:dyDescent="0.2">
      <c r="A5" s="158">
        <v>4</v>
      </c>
      <c r="B5" s="149">
        <v>18</v>
      </c>
      <c r="C5" s="332" t="s">
        <v>1842</v>
      </c>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167</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40</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47</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f>IF('School Level Expenditures'!$B$2='School Tables'!L43,'School Tables'!S43,"")</f>
        <v>40</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f>IF('School Level Expenditures'!$B$2='School Tables'!W50,'School Tables'!AD50,"")</f>
        <v>47</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f>IF('School Level Expenditures'!$B$2=A170,'School Tables'!H170,"")</f>
        <v>167</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2024-09-24T13:49:16Z</cp:lastPrinted>
  <dcterms:created xsi:type="dcterms:W3CDTF">1997-12-04T19:04:30Z</dcterms:created>
  <dcterms:modified xsi:type="dcterms:W3CDTF">2024-12-20T19:02:06Z</dcterms:modified>
</cp:coreProperties>
</file>