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1026F71A-AA68-43F5-A8EB-B79EA2B1323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 l="1"/>
  <c r="H583" i="1" l="1"/>
  <c r="F473" i="1"/>
  <c r="F30" i="1" l="1"/>
  <c r="D39" i="14" l="1"/>
  <c r="K6" i="14"/>
  <c r="E6" i="14"/>
  <c r="E5" i="14"/>
  <c r="J605" i="1"/>
  <c r="I605" i="1"/>
  <c r="H605" i="1"/>
  <c r="H470" i="1"/>
  <c r="H474" i="1"/>
  <c r="H277" i="1"/>
  <c r="H469" i="1" l="1"/>
  <c r="H110" i="1"/>
  <c r="H102" i="1"/>
  <c r="C20" i="12" l="1"/>
  <c r="C19" i="12"/>
  <c r="C10" i="12"/>
  <c r="C11" i="12"/>
  <c r="C38" i="12"/>
  <c r="C39" i="12"/>
  <c r="C37" i="12"/>
  <c r="B10" i="12"/>
  <c r="B12" i="12"/>
  <c r="E22" i="17" l="1"/>
  <c r="E13" i="17"/>
  <c r="E9" i="17"/>
  <c r="J593" i="1"/>
  <c r="I593" i="1"/>
  <c r="H593" i="1"/>
  <c r="I529" i="1"/>
  <c r="H529" i="1"/>
  <c r="F529" i="1"/>
  <c r="J524" i="1"/>
  <c r="I524" i="1"/>
  <c r="H524" i="1"/>
  <c r="G524" i="1"/>
  <c r="F524" i="1"/>
  <c r="I528" i="1"/>
  <c r="H528" i="1"/>
  <c r="F528" i="1"/>
  <c r="J523" i="1"/>
  <c r="I523" i="1"/>
  <c r="H523" i="1"/>
  <c r="G523" i="1"/>
  <c r="F523" i="1"/>
  <c r="I527" i="1"/>
  <c r="H527" i="1"/>
  <c r="G528" i="1"/>
  <c r="G527" i="1"/>
  <c r="F527" i="1"/>
  <c r="J522" i="1"/>
  <c r="I522" i="1"/>
  <c r="H522" i="1"/>
  <c r="G522" i="1"/>
  <c r="F522" i="1"/>
  <c r="G529" i="1"/>
  <c r="K528" i="1"/>
  <c r="K527" i="1"/>
  <c r="H12" i="1"/>
  <c r="H30" i="1"/>
  <c r="H24" i="1"/>
  <c r="H13" i="1"/>
  <c r="H162" i="1"/>
  <c r="K240" i="1"/>
  <c r="H154" i="1"/>
  <c r="H135" i="1"/>
  <c r="H161" i="1"/>
  <c r="H155" i="1"/>
  <c r="H159" i="1"/>
  <c r="F217" i="1"/>
  <c r="F118" i="1" l="1"/>
  <c r="F117" i="1"/>
  <c r="I361" i="1"/>
  <c r="I360" i="1"/>
  <c r="I359" i="1"/>
  <c r="H368" i="1"/>
  <c r="G368" i="1"/>
  <c r="F368" i="1"/>
  <c r="G158" i="1"/>
  <c r="G97" i="1"/>
  <c r="G43" i="1"/>
  <c r="G30" i="1"/>
  <c r="G13" i="1"/>
  <c r="J474" i="1" l="1"/>
  <c r="J469" i="1" l="1"/>
  <c r="J96"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H653" i="1"/>
  <c r="G654" i="1"/>
  <c r="H654" i="1"/>
  <c r="H655" i="1"/>
  <c r="H656" i="1"/>
  <c r="H80" i="2" l="1"/>
  <c r="H96" i="2"/>
  <c r="H26" i="2"/>
  <c r="H35" i="2"/>
  <c r="E111" i="2"/>
  <c r="H93" i="2"/>
  <c r="E125" i="2"/>
  <c r="H477" i="1"/>
  <c r="H625" i="1" s="1"/>
  <c r="J625" i="1" s="1"/>
  <c r="H29" i="2"/>
  <c r="H61" i="2"/>
  <c r="H87" i="2"/>
  <c r="C32" i="10"/>
  <c r="G663" i="1"/>
  <c r="E124" i="2"/>
  <c r="E120" i="2"/>
  <c r="E112" i="2"/>
  <c r="C125" i="2"/>
  <c r="C120" i="2"/>
  <c r="C13" i="10"/>
  <c r="J652" i="1"/>
  <c r="H13" i="2"/>
  <c r="H131" i="2"/>
  <c r="H97" i="2"/>
  <c r="H9" i="2"/>
  <c r="G651" i="1"/>
  <c r="J651" i="1" s="1"/>
  <c r="I409" i="1"/>
  <c r="H89" i="2"/>
  <c r="F85" i="2"/>
  <c r="H72" i="2"/>
  <c r="H30" i="2"/>
  <c r="H28" i="2"/>
  <c r="H27" i="2"/>
  <c r="H25" i="2"/>
  <c r="H24" i="2"/>
  <c r="H17" i="2"/>
  <c r="H11" i="2"/>
  <c r="H8" i="2"/>
  <c r="E13" i="13"/>
  <c r="C13" i="13" s="1"/>
  <c r="K36" i="14"/>
  <c r="K37" i="14" s="1"/>
  <c r="K2" i="14"/>
  <c r="K3" i="14" s="1"/>
  <c r="D15" i="13"/>
  <c r="C15" i="13" s="1"/>
  <c r="C12" i="10"/>
  <c r="G646" i="1"/>
  <c r="G477" i="1"/>
  <c r="B33" i="16" s="1"/>
  <c r="D144" i="2"/>
  <c r="C112" i="2"/>
  <c r="H94" i="2"/>
  <c r="C85" i="2"/>
  <c r="H69" i="2"/>
  <c r="H15" i="2"/>
  <c r="H143" i="2"/>
  <c r="H113" i="2"/>
  <c r="H58" i="2"/>
  <c r="H59" i="2"/>
  <c r="H132" i="2"/>
  <c r="H36" i="2"/>
  <c r="H38" i="2"/>
  <c r="H43" i="2"/>
  <c r="H44" i="2"/>
  <c r="H47" i="2"/>
  <c r="H48" i="2"/>
  <c r="H137" i="2"/>
  <c r="H102" i="2"/>
  <c r="H101" i="2"/>
  <c r="H100" i="2"/>
  <c r="H99" i="2"/>
  <c r="H98" i="2"/>
  <c r="H79" i="2"/>
  <c r="H76" i="2"/>
  <c r="H22" i="2"/>
  <c r="C119" i="2"/>
  <c r="D29" i="13"/>
  <c r="C29" i="13" s="1"/>
  <c r="G662" i="1"/>
  <c r="D78" i="2"/>
  <c r="D81" i="2" s="1"/>
  <c r="H77"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2" i="2" l="1"/>
  <c r="H125" i="2"/>
  <c r="H624" i="1"/>
  <c r="J624" i="1" s="1"/>
  <c r="E51" i="2"/>
  <c r="H120" i="2"/>
  <c r="H112" i="2"/>
  <c r="H119" i="2"/>
  <c r="H57" i="2"/>
  <c r="H114" i="2"/>
  <c r="L572" i="1"/>
  <c r="H16" i="2"/>
  <c r="H85" i="2"/>
  <c r="C91" i="2"/>
  <c r="H91" i="2" s="1"/>
  <c r="H103" i="2"/>
  <c r="H123" i="2"/>
  <c r="I663" i="1"/>
  <c r="H134" i="2"/>
  <c r="H21" i="2"/>
  <c r="H78" i="2"/>
  <c r="F194" i="1"/>
  <c r="H81" i="2"/>
  <c r="D128" i="2"/>
  <c r="D145" i="2" s="1"/>
  <c r="H127" i="2"/>
  <c r="I662" i="1"/>
  <c r="H62" i="2"/>
  <c r="G50" i="2"/>
  <c r="H50" i="2" s="1"/>
  <c r="H42" i="2"/>
  <c r="H18"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63" i="2"/>
  <c r="H104" i="2"/>
  <c r="H51"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<sst xmlns="http://schemas.openxmlformats.org/spreadsheetml/2006/main" count="6670" uniqueCount="1850">
  <si>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</si>
  <si>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</si>
  <si>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</si>
  <si>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</si>
  <si>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</si>
  <si>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</si>
  <si>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</si>
  <si>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</si>
  <si>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</si>
  <si>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</si>
  <si>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</si>
  <si>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</si>
  <si>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</si>
  <si>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</si>
  <si>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</si>
  <si>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</si>
  <si>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</si>
  <si>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</si>
  <si>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</si>
  <si>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</si>
  <si>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</si>
  <si>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</si>
  <si>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</si>
  <si>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</si>
  <si>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</si>
  <si>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</si>
  <si>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</si>
  <si>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</si>
  <si>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</si>
  <si>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</si>
  <si>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</si>
  <si>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</si>
  <si>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</si>
  <si>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</si>
  <si>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</si>
  <si>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</si>
  <si>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</si>
  <si>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</si>
  <si>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</si>
  <si>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</si>
  <si>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</si>
  <si>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</si>
  <si>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</si>
  <si>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</si>
  <si>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</si>
  <si>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</si>
  <si>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</si>
  <si>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</si>
  <si>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</si>
  <si>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</si>
  <si>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</si>
  <si>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</si>
  <si>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</si>
  <si>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</si>
  <si>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</si>
  <si>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</si>
  <si>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</si>
  <si>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</si>
  <si>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</si>
  <si>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</si>
  <si>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</si>
  <si>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</si>
  <si>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</si>
  <si>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</si>
  <si>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</si>
  <si>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</si>
  <si>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</si>
  <si>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</si>
  <si>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</si>
  <si>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</si>
  <si>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</si>
  <si>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</si>
  <si>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</si>
  <si>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</si>
  <si>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</si>
  <si>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</si>
  <si>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</si>
  <si>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</si>
  <si>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</si>
  <si>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</si>
  <si>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</si>
  <si>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</si>
  <si>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</si>
  <si>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</si>
  <si>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</si>
  <si>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</si>
  <si>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</si>
  <si>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</si>
  <si>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</si>
  <si>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</si>
  <si>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</si>
  <si>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</si>
  <si>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</si>
  <si>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</si>
  <si>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</si>
  <si>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</si>
  <si>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</si>
  <si>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</si>
  <si>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</si>
  <si>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</si>
  <si>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</si>
  <si>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</si>
  <si>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</si>
  <si>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</si>
  <si>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</si>
  <si>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</si>
  <si>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</si>
  <si>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</si>
  <si>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</si>
  <si>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</si>
  <si>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</si>
  <si>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</si>
  <si>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</si>
  <si>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</si>
  <si>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</si>
  <si>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</si>
  <si>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</si>
  <si>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</si>
  <si>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</si>
  <si>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</si>
  <si>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</si>
  <si>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</si>
  <si>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</si>
  <si>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</si>
  <si>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</si>
  <si>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</si>
  <si>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</si>
  <si>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</si>
  <si>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</si>
  <si>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</si>
  <si>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</si>
  <si>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</si>
  <si>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</si>
  <si>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</si>
  <si>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</si>
  <si>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</si>
  <si>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</si>
  <si>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</si>
  <si>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</si>
  <si>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</si>
  <si>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</si>
  <si>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</si>
  <si>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</si>
  <si>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</si>
  <si>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</si>
  <si>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</si>
  <si>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</si>
  <si>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</si>
  <si>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</si>
  <si>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</si>
  <si>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</si>
  <si>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</si>
  <si>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</si>
  <si>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</si>
  <si>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</si>
  <si>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</si>
  <si>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</si>
  <si>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</si>
  <si>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</si>
  <si>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</si>
  <si>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</si>
  <si>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</si>
  <si>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</si>
  <si>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</si>
  <si>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</si>
  <si>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</si>
  <si>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</si>
  <si>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</si>
  <si>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</si>
  <si>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</si>
  <si>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</si>
  <si>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</si>
  <si>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</si>
  <si>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</si>
  <si>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</si>
  <si>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</si>
  <si>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</si>
  <si>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</si>
  <si>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</si>
  <si>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</si>
  <si>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</si>
  <si>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</si>
  <si>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</si>
  <si>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</si>
  <si>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</si>
  <si>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</si>
  <si>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</si>
  <si>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</si>
  <si>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</si>
  <si>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</si>
  <si>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</si>
  <si>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</si>
  <si>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</si>
  <si>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</si>
  <si>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</si>
  <si>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</si>
  <si>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</si>
  <si>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</si>
  <si>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</si>
  <si>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</si>
  <si>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</si>
  <si>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</si>
  <si>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</si>
  <si>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</si>
  <si>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</si>
  <si>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</si>
  <si>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</si>
  <si>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</si>
  <si>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</si>
  <si>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</si>
  <si>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</si>
  <si>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</si>
  <si>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</si>
  <si>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</si>
  <si>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</si>
  <si>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</si>
  <si>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</si>
  <si>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</si>
  <si>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</si>
  <si>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</si>
  <si>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</si>
  <si>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</si>
  <si>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</si>
  <si>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</si>
  <si>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</si>
  <si>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</si>
  <si>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</si>
  <si>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</si>
  <si>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</si>
  <si>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</si>
  <si>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</si>
  <si>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</si>
  <si>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</si>
  <si>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</si>
  <si>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</si>
  <si>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</si>
  <si>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</si>
  <si>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</si>
  <si>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</si>
  <si>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</si>
  <si>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</si>
  <si>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</si>
  <si>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</si>
  <si>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</si>
  <si>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</si>
  <si>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</si>
  <si>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</si>
  <si>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</si>
  <si>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</si>
  <si>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</si>
  <si>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</si>
  <si>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</si>
  <si>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</si>
  <si>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</si>
  <si>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</si>
  <si>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</si>
  <si>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</si>
  <si>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</si>
  <si>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</si>
  <si>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</si>
  <si>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</si>
  <si>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</si>
  <si>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</si>
  <si>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</si>
  <si>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</si>
  <si>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</si>
  <si>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</si>
  <si>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</si>
  <si>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</si>
  <si>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</si>
  <si>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</si>
  <si>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</si>
  <si>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</si>
  <si>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</si>
  <si>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</si>
  <si>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</si>
  <si>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</si>
  <si>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</si>
  <si>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</si>
  <si>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</si>
  <si>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</si>
  <si>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</si>
  <si>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</si>
  <si>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</si>
  <si>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</si>
  <si>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</si>
  <si>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</si>
  <si>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</si>
  <si>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</si>
  <si>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</si>
  <si>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</si>
  <si>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</si>
  <si>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</si>
  <si>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</si>
  <si>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</si>
  <si>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</si>
  <si>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</si>
  <si>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</si>
  <si>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</si>
  <si>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</si>
  <si>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</si>
  <si>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</si>
  <si>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</si>
  <si>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</si>
  <si>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</si>
  <si>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</si>
  <si>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</si>
  <si>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</si>
  <si>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</si>
  <si>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</si>
  <si>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</si>
  <si>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</si>
  <si>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</si>
  <si>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</si>
  <si>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</si>
  <si>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</si>
  <si>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</si>
  <si>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</si>
  <si>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</si>
  <si>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</si>
  <si>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</si>
  <si>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</si>
  <si>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</si>
  <si>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</si>
  <si>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</si>
  <si>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</si>
  <si>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</si>
  <si>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</si>
  <si>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</si>
  <si>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</si>
  <si>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</si>
  <si>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</si>
  <si>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</si>
  <si>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</si>
  <si>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</si>
  <si>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</si>
  <si>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</si>
  <si>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</si>
  <si>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</si>
  <si>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</si>
  <si>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</si>
  <si>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</si>
  <si>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</si>
  <si>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</si>
  <si>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</si>
  <si>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</si>
  <si>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</si>
  <si>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</si>
  <si>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</si>
  <si>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</si>
  <si>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</si>
  <si>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</si>
  <si>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</si>
  <si>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</si>
  <si>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</si>
  <si>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</si>
  <si>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</si>
  <si>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</si>
  <si>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</si>
  <si>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</si>
  <si>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</si>
  <si>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</si>
  <si>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</si>
  <si>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</si>
  <si>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</si>
  <si>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</si>
  <si>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</si>
  <si>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</si>
  <si>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</si>
  <si>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</si>
  <si>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</si>
  <si>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</si>
  <si>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</si>
  <si>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</si>
  <si>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</si>
  <si>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</si>
  <si>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</si>
  <si>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</si>
  <si>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</si>
  <si>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</si>
  <si>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</si>
  <si>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</si>
  <si>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</si>
  <si>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</si>
  <si>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</si>
  <si>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</si>
  <si>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</si>
  <si>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</si>
  <si>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</si>
  <si>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</si>
  <si>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</si>
  <si>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</si>
  <si>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</si>
  <si>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</si>
  <si>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</si>
  <si>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</si>
  <si>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</si>
  <si>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</si>
  <si>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</si>
  <si>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</si>
  <si>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</si>
  <si>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</si>
  <si>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</si>
  <si>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</si>
  <si>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</si>
  <si>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</si>
  <si>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</si>
  <si>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</si>
  <si>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</si>
  <si>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</si>
  <si>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</si>
  <si>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</si>
  <si>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</si>
  <si>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</si>
  <si>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</si>
  <si>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</si>
  <si>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</si>
  <si>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</si>
  <si>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</si>
  <si>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</si>
  <si>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</si>
  <si>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</si>
  <si>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</si>
  <si>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</si>
  <si>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</si>
  <si>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</si>
  <si>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</si>
  <si>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</si>
  <si>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</si>
  <si>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</si>
  <si>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</si>
  <si>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</si>
  <si>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</si>
  <si>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</si>
  <si>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</si>
  <si>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</si>
  <si>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</si>
  <si>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</si>
  <si>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</si>
  <si>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</si>
  <si>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</si>
  <si>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</si>
  <si>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</si>
  <si>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</si>
  <si>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</si>
  <si>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</si>
  <si>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</si>
  <si>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</si>
  <si>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</si>
  <si>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</si>
  <si>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</si>
  <si>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</si>
  <si>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</si>
  <si>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</si>
  <si>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</si>
  <si>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</si>
  <si>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</si>
  <si>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</si>
  <si>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</si>
  <si>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</si>
  <si>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</si>
  <si>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</si>
  <si>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</si>
  <si>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</si>
  <si>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</si>
  <si>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</si>
  <si>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</si>
  <si>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</si>
  <si>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</si>
  <si>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</si>
  <si>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</si>
  <si>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</si>
  <si>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</si>
  <si>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</si>
  <si>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</si>
  <si>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</si>
  <si>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</si>
  <si>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</si>
  <si>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</si>
  <si>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</si>
  <si>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</si>
  <si>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</si>
  <si>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</si>
  <si>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</si>
  <si>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</si>
  <si>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</si>
  <si>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</si>
  <si>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</si>
  <si>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</si>
  <si>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</si>
  <si>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</si>
  <si>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</si>
  <si>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</si>
  <si>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</si>
  <si>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</si>
  <si>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</si>
  <si>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</si>
  <si>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</si>
  <si>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</si>
  <si>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</si>
  <si>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</si>
  <si>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</si>
  <si>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</si>
  <si>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</si>
  <si>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</si>
  <si>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</si>
  <si>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</si>
  <si>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</si>
  <si>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</si>
  <si>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</si>
  <si>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</si>
  <si>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</si>
  <si>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</si>
  <si>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</si>
  <si>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</si>
  <si>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</si>
  <si>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</si>
  <si>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</si>
  <si>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</si>
  <si>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</si>
  <si>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</si>
  <si>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</si>
  <si>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</si>
  <si>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</si>
  <si>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</si>
  <si>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</si>
  <si>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</si>
  <si>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</si>
  <si>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</si>
  <si>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</si>
  <si>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</si>
  <si>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</si>
  <si>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</si>
  <si>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</si>
  <si>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</si>
  <si>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</si>
  <si>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</si>
  <si>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</si>
  <si>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</si>
  <si>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</si>
  <si>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</si>
  <si>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</si>
  <si>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</si>
  <si>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</si>
  <si>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</si>
  <si>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</si>
  <si>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</si>
  <si>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</si>
  <si>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</si>
  <si>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</si>
  <si>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</si>
  <si>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</si>
  <si>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</si>
  <si>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</si>
  <si>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</si>
  <si>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</si>
  <si>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</si>
  <si>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</si>
  <si>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</si>
  <si>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</si>
  <si>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</si>
  <si>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</si>
  <si>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</si>
  <si>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</si>
  <si>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</si>
  <si>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</si>
  <si>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</si>
  <si>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</si>
  <si>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</si>
  <si>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</si>
  <si>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</si>
  <si>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</si>
  <si>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</si>
  <si>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</si>
  <si>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</si>
  <si>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</si>
  <si>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</si>
  <si>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</si>
  <si>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</si>
  <si>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</si>
  <si>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</si>
  <si>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</si>
  <si>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</si>
  <si>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</si>
  <si>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</si>
  <si>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</si>
  <si>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</si>
  <si>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</si>
  <si>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</si>
  <si>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</si>
  <si>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</si>
  <si>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</si>
  <si>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</si>
  <si>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</si>
  <si>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</si>
  <si>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</si>
  <si>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</si>
  <si>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</si>
  <si>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</si>
  <si>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</si>
  <si>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</si>
  <si>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</si>
  <si>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</si>
  <si>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</si>
  <si>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</si>
  <si>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</si>
  <si>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</si>
  <si>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</si>
  <si>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</si>
  <si>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</si>
  <si>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</si>
  <si>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</si>
  <si>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</si>
  <si>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</si>
  <si>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</si>
  <si>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</si>
  <si>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</si>
  <si>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</si>
  <si>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</si>
  <si>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</si>
  <si>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</si>
  <si>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</si>
  <si>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</si>
  <si>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</si>
  <si>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</si>
  <si>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</si>
  <si>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</si>
  <si>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</si>
  <si>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</si>
  <si>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</si>
  <si>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</si>
  <si>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</si>
  <si>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</si>
  <si>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</si>
  <si>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</si>
  <si>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</si>
  <si>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</si>
  <si>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</si>
  <si>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</si>
  <si>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</si>
  <si>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</si>
  <si>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</si>
  <si>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</si>
  <si>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</si>
  <si>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</si>
  <si>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</si>
  <si>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</si>
  <si>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</si>
  <si>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</si>
  <si>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</si>
  <si>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</si>
  <si>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</si>
  <si>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</si>
  <si>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</si>
  <si>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</si>
  <si>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</si>
  <si>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</si>
  <si>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</si>
  <si>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</si>
  <si>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</si>
  <si>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</si>
  <si>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</si>
  <si>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</si>
  <si>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</si>
  <si>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</si>
  <si>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</si>
  <si>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</si>
  <si>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</si>
  <si>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</si>
  <si>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</si>
  <si>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</si>
  <si>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</si>
  <si>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</si>
  <si>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</si>
  <si>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</si>
  <si>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</si>
  <si>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</si>
  <si>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</si>
  <si>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</si>
  <si>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</si>
  <si>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</si>
  <si>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</si>
  <si>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</si>
  <si>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</si>
  <si>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</si>
  <si>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</si>
  <si>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</si>
  <si>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</si>
  <si>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</si>
  <si>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</si>
  <si>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</si>
  <si>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</si>
  <si>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</si>
  <si>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</si>
  <si>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</si>
  <si>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</si>
  <si>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</si>
  <si>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</si>
  <si>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</si>
  <si>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</si>
  <si>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</si>
  <si>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</si>
  <si>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</si>
  <si>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</si>
  <si>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</si>
  <si>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</si>
  <si>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</si>
  <si>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</si>
  <si>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</si>
  <si>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</si>
  <si>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</si>
  <si>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</si>
  <si>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</si>
  <si>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</si>
  <si>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</si>
  <si>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</si>
  <si>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</si>
  <si>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</si>
  <si>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</si>
  <si>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</si>
  <si>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</si>
  <si>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</si>
  <si>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</si>
  <si>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</si>
  <si>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</si>
  <si>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</si>
  <si>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</si>
  <si>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</si>
  <si>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</si>
  <si>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</si>
  <si>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</si>
  <si>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</si>
  <si>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</si>
  <si>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</si>
  <si>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</si>
  <si>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</si>
  <si>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</si>
  <si>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</si>
  <si>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</si>
  <si>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</si>
  <si>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</si>
  <si>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</si>
  <si>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</si>
  <si>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</si>
  <si>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</si>
  <si>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</si>
  <si>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</si>
  <si>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</si>
  <si>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</si>
  <si>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</si>
  <si>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</si>
  <si>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</si>
  <si>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</si>
  <si>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</si>
  <si>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</si>
  <si>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</si>
  <si>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</si>
  <si>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</si>
  <si>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</si>
  <si>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</si>
  <si>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</si>
  <si>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</si>
  <si>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</si>
  <si>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</si>
  <si>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</si>
  <si>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</si>
  <si>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</si>
  <si>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</si>
  <si>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</si>
  <si>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</si>
  <si>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</si>
  <si>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</si>
  <si>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</si>
  <si>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</si>
  <si>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</si>
  <si>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</si>
  <si>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</si>
  <si>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</si>
  <si>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</si>
  <si>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</si>
  <si>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</si>
  <si>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</si>
  <si>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</si>
  <si>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</si>
  <si>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</si>
  <si>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</si>
  <si>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</si>
  <si>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</si>
  <si>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</si>
  <si>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</si>
  <si>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</si>
  <si>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</si>
  <si>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</si>
  <si>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</si>
  <si>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</si>
  <si>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</si>
  <si>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</si>
  <si>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</si>
  <si>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</si>
  <si>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</si>
  <si>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</si>
  <si>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</si>
  <si>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</si>
  <si>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</si>
  <si>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</si>
  <si>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</si>
  <si>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</si>
  <si>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</si>
  <si>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</si>
  <si>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</si>
  <si>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</si>
  <si>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</si>
  <si>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</si>
  <si>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</si>
  <si>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</si>
  <si>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</si>
  <si>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</si>
  <si>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</si>
  <si>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</si>
  <si>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</si>
  <si>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</si>
  <si>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</si>
  <si>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</si>
  <si>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</si>
  <si>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</si>
  <si>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</si>
  <si>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</si>
  <si>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</si>
  <si>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</si>
  <si>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</si>
  <si>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</si>
  <si>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</si>
  <si>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</si>
  <si>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</si>
  <si>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</si>
  <si>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</si>
  <si>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</si>
  <si>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</si>
  <si>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</si>
  <si>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</si>
  <si>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</si>
  <si>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</si>
  <si>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</si>
  <si>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</si>
  <si>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</si>
  <si>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</si>
  <si>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</si>
  <si>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</si>
  <si>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</si>
  <si>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</si>
  <si>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</si>
  <si>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</si>
  <si>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</si>
  <si>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</si>
  <si>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</si>
  <si>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</si>
  <si>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</si>
  <si>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</si>
  <si>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</si>
  <si>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</si>
  <si>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</si>
  <si>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</si>
  <si>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</si>
  <si>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</si>
  <si>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</si>
  <si>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</si>
  <si>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</si>
  <si>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</si>
  <si>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</si>
  <si>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</si>
  <si>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</si>
  <si>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</si>
  <si>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</si>
  <si>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</si>
  <si>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</si>
  <si>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</si>
  <si>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</si>
  <si>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</si>
  <si>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</si>
  <si>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</si>
  <si>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</si>
  <si>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</si>
  <si>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</si>
  <si>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</si>
  <si>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</si>
  <si>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</si>
  <si>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</si>
  <si>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</si>
  <si>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</si>
  <si>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</si>
  <si>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</si>
  <si>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</si>
  <si>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</si>
  <si>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</si>
  <si>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</si>
  <si>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</si>
  <si>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</si>
  <si>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</si>
  <si>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</si>
  <si>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</si>
  <si>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</si>
  <si>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</si>
  <si>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</si>
  <si>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</si>
  <si>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</si>
  <si>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</si>
  <si>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</si>
  <si>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</si>
  <si>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</si>
  <si>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</si>
  <si>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</si>
  <si>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</si>
  <si>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</si>
  <si>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</si>
  <si>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</si>
  <si>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</si>
  <si>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</si>
  <si>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</si>
  <si>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</si>
  <si>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</si>
  <si>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</si>
  <si>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</si>
  <si>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</si>
  <si>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</si>
  <si>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</si>
  <si>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</si>
  <si>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</si>
  <si>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</si>
  <si>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</si>
  <si>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</si>
  <si>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</si>
  <si>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</si>
  <si>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</si>
  <si>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</si>
  <si>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</si>
  <si>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</si>
  <si>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</si>
  <si>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</si>
  <si>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</si>
  <si>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</si>
  <si>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</si>
  <si>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</si>
  <si>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</si>
  <si>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</si>
  <si>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</si>
  <si>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</si>
  <si>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</si>
  <si>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</si>
  <si>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</si>
  <si>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</si>
  <si>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</si>
  <si>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</si>
  <si>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</si>
  <si>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</si>
  <si>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</si>
  <si>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</si>
  <si>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</si>
  <si>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</si>
  <si>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</si>
  <si>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</si>
  <si>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</si>
  <si>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</si>
  <si>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</si>
  <si>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</si>
  <si>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</si>
  <si>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</si>
  <si>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</si>
  <si>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</si>
  <si>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</si>
  <si>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</si>
  <si>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</si>
  <si>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</si>
  <si>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</si>
  <si>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</si>
  <si>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</si>
  <si>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</si>
  <si>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</si>
  <si>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</si>
  <si>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</si>
  <si>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</si>
  <si>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</si>
  <si>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</si>
  <si>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</si>
  <si>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</si>
  <si>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</si>
  <si>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</si>
  <si>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</si>
  <si>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</si>
  <si>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</si>
  <si>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</si>
  <si>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</si>
  <si>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</si>
  <si>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</si>
  <si>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</si>
  <si>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</si>
  <si>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</si>
  <si>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</si>
  <si>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</si>
  <si>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</si>
  <si>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</si>
  <si>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</si>
  <si>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</si>
  <si>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</si>
  <si>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</si>
  <si>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</si>
  <si>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</si>
  <si>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</si>
  <si>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</si>
  <si>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</si>
  <si>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</si>
  <si>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</si>
  <si>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</si>
  <si>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</si>
  <si>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</si>
  <si>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</si>
  <si>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</si>
  <si>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</si>
  <si>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</si>
  <si>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</si>
  <si>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</si>
  <si>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</si>
  <si>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</si>
  <si>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</si>
  <si>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</si>
  <si>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</si>
  <si>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</si>
  <si>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</si>
  <si>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</si>
  <si>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</si>
  <si>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</si>
  <si>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</si>
  <si>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</si>
  <si>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</si>
  <si>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</si>
  <si>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</si>
  <si>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</si>
  <si>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</si>
  <si>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</si>
  <si>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</si>
  <si>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</si>
  <si>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</si>
  <si>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</si>
  <si>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</si>
  <si>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</si>
  <si>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</si>
  <si>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</si>
  <si>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</si>
  <si>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</si>
  <si>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</si>
  <si>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</si>
  <si>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</si>
  <si>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</si>
  <si>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</si>
  <si>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</si>
  <si>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</si>
  <si>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</si>
  <si>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</si>
  <si>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</si>
  <si>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</si>
  <si>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</si>
  <si>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</si>
  <si>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</si>
  <si>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</si>
  <si>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</si>
  <si>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</si>
  <si>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</si>
  <si>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</si>
  <si>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</si>
  <si>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</si>
  <si>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</si>
  <si>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</si>
  <si>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</si>
  <si>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</si>
  <si>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</si>
  <si>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</si>
  <si>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</si>
  <si>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</si>
  <si>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</si>
  <si>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</si>
  <si>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</si>
  <si>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</si>
  <si>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</si>
  <si>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</si>
  <si>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</si>
  <si>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</si>
  <si>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</si>
  <si>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</si>
  <si>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</si>
  <si>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</si>
  <si>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</si>
  <si>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</si>
  <si>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</si>
  <si>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</si>
  <si>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</si>
  <si>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</si>
  <si>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</si>
  <si>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</si>
  <si>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</si>
  <si>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</si>
  <si>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</si>
  <si>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</si>
  <si>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</si>
  <si>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</si>
  <si>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</si>
  <si>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</si>
  <si>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</si>
  <si>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</si>
  <si>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</si>
  <si>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</si>
  <si>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</si>
  <si>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</si>
  <si>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</si>
  <si>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</si>
  <si>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</si>
  <si>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</si>
  <si>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</si>
  <si>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</si>
  <si>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</si>
  <si>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</si>
  <si>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</si>
  <si>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</si>
  <si>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</si>
  <si>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</si>
  <si>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</si>
  <si>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</si>
  <si>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</si>
  <si>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</si>
  <si>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</si>
  <si>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</si>
  <si>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</si>
  <si>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</si>
  <si>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</si>
  <si>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</si>
  <si>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</si>
  <si>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</si>
  <si>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</si>
  <si>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</si>
  <si>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</si>
  <si>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</si>
  <si>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</si>
  <si>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</si>
  <si>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</si>
  <si>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</si>
  <si>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</si>
  <si>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</si>
  <si>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</si>
  <si>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</si>
  <si>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</si>
  <si>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</si>
  <si>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</si>
  <si>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</si>
  <si>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</si>
  <si>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</si>
  <si>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</si>
  <si>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</si>
  <si>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</si>
  <si>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</si>
  <si>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</si>
  <si>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</si>
  <si>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</si>
  <si>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</si>
  <si>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</si>
  <si>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</si>
  <si>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</si>
  <si>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</si>
  <si>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</si>
  <si>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</si>
  <si>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</si>
  <si>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</si>
  <si>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</si>
  <si>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</si>
  <si>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</si>
  <si>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</si>
  <si>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</si>
  <si>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</si>
  <si>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</si>
  <si>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</si>
  <si>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</si>
  <si>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</si>
  <si>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</si>
  <si>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</si>
  <si>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</si>
  <si>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</si>
  <si>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</si>
  <si>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</si>
  <si>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</si>
  <si>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</si>
  <si>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</si>
  <si>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</si>
  <si>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</si>
  <si>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</si>
  <si>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</si>
  <si>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</si>
  <si>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</si>
  <si>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</si>
  <si>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</si>
  <si>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</si>
  <si>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</si>
  <si>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</si>
  <si>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</si>
  <si>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</si>
  <si>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</si>
  <si>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</si>
  <si>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</si>
  <si>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</si>
  <si>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</si>
  <si>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</si>
  <si>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</si>
  <si>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</si>
  <si>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</si>
  <si>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</si>
  <si>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</si>
  <si>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</si>
  <si>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</si>
  <si>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</si>
  <si>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</si>
  <si>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</si>
  <si>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</si>
  <si>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</si>
  <si>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</si>
  <si>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</si>
  <si>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</si>
  <si>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</si>
  <si>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</si>
  <si>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</si>
  <si>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</si>
  <si>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</si>
  <si>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</si>
  <si>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</si>
  <si>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</si>
  <si>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</si>
  <si>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</si>
  <si>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</si>
  <si>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</si>
  <si>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</si>
  <si>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</si>
  <si>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</si>
  <si>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</si>
  <si>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</si>
  <si>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</si>
  <si>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</si>
  <si>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</si>
  <si>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</si>
  <si>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</si>
  <si>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</si>
  <si>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</si>
  <si>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</si>
  <si>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</si>
  <si>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</si>
  <si>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</si>
  <si>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</si>
  <si>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</si>
  <si>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</si>
  <si>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</si>
  <si>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</si>
  <si>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</si>
  <si>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</si>
  <si>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</si>
  <si>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</si>
  <si>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</si>
  <si>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</si>
  <si>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</si>
  <si>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</si>
  <si>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</si>
  <si>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</si>
  <si>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</si>
  <si>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</si>
  <si>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</si>
  <si>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</si>
  <si>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</si>
  <si>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</si>
  <si>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</si>
  <si>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</si>
  <si>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</si>
  <si>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</si>
  <si>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</si>
  <si>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</si>
  <si>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</si>
  <si>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</si>
  <si>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</si>
  <si>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</si>
  <si>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</si>
  <si>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</si>
  <si>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</si>
  <si>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</si>
  <si>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</si>
  <si>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</si>
  <si>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</si>
  <si>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</si>
  <si>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</si>
  <si>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</si>
  <si>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</si>
  <si>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</si>
  <si>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</si>
  <si>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</si>
  <si>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</si>
  <si>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</si>
  <si>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</si>
  <si>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</si>
  <si>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</si>
  <si>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</si>
  <si>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</si>
  <si>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</si>
  <si>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</si>
  <si>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</si>
  <si>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</si>
  <si>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</si>
  <si>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</si>
  <si>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</si>
  <si>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</si>
  <si>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</si>
  <si>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</si>
  <si>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</si>
  <si>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</si>
  <si>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</si>
  <si>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</si>
  <si>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</si>
  <si>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</si>
  <si>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</si>
  <si>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</si>
  <si>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</si>
  <si>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</si>
  <si>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</si>
  <si>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</si>
  <si>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</si>
  <si>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</si>
  <si>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</si>
  <si>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</si>
  <si>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</si>
  <si>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</si>
  <si>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</si>
  <si>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</si>
  <si>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</si>
  <si>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</si>
  <si>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</si>
  <si>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</si>
  <si>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</si>
  <si>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</si>
  <si>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</si>
  <si>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</si>
  <si>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</si>
  <si>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</si>
  <si>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</si>
  <si>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</si>
  <si>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</si>
  <si>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</si>
  <si>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</si>
  <si>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</si>
  <si>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</si>
  <si>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</si>
  <si>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</si>
  <si>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</si>
  <si>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</si>
  <si>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</si>
  <si>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</si>
  <si>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</si>
  <si>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</si>
  <si>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</si>
  <si>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</si>
  <si>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</si>
  <si>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</si>
  <si>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</si>
  <si>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</si>
  <si>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</si>
  <si>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</si>
  <si>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</si>
  <si>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</si>
  <si>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</si>
  <si>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</si>
  <si>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</si>
  <si>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</si>
  <si>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</si>
  <si>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</si>
  <si>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</si>
  <si>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</si>
  <si>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</si>
  <si>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</si>
  <si>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</si>
  <si>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</si>
  <si>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</si>
  <si>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</si>
  <si>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</si>
  <si>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</si>
  <si>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</si>
  <si>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</si>
  <si>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</si>
  <si>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</si>
  <si>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</si>
  <si>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</si>
  <si>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</si>
  <si>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</si>
  <si>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</si>
  <si>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</si>
  <si>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</si>
  <si>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</si>
  <si>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</si>
  <si>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</si>
  <si>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</si>
  <si>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</si>
  <si>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</si>
  <si>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</si>
  <si>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</si>
  <si>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</si>
  <si>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</si>
  <si>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</si>
  <si>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</si>
  <si>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</si>
  <si>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</si>
  <si>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</si>
  <si>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</si>
  <si>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</si>
  <si>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</si>
  <si>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</si>
  <si>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</si>
  <si>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</si>
  <si>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</si>
  <si>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</si>
  <si>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</si>
  <si>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</si>
  <si>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</si>
  <si>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</si>
  <si>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</si>
  <si>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</si>
  <si>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</si>
  <si>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</si>
  <si>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</si>
  <si>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</si>
  <si>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</si>
  <si>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</si>
  <si>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</si>
  <si>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</si>
  <si>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</si>
  <si>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</si>
  <si>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</si>
  <si>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</si>
  <si>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</si>
  <si>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</si>
  <si>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</si>
  <si>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</si>
  <si>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</si>
  <si>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</si>
  <si>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</si>
  <si>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</si>
  <si>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</si>
  <si>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</si>
  <si>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</si>
  <si>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</si>
  <si>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</si>
  <si>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</si>
  <si>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</si>
  <si>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</si>
  <si>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</si>
  <si>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</si>
  <si>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</si>
  <si>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</si>
  <si>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</si>
  <si>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</si>
  <si>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</si>
  <si>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</si>
  <si>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</si>
  <si>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</si>
  <si>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</si>
  <si>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</si>
  <si>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</si>
  <si>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</si>
  <si>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</si>
  <si>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</si>
  <si>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</si>
  <si>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</si>
  <si>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</si>
  <si>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</si>
  <si>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</si>
  <si>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</si>
  <si>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</si>
  <si>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</si>
  <si>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</si>
  <si>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</si>
  <si>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</si>
  <si>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</si>
  <si>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</si>
  <si>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</si>
  <si>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</si>
  <si>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</si>
  <si>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</si>
  <si>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</si>
  <si>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</si>
  <si>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</si>
  <si>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</si>
  <si>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</si>
  <si>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</si>
  <si>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</si>
  <si>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</si>
  <si>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</si>
  <si>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</si>
  <si>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</si>
  <si>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</si>
  <si>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</si>
  <si>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</si>
  <si>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</si>
  <si>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</si>
  <si>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</si>
  <si>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</si>
  <si>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</si>
  <si>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</si>
  <si>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</si>
  <si>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</si>
  <si>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</si>
  <si>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</si>
  <si>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</si>
  <si>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</si>
  <si>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</si>
  <si>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</si>
  <si>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</si>
  <si>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</si>
  <si>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</si>
  <si>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</si>
  <si>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</si>
  <si>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</si>
  <si>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</si>
  <si>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</si>
  <si>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</si>
  <si>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</si>
  <si>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</si>
  <si>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</si>
  <si>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</si>
  <si>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</si>
  <si>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</si>
  <si>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</si>
  <si>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</si>
  <si>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</si>
  <si>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</si>
  <si>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</si>
  <si>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</si>
  <si>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</si>
  <si>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</si>
  <si>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</si>
  <si>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</si>
  <si>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</si>
  <si>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</si>
  <si>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</si>
  <si>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</si>
  <si>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</si>
  <si>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</si>
  <si>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</si>
  <si>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</si>
  <si>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</si>
  <si>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</si>
  <si>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</si>
  <si>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</si>
  <si>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</si>
  <si>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</si>
  <si>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</si>
  <si>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</si>
  <si>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</si>
  <si>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</si>
  <si>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</si>
  <si>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</si>
  <si>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</si>
  <si>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</si>
  <si>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</si>
  <si>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</si>
  <si>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</si>
  <si>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</si>
  <si>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</si>
  <si>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</si>
  <si>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</si>
  <si>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</si>
  <si>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</si>
  <si>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</si>
  <si>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</si>
  <si>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</si>
  <si>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</si>
  <si>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</si>
  <si>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</si>
  <si>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</si>
  <si>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</si>
  <si>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</si>
  <si>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</si>
  <si>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</si>
  <si>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</si>
  <si>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</si>
  <si>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</si>
  <si>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</si>
  <si>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</si>
  <si>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</si>
  <si>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</si>
  <si>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</si>
  <si>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</si>
  <si>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</si>
  <si>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</si>
  <si>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</si>
  <si>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</si>
  <si>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</si>
  <si>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</si>
  <si>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</si>
  <si>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</si>
  <si>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</si>
  <si>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</si>
  <si>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</si>
  <si>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</si>
  <si>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</si>
  <si>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</si>
  <si>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</si>
  <si>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</si>
  <si>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</si>
  <si>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</si>
  <si>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</si>
  <si>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</si>
  <si>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</si>
  <si>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</si>
  <si>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</si>
  <si>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</si>
  <si>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</si>
  <si>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</si>
  <si>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</si>
  <si>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</si>
  <si>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</si>
  <si>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</si>
  <si>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</si>
  <si>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</si>
  <si>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</si>
  <si>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</si>
  <si>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</si>
  <si>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</si>
  <si>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</si>
  <si>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</si>
  <si>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</si>
  <si>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</si>
  <si>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</si>
  <si>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</si>
  <si>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</si>
  <si>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</si>
  <si>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</si>
  <si>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</si>
  <si>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</si>
  <si>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</si>
  <si>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</si>
  <si>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</si>
  <si>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</si>
  <si>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</si>
  <si>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</si>
  <si>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</si>
  <si>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</si>
  <si>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</si>
  <si>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</si>
  <si>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</si>
  <si>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</si>
  <si>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</si>
  <si>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</si>
  <si>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</si>
  <si>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</si>
  <si>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</si>
  <si>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</si>
  <si>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</si>
  <si>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</si>
  <si>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</si>
  <si>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</si>
  <si>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</si>
  <si>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</si>
  <si>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</si>
  <si>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</si>
  <si>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</si>
  <si>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</si>
  <si>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</si>
  <si>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</si>
  <si>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</si>
  <si>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</si>
  <si>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</si>
  <si>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</si>
  <si>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</si>
  <si>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</si>
  <si>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</si>
  <si>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</si>
  <si>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</si>
  <si>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</si>
  <si>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</si>
  <si>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</si>
  <si>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</si>
  <si>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</si>
  <si>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</si>
  <si>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</si>
  <si>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</si>
  <si>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</si>
  <si>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</si>
  <si>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</si>
  <si>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</si>
  <si>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</si>
  <si>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</si>
  <si>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</si>
  <si>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</si>
  <si>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</si>
  <si>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</si>
  <si>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</si>
  <si>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</si>
  <si>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</si>
  <si>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</si>
  <si>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</si>
  <si>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</si>
  <si>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</si>
  <si>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</si>
  <si>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</si>
  <si>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</si>
  <si>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</si>
  <si>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</si>
  <si>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</si>
  <si>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</si>
  <si>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</si>
  <si>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</si>
  <si>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</si>
  <si>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</si>
  <si>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</si>
  <si>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</si>
  <si>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</si>
  <si>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</si>
  <si>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</si>
  <si>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</si>
  <si>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</si>
  <si>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</si>
  <si>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</si>
  <si>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</si>
  <si>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</si>
  <si>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</si>
  <si>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</si>
  <si>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</si>
  <si>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</si>
  <si>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</si>
  <si>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</si>
  <si>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</si>
  <si>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</si>
  <si>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</si>
  <si>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</si>
  <si>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</si>
  <si>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</si>
  <si>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</si>
  <si>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</si>
  <si>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</si>
  <si>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</si>
  <si>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</si>
  <si>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</si>
  <si>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</si>
  <si>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</si>
  <si>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</si>
  <si>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</si>
  <si>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</si>
  <si>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</si>
  <si>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</si>
  <si>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</si>
  <si>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</si>
  <si>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</si>
  <si>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</si>
  <si>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</si>
  <si>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</si>
  <si>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</si>
  <si>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</si>
  <si>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</si>
  <si>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</si>
  <si>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</si>
  <si>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</si>
  <si>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</si>
  <si>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</si>
  <si>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</si>
  <si>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</si>
  <si>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</si>
  <si>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</si>
  <si>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</si>
  <si>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</si>
  <si>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</si>
  <si>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</si>
  <si>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</si>
  <si>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</si>
  <si>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</si>
  <si>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</si>
  <si>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</si>
  <si>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</si>
  <si>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</si>
  <si>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</si>
  <si>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</si>
  <si>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</si>
  <si>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</si>
  <si>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</si>
  <si>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</si>
  <si>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</si>
  <si>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</si>
  <si>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</si>
  <si>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</si>
  <si>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</si>
  <si>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</si>
  <si>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</si>
  <si>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</si>
  <si>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</si>
  <si>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</si>
  <si>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</si>
  <si>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</si>
  <si>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</si>
  <si>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</si>
  <si>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</si>
  <si>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</si>
  <si>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</si>
  <si>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</si>
  <si>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</si>
  <si>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</si>
  <si>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</si>
  <si>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</si>
  <si>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</si>
  <si>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</si>
  <si>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</si>
  <si>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</si>
  <si>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</si>
  <si>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</si>
  <si>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</si>
  <si>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</si>
  <si>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</si>
  <si>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</si>
  <si>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</si>
  <si>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</si>
  <si>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</si>
  <si>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</si>
  <si>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</si>
  <si>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</si>
  <si>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</si>
  <si>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</si>
  <si>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</si>
  <si>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</si>
  <si>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</si>
  <si>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</si>
  <si>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</si>
  <si>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</si>
  <si>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</si>
  <si>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</si>
  <si>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</si>
  <si>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</si>
  <si>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</si>
  <si>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</si>
  <si>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</si>
  <si>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</si>
  <si>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</si>
  <si>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</si>
  <si>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</si>
  <si>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</si>
  <si>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</si>
  <si>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</si>
  <si>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t>
  </si>
  <si>
    <t>"}}}}</t>
  </si>
  <si>
    <t xml:space="preserve">To match the auditors ending balance for 22-23; we had not received the 20-21 or 21-22 audits </t>
  </si>
  <si>
    <t>before the 2023 DOE-25 was completed, our 22-23 audit will be completed by 12/31/2024, in Fund 22 needed to add FB from Fund 20 at 6.30.23</t>
  </si>
  <si>
    <t>Interest credited in the wrong year(Fund 70)</t>
  </si>
  <si>
    <t>Revenue credited to prior year (Fund 70)</t>
  </si>
  <si>
    <t>Rounding (Fund 22)</t>
  </si>
  <si>
    <t>Invoice didn't match amortization schedule.  Bank has corrected the amortization we have in hand.</t>
  </si>
  <si>
    <t>Voted $18,313 to go to the Charter School, but Lisbon Staff chose Littleton Academy as a better fit for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</si>
</sst>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2" sqref="H672"/>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1172</v>
      </c>
      <c r="B2">
        <f>INDEX('School Tables'!$AH$3:$AH$213,MATCH('DOE25'!A2,'School Tables'!$AJ$3:$AJ$213,0))</f>
        <v>306</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74187.42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234106.24+8.32</f>
        <v>234114.56</v>
      </c>
      <c r="G12" s="18">
        <v>58532.2</v>
      </c>
      <c r="H12" s="18">
        <f>60023.06-71028.34</f>
        <v>-11005.279999999999</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89.55+12626.2+46.48</f>
        <v>12762.23</v>
      </c>
      <c r="H13" s="18">
        <f>973146.55</f>
        <v>973146.55</v>
      </c>
      <c r="I13" s="18"/>
      <c r="J13" s="13">
        <f>SUM(I443)</f>
        <v>124146.63</v>
      </c>
      <c r="K13" s="23" t="s">
        <v>288</v>
      </c>
      <c r="L13" s="23" t="s">
        <v>288</v>
      </c>
      <c r="M13" s="8"/>
      <c r="N13" s="164"/>
    </row>
    <row r="14" spans="1:14" s="3" customFormat="1" ht="12.2" customHeight="1" x14ac:dyDescent="0.15">
      <c r="A14" s="1" t="s">
        <v>565</v>
      </c>
      <c r="B14" s="2" t="s">
        <v>289</v>
      </c>
      <c r="C14" s="6">
        <v>6</v>
      </c>
      <c r="D14" s="2" t="s">
        <v>428</v>
      </c>
      <c r="E14" s="6">
        <v>150</v>
      </c>
      <c r="F14" s="18">
        <v>4552.63</v>
      </c>
      <c r="G14" s="18">
        <v>-3876.63</v>
      </c>
      <c r="H14" s="18">
        <v>15336</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15378.96</v>
      </c>
      <c r="G17" s="18"/>
      <c r="H17" s="18">
        <v>14570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328233.57</v>
      </c>
      <c r="G19" s="38">
        <f>SUM(G9:G18)</f>
        <v>67417.799999999988</v>
      </c>
      <c r="H19" s="38">
        <f>SUM(H9:H18)</f>
        <v>992047.27</v>
      </c>
      <c r="I19" s="38">
        <f>SUM(I9:I18)</f>
        <v>0</v>
      </c>
      <c r="J19" s="38">
        <f>SUM(J9:J18)</f>
        <v>124146.63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t="s">
        <v>286</v>
      </c>
      <c r="G22" s="18"/>
      <c r="H22" s="18" t="s">
        <v>286</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t="s">
        <v>286</v>
      </c>
      <c r="G24" s="18">
        <v>5311.87</v>
      </c>
      <c r="H24" s="18">
        <f>881911.36+13899.82</f>
        <v>895811.17999999993</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49020.22</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4458+3762.49</f>
        <v>8220.49</v>
      </c>
      <c r="G30" s="18">
        <f>3480.8+6226.77</f>
        <v>9707.57</v>
      </c>
      <c r="H30" s="18">
        <f>16.41+2408.63+30127.33+20.11+6300+438.53+5109.67+1638.52</f>
        <v>46059.199999999997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57240.71</v>
      </c>
      <c r="G32" s="38">
        <f>SUM(G22:G31)</f>
        <v>15019.439999999999</v>
      </c>
      <c r="H32" s="38">
        <f>SUM(H22:H31)</f>
        <v>941870.37999999989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f>83407.43-31009.07</f>
        <v>52398.359999999993</v>
      </c>
      <c r="H43" s="18">
        <v>50176.89</v>
      </c>
      <c r="I43" s="18"/>
      <c r="J43" s="13">
        <f>SUM(I457)</f>
        <v>124146.63</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84656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186336.86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270992.86</v>
      </c>
      <c r="G51" s="38">
        <f>SUM(G35:G50)</f>
        <v>52398.359999999993</v>
      </c>
      <c r="H51" s="38">
        <f>SUM(H35:H50)</f>
        <v>50176.89</v>
      </c>
      <c r="I51" s="38">
        <f>SUM(I35:I50)</f>
        <v>0</v>
      </c>
      <c r="J51" s="38">
        <f>SUM(J35:J50)</f>
        <v>124146.63</v>
      </c>
      <c r="K51" s="42" t="s">
        <v>288</v>
      </c>
      <c r="L51" s="42" t="s">
        <v>288</v>
      </c>
      <c r="N51" s="130"/>
    </row>
    <row r="52" spans="1:14" s="3" customFormat="1" ht="12.2" customHeight="1" thickTop="1" x14ac:dyDescent="0.15">
      <c r="A52" s="35" t="s">
        <v>455</v>
      </c>
      <c r="B52" s="36" t="s">
        <v>289</v>
      </c>
      <c r="C52" s="6">
        <v>37</v>
      </c>
      <c r="D52" s="36" t="s">
        <v>653</v>
      </c>
      <c r="E52" s="36"/>
      <c r="F52" s="38">
        <f>F51+F32</f>
        <v>328233.57</v>
      </c>
      <c r="G52" s="38">
        <f>G51+G32</f>
        <v>67417.799999999988</v>
      </c>
      <c r="H52" s="38">
        <f>H51+H32</f>
        <v>992047.2699999999</v>
      </c>
      <c r="I52" s="38">
        <f>I51+I32</f>
        <v>0</v>
      </c>
      <c r="J52" s="38">
        <f>J51+J32</f>
        <v>124146.63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2990340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2990340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539098.79</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539098.79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4500</v>
      </c>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1000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5500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15064.48</v>
      </c>
      <c r="G96" s="18"/>
      <c r="H96" s="18"/>
      <c r="I96" s="18"/>
      <c r="J96" s="18">
        <f>32.08+376.6</f>
        <v>408.68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43399.32+2288</f>
        <v>45687.32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v>652.66999999999996</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122.95+7251.83+45890.27+97000+53253.3</f>
        <v>203518.34999999998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4321.01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4547.8900000000003</v>
      </c>
      <c r="G110" s="18"/>
      <c r="H110" s="18">
        <f>6490+83680+1243</f>
        <v>91413</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23933.379999999997</v>
      </c>
      <c r="G111" s="38">
        <f>SUM(G96:G110)</f>
        <v>45687.32</v>
      </c>
      <c r="H111" s="38">
        <f>SUM(H96:H110)</f>
        <v>295584.02</v>
      </c>
      <c r="I111" s="38">
        <f>SUM(I96:I110)</f>
        <v>0</v>
      </c>
      <c r="J111" s="38">
        <f>SUM(J96:J110)</f>
        <v>408.68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3558872.17</v>
      </c>
      <c r="G112" s="38">
        <f>G60+G111</f>
        <v>45687.32</v>
      </c>
      <c r="H112" s="38">
        <f>H60+H79+H94+H111</f>
        <v>295584.02</v>
      </c>
      <c r="I112" s="38">
        <f>I60+I111</f>
        <v>0</v>
      </c>
      <c r="J112" s="38">
        <f>J60+J111</f>
        <v>408.68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1907137.43</f>
        <v>1907137.43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259621+136261</f>
        <v>395882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2303019.4299999997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278948.23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5759.6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2219.87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9947.34+33377.46+140630.43+186510.26</f>
        <v>370465.49</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284707.82999999996</v>
      </c>
      <c r="G136" s="38">
        <f>SUM(G123:G135)</f>
        <v>2219.87</v>
      </c>
      <c r="H136" s="38">
        <f>SUM(H123:H135)</f>
        <v>370465.49</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2587727.2599999998</v>
      </c>
      <c r="G140" s="38">
        <f>G121+SUM(G136:G137)</f>
        <v>2219.87</v>
      </c>
      <c r="H140" s="38">
        <f>H121+SUM(H136:H139)</f>
        <v>370465.49</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1481.51</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46360.16+210685.54</f>
        <v>257045.7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11446.45+4300+6595.86</f>
        <v>22342.31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73220.51+9569.12</f>
        <v>82789.62999999999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2495.56+81720+0.68+104.65+859+6655.08</f>
        <v>91834.969999999987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11406.95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11093.22</v>
      </c>
      <c r="H161" s="18">
        <f>15987</f>
        <v>15987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328551.07+1042286.29+20206.86</f>
        <v>1391044.2200000002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11406.95</v>
      </c>
      <c r="G163" s="38">
        <f>SUM(G150:G162)</f>
        <v>93882.849999999991</v>
      </c>
      <c r="H163" s="38">
        <f>SUM(H150:H162)</f>
        <v>1779735.7100000002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668.65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12075.6</v>
      </c>
      <c r="G170" s="38">
        <f>G147+G163+SUM(G164:G169)</f>
        <v>93882.849999999991</v>
      </c>
      <c r="H170" s="38">
        <f>H147+H163+SUM(H164:H169)</f>
        <v>1779735.7100000002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t="s">
        <v>286</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252008.32000000001</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252008.32000000001</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t="s">
        <v>1842</v>
      </c>
      <c r="N192" s="164"/>
    </row>
    <row r="193" spans="1:14" s="3" customFormat="1" ht="12.2" customHeight="1" thickTop="1" thickBot="1" x14ac:dyDescent="0.25">
      <c r="A193" s="35" t="s">
        <v>418</v>
      </c>
      <c r="B193" s="36" t="s">
        <v>330</v>
      </c>
      <c r="C193" s="37">
        <v>18</v>
      </c>
      <c r="D193" s="113" t="s">
        <v>430</v>
      </c>
      <c r="E193" s="47">
        <v>5000</v>
      </c>
      <c r="F193" s="38">
        <f>F178+F184+SUM(F189:F192)</f>
        <v>252008.32000000001</v>
      </c>
      <c r="G193" s="38">
        <f>G184+SUM(G189:G192)</f>
        <v>0</v>
      </c>
      <c r="H193" s="38">
        <f>+H184+SUM(H189:H192)</f>
        <v>0</v>
      </c>
      <c r="I193" s="38">
        <f>I178+I184+SUM(I189:I192)</f>
        <v>0</v>
      </c>
      <c r="J193" s="38">
        <f>J184</f>
        <v>0</v>
      </c>
      <c r="K193" s="42" t="s">
        <v>288</v>
      </c>
      <c r="L193" s="42" t="s">
        <v>288</v>
      </c>
      <c r="M193" s="8" t="s">
        <v>1841</v>
      </c>
      <c r="N193" s="164"/>
    </row>
    <row r="194" spans="1:14" s="3" customFormat="1" ht="12.2" customHeight="1" thickTop="1" x14ac:dyDescent="0.2">
      <c r="A194" s="43" t="s">
        <v>457</v>
      </c>
      <c r="B194" s="36" t="s">
        <v>330</v>
      </c>
      <c r="C194" s="37">
        <v>19</v>
      </c>
      <c r="D194" s="114" t="s">
        <v>430</v>
      </c>
      <c r="E194" s="41"/>
      <c r="F194" s="38">
        <f>F112+F140+F170+F193</f>
        <v>6410683.3499999996</v>
      </c>
      <c r="G194" s="38">
        <f>G112+G140+G170+G193</f>
        <v>141790.03999999998</v>
      </c>
      <c r="H194" s="38">
        <f>H112+H140+H170+H193</f>
        <v>2445785.2200000002</v>
      </c>
      <c r="I194" s="38">
        <f>I112+I140+I170+I193</f>
        <v>0</v>
      </c>
      <c r="J194" s="38">
        <f>J112+J140+J193</f>
        <v>408.68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628446.06999999995</v>
      </c>
      <c r="G198" s="18">
        <v>327784.37</v>
      </c>
      <c r="H198" s="18">
        <v>56.16</v>
      </c>
      <c r="I198" s="18">
        <v>8330.18</v>
      </c>
      <c r="J198" s="18">
        <v>4617.9799999999996</v>
      </c>
      <c r="K198" s="18"/>
      <c r="L198" s="13">
        <f>SUM(F198:K198)</f>
        <v>969234.76</v>
      </c>
      <c r="M198" s="8"/>
      <c r="N198" s="164"/>
    </row>
    <row r="199" spans="1:14" s="3" customFormat="1" ht="12.2" customHeight="1" x14ac:dyDescent="0.15">
      <c r="A199" s="1" t="s">
        <v>439</v>
      </c>
      <c r="B199" s="2" t="s">
        <v>341</v>
      </c>
      <c r="C199" s="2" t="s">
        <v>291</v>
      </c>
      <c r="D199" s="2" t="s">
        <v>431</v>
      </c>
      <c r="E199" s="6">
        <v>1200</v>
      </c>
      <c r="F199" s="18">
        <v>298046.88</v>
      </c>
      <c r="G199" s="18">
        <v>178272.94</v>
      </c>
      <c r="H199" s="18">
        <v>6628.13</v>
      </c>
      <c r="I199" s="18">
        <v>652.83000000000004</v>
      </c>
      <c r="J199" s="18"/>
      <c r="K199" s="18"/>
      <c r="L199" s="13">
        <f>SUM(F199:K199)</f>
        <v>483600.78</v>
      </c>
      <c r="M199" s="8"/>
      <c r="N199" s="164"/>
    </row>
    <row r="200" spans="1:14" s="3" customFormat="1" ht="12.2" customHeight="1" x14ac:dyDescent="0.15">
      <c r="A200" s="1" t="s">
        <v>440</v>
      </c>
      <c r="B200" s="2" t="s">
        <v>341</v>
      </c>
      <c r="C200" s="2" t="s">
        <v>292</v>
      </c>
      <c r="D200" s="2" t="s">
        <v>431</v>
      </c>
      <c r="E200" s="6">
        <v>1300</v>
      </c>
      <c r="F200" s="18"/>
      <c r="G200" s="18"/>
      <c r="H200" s="18">
        <v>1330</v>
      </c>
      <c r="I200" s="18">
        <v>1162.0999999999999</v>
      </c>
      <c r="J200" s="18"/>
      <c r="K200" s="18"/>
      <c r="L200" s="13">
        <f>SUM(F200:K200)</f>
        <v>2492.1</v>
      </c>
      <c r="M200" s="8"/>
      <c r="N200" s="164"/>
    </row>
    <row r="201" spans="1:14" s="3" customFormat="1" ht="12.2" customHeight="1" x14ac:dyDescent="0.15">
      <c r="A201" s="1" t="s">
        <v>441</v>
      </c>
      <c r="B201" s="2" t="s">
        <v>341</v>
      </c>
      <c r="C201" s="2" t="s">
        <v>293</v>
      </c>
      <c r="D201" s="2" t="s">
        <v>431</v>
      </c>
      <c r="E201" s="6">
        <v>1400</v>
      </c>
      <c r="F201" s="18" t="s">
        <v>286</v>
      </c>
      <c r="G201" s="18" t="s">
        <v>286</v>
      </c>
      <c r="H201" s="18" t="s">
        <v>286</v>
      </c>
      <c r="I201" s="18" t="s">
        <v>286</v>
      </c>
      <c r="J201" s="18" t="s">
        <v>286</v>
      </c>
      <c r="K201" s="18" t="s">
        <v>286</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136096.76</v>
      </c>
      <c r="G203" s="18">
        <v>85259.1</v>
      </c>
      <c r="H203" s="18">
        <v>28194.02</v>
      </c>
      <c r="I203" s="18">
        <v>589.32000000000005</v>
      </c>
      <c r="J203" s="18"/>
      <c r="K203" s="18">
        <v>1013.79</v>
      </c>
      <c r="L203" s="13">
        <f t="shared" ref="L203:L209" si="0">SUM(F203:K203)</f>
        <v>251152.99000000002</v>
      </c>
      <c r="M203" s="8"/>
      <c r="N203" s="164"/>
    </row>
    <row r="204" spans="1:14" s="3" customFormat="1" ht="12.2" customHeight="1" x14ac:dyDescent="0.15">
      <c r="A204" s="1" t="s">
        <v>443</v>
      </c>
      <c r="B204" s="2" t="s">
        <v>341</v>
      </c>
      <c r="C204" s="2" t="s">
        <v>295</v>
      </c>
      <c r="D204" s="2" t="s">
        <v>431</v>
      </c>
      <c r="E204" s="6">
        <v>2200</v>
      </c>
      <c r="F204" s="18">
        <v>33477.199999999997</v>
      </c>
      <c r="G204" s="18">
        <v>22383.47</v>
      </c>
      <c r="H204" s="18">
        <v>2920</v>
      </c>
      <c r="I204" s="18">
        <v>5463.32</v>
      </c>
      <c r="J204" s="18"/>
      <c r="K204" s="18">
        <v>2687</v>
      </c>
      <c r="L204" s="13">
        <f t="shared" si="0"/>
        <v>66930.989999999991</v>
      </c>
      <c r="M204" s="8"/>
      <c r="N204" s="164"/>
    </row>
    <row r="205" spans="1:14" s="3" customFormat="1" ht="12.2" customHeight="1" x14ac:dyDescent="0.15">
      <c r="A205" s="1" t="s">
        <v>444</v>
      </c>
      <c r="B205" s="2" t="s">
        <v>341</v>
      </c>
      <c r="C205" s="2" t="s">
        <v>296</v>
      </c>
      <c r="D205" s="2" t="s">
        <v>431</v>
      </c>
      <c r="E205" s="6">
        <v>2300</v>
      </c>
      <c r="F205" s="18">
        <v>5680.8</v>
      </c>
      <c r="G205" s="18">
        <v>437.71</v>
      </c>
      <c r="H205" s="18">
        <v>164660.39000000001</v>
      </c>
      <c r="I205" s="18">
        <v>8680.2800000000007</v>
      </c>
      <c r="J205" s="18"/>
      <c r="K205" s="18"/>
      <c r="L205" s="13">
        <f t="shared" si="0"/>
        <v>179459.18000000002</v>
      </c>
      <c r="M205" s="8"/>
      <c r="N205" s="164"/>
    </row>
    <row r="206" spans="1:14" s="3" customFormat="1" ht="12.2" customHeight="1" x14ac:dyDescent="0.15">
      <c r="A206" s="1" t="s">
        <v>445</v>
      </c>
      <c r="B206" s="2" t="s">
        <v>341</v>
      </c>
      <c r="C206" s="2" t="s">
        <v>297</v>
      </c>
      <c r="D206" s="2" t="s">
        <v>431</v>
      </c>
      <c r="E206" s="6">
        <v>2400</v>
      </c>
      <c r="F206" s="18">
        <v>79932.08</v>
      </c>
      <c r="G206" s="18">
        <v>41869.089999999997</v>
      </c>
      <c r="H206" s="18">
        <v>11395.44</v>
      </c>
      <c r="I206" s="18">
        <v>9922.44</v>
      </c>
      <c r="J206" s="18"/>
      <c r="K206" s="18">
        <v>422.4</v>
      </c>
      <c r="L206" s="13">
        <f t="shared" si="0"/>
        <v>143541.44999999998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20601.97</v>
      </c>
      <c r="G208" s="18">
        <v>9251.58</v>
      </c>
      <c r="H208" s="18">
        <v>229833.71</v>
      </c>
      <c r="I208" s="18">
        <v>59375.02</v>
      </c>
      <c r="J208" s="18"/>
      <c r="K208" s="18"/>
      <c r="L208" s="13">
        <f t="shared" si="0"/>
        <v>319062.28000000003</v>
      </c>
      <c r="M208" s="8"/>
      <c r="N208" s="164"/>
    </row>
    <row r="209" spans="1:14" s="3" customFormat="1" ht="12.2" customHeight="1" x14ac:dyDescent="0.15">
      <c r="A209" s="1" t="s">
        <v>448</v>
      </c>
      <c r="B209" s="2" t="s">
        <v>341</v>
      </c>
      <c r="C209" s="2" t="s">
        <v>300</v>
      </c>
      <c r="D209" s="2" t="s">
        <v>431</v>
      </c>
      <c r="E209" s="6">
        <v>2700</v>
      </c>
      <c r="F209" s="18">
        <v>3602.4</v>
      </c>
      <c r="G209" s="18">
        <v>86.04</v>
      </c>
      <c r="H209" s="18">
        <v>80217.95</v>
      </c>
      <c r="I209" s="18"/>
      <c r="J209" s="18"/>
      <c r="K209" s="18"/>
      <c r="L209" s="13">
        <f t="shared" si="0"/>
        <v>83906.39</v>
      </c>
      <c r="M209" s="8"/>
      <c r="N209" s="164"/>
    </row>
    <row r="210" spans="1:14" s="3" customFormat="1" ht="12.2" customHeight="1" x14ac:dyDescent="0.15">
      <c r="A210" s="1" t="s">
        <v>449</v>
      </c>
      <c r="B210" s="2" t="s">
        <v>341</v>
      </c>
      <c r="C210" s="2" t="s">
        <v>343</v>
      </c>
      <c r="D210" s="2" t="s">
        <v>431</v>
      </c>
      <c r="E210" s="6">
        <v>2800</v>
      </c>
      <c r="F210" s="18">
        <v>26285.26</v>
      </c>
      <c r="G210" s="18">
        <v>5550.84</v>
      </c>
      <c r="H210" s="18">
        <v>3976.6</v>
      </c>
      <c r="I210" s="18">
        <v>2927.03</v>
      </c>
      <c r="J210" s="18">
        <v>5211.93</v>
      </c>
      <c r="K210" s="18"/>
      <c r="L210" s="13">
        <f>SUM(F210:K210)</f>
        <v>43951.659999999996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1232169.42</v>
      </c>
      <c r="G212" s="38">
        <f t="shared" si="1"/>
        <v>670895.1399999999</v>
      </c>
      <c r="H212" s="38">
        <f t="shared" si="1"/>
        <v>529212.39999999991</v>
      </c>
      <c r="I212" s="38">
        <f t="shared" si="1"/>
        <v>97102.51999999999</v>
      </c>
      <c r="J212" s="38">
        <f t="shared" si="1"/>
        <v>9829.91</v>
      </c>
      <c r="K212" s="38">
        <f t="shared" si="1"/>
        <v>4123.1899999999996</v>
      </c>
      <c r="L212" s="38">
        <f t="shared" si="1"/>
        <v>2543332.5800000005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365795.68</v>
      </c>
      <c r="G216" s="18">
        <v>204133.39</v>
      </c>
      <c r="H216" s="18">
        <v>213.4</v>
      </c>
      <c r="I216" s="18">
        <v>3637.98</v>
      </c>
      <c r="J216" s="18">
        <v>554.6</v>
      </c>
      <c r="K216" s="18"/>
      <c r="L216" s="13">
        <f>SUM(F216:K216)</f>
        <v>574335.05000000005</v>
      </c>
      <c r="M216" s="8"/>
      <c r="N216" s="164"/>
    </row>
    <row r="217" spans="1:14" s="3" customFormat="1" ht="12.2" customHeight="1" x14ac:dyDescent="0.15">
      <c r="A217" s="1" t="s">
        <v>439</v>
      </c>
      <c r="B217" s="2" t="s">
        <v>346</v>
      </c>
      <c r="C217" s="2" t="s">
        <v>291</v>
      </c>
      <c r="D217" s="2" t="s">
        <v>431</v>
      </c>
      <c r="E217" s="6">
        <v>1200</v>
      </c>
      <c r="F217" s="18">
        <f>77888.06</f>
        <v>77888.06</v>
      </c>
      <c r="G217" s="18">
        <v>34790.19</v>
      </c>
      <c r="H217" s="18">
        <v>94976.29</v>
      </c>
      <c r="I217" s="18"/>
      <c r="J217" s="18"/>
      <c r="K217" s="18"/>
      <c r="L217" s="13">
        <f>SUM(F217:K217)</f>
        <v>207654.53999999998</v>
      </c>
      <c r="M217" s="8"/>
      <c r="N217" s="164"/>
    </row>
    <row r="218" spans="1:14" s="3" customFormat="1" ht="12.2" customHeight="1" x14ac:dyDescent="0.15">
      <c r="A218" s="1" t="s">
        <v>440</v>
      </c>
      <c r="B218" s="2" t="s">
        <v>346</v>
      </c>
      <c r="C218" s="2" t="s">
        <v>292</v>
      </c>
      <c r="D218" s="2" t="s">
        <v>431</v>
      </c>
      <c r="E218" s="6">
        <v>1300</v>
      </c>
      <c r="F218" s="18">
        <v>30129.02</v>
      </c>
      <c r="G218" s="18">
        <v>10709.9</v>
      </c>
      <c r="H218" s="18">
        <v>570</v>
      </c>
      <c r="I218" s="18">
        <v>341.65</v>
      </c>
      <c r="J218" s="18"/>
      <c r="K218" s="18"/>
      <c r="L218" s="13">
        <f>SUM(F218:K218)</f>
        <v>41750.57</v>
      </c>
      <c r="M218" s="8"/>
      <c r="N218" s="164"/>
    </row>
    <row r="219" spans="1:14" s="3" customFormat="1" ht="12.2" customHeight="1" x14ac:dyDescent="0.15">
      <c r="A219" s="1" t="s">
        <v>441</v>
      </c>
      <c r="B219" s="2" t="s">
        <v>346</v>
      </c>
      <c r="C219" s="2" t="s">
        <v>293</v>
      </c>
      <c r="D219" s="2" t="s">
        <v>431</v>
      </c>
      <c r="E219" s="6">
        <v>1400</v>
      </c>
      <c r="F219" s="18">
        <v>15520</v>
      </c>
      <c r="G219" s="18">
        <v>2086.12</v>
      </c>
      <c r="H219" s="18">
        <v>5996</v>
      </c>
      <c r="I219" s="18">
        <v>2320</v>
      </c>
      <c r="J219" s="18">
        <v>665.95</v>
      </c>
      <c r="K219" s="18">
        <v>1071.9000000000001</v>
      </c>
      <c r="L219" s="13">
        <f>SUM(F219:K219)</f>
        <v>27659.97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38071.06</v>
      </c>
      <c r="G221" s="18">
        <v>22211.33</v>
      </c>
      <c r="H221" s="18">
        <v>11680.79</v>
      </c>
      <c r="I221" s="18">
        <v>184.6</v>
      </c>
      <c r="J221" s="18"/>
      <c r="K221" s="18">
        <v>281.17</v>
      </c>
      <c r="L221" s="13">
        <f t="shared" ref="L221:L227" si="2">SUM(F221:K221)</f>
        <v>72428.95</v>
      </c>
      <c r="M221" s="8"/>
      <c r="N221" s="164"/>
    </row>
    <row r="222" spans="1:14" s="3" customFormat="1" ht="12.2" customHeight="1" x14ac:dyDescent="0.15">
      <c r="A222" s="1" t="s">
        <v>443</v>
      </c>
      <c r="B222" s="2" t="s">
        <v>346</v>
      </c>
      <c r="C222" s="2" t="s">
        <v>295</v>
      </c>
      <c r="D222" s="2" t="s">
        <v>431</v>
      </c>
      <c r="E222" s="6">
        <v>2200</v>
      </c>
      <c r="F222" s="18">
        <v>20086.240000000002</v>
      </c>
      <c r="G222" s="18">
        <v>13429.92</v>
      </c>
      <c r="H222" s="18"/>
      <c r="I222" s="18">
        <v>2632.36</v>
      </c>
      <c r="J222" s="18"/>
      <c r="K222" s="18">
        <v>751.74</v>
      </c>
      <c r="L222" s="13">
        <f t="shared" si="2"/>
        <v>36900.26</v>
      </c>
      <c r="M222" s="8"/>
      <c r="N222" s="164"/>
    </row>
    <row r="223" spans="1:14" s="3" customFormat="1" ht="12.2" customHeight="1" x14ac:dyDescent="0.15">
      <c r="A223" s="1" t="s">
        <v>444</v>
      </c>
      <c r="B223" s="2" t="s">
        <v>346</v>
      </c>
      <c r="C223" s="2" t="s">
        <v>296</v>
      </c>
      <c r="D223" s="2" t="s">
        <v>431</v>
      </c>
      <c r="E223" s="6">
        <v>2300</v>
      </c>
      <c r="F223" s="18">
        <v>2367</v>
      </c>
      <c r="G223" s="18">
        <v>182.38</v>
      </c>
      <c r="H223" s="18">
        <v>56254.720000000001</v>
      </c>
      <c r="I223" s="18"/>
      <c r="J223" s="18"/>
      <c r="K223" s="18">
        <v>2885.29</v>
      </c>
      <c r="L223" s="13">
        <f t="shared" si="2"/>
        <v>61689.39</v>
      </c>
      <c r="M223" s="8"/>
      <c r="N223" s="164"/>
    </row>
    <row r="224" spans="1:14" s="3" customFormat="1" ht="12.2" customHeight="1" x14ac:dyDescent="0.15">
      <c r="A224" s="1" t="s">
        <v>445</v>
      </c>
      <c r="B224" s="2" t="s">
        <v>346</v>
      </c>
      <c r="C224" s="2" t="s">
        <v>297</v>
      </c>
      <c r="D224" s="2" t="s">
        <v>431</v>
      </c>
      <c r="E224" s="6">
        <v>2400</v>
      </c>
      <c r="F224" s="18">
        <v>52610.77</v>
      </c>
      <c r="G224" s="18">
        <v>27334.89</v>
      </c>
      <c r="H224" s="18">
        <v>4660.26</v>
      </c>
      <c r="I224" s="18">
        <v>4324.3999999999996</v>
      </c>
      <c r="J224" s="18"/>
      <c r="K224" s="18">
        <v>522</v>
      </c>
      <c r="L224" s="13">
        <f t="shared" si="2"/>
        <v>89452.319999999992</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12246.1</v>
      </c>
      <c r="G226" s="18">
        <v>5650.77</v>
      </c>
      <c r="H226" s="18">
        <v>94513.06</v>
      </c>
      <c r="I226" s="18">
        <v>22503.88</v>
      </c>
      <c r="J226" s="18"/>
      <c r="K226" s="18"/>
      <c r="L226" s="13">
        <f t="shared" si="2"/>
        <v>134913.81</v>
      </c>
      <c r="M226" s="8"/>
      <c r="N226" s="164"/>
    </row>
    <row r="227" spans="1:14" s="3" customFormat="1" ht="12.2" customHeight="1" x14ac:dyDescent="0.15">
      <c r="A227" s="1" t="s">
        <v>448</v>
      </c>
      <c r="B227" s="2" t="s">
        <v>346</v>
      </c>
      <c r="C227" s="2" t="s">
        <v>300</v>
      </c>
      <c r="D227" s="2" t="s">
        <v>431</v>
      </c>
      <c r="E227" s="6">
        <v>2700</v>
      </c>
      <c r="F227" s="18">
        <v>1501</v>
      </c>
      <c r="G227" s="18">
        <v>35.85</v>
      </c>
      <c r="H227" s="18">
        <v>32242.28</v>
      </c>
      <c r="I227" s="18"/>
      <c r="J227" s="18"/>
      <c r="K227" s="18"/>
      <c r="L227" s="13">
        <f t="shared" si="2"/>
        <v>33779.129999999997</v>
      </c>
      <c r="M227" s="8"/>
      <c r="N227" s="164"/>
    </row>
    <row r="228" spans="1:14" s="3" customFormat="1" ht="12.2" customHeight="1" x14ac:dyDescent="0.15">
      <c r="A228" s="1" t="s">
        <v>449</v>
      </c>
      <c r="B228" s="2" t="s">
        <v>346</v>
      </c>
      <c r="C228" s="2" t="s">
        <v>343</v>
      </c>
      <c r="D228" s="2" t="s">
        <v>431</v>
      </c>
      <c r="E228" s="6">
        <v>2800</v>
      </c>
      <c r="F228" s="18">
        <v>16521.990000000002</v>
      </c>
      <c r="G228" s="18">
        <v>3489.7</v>
      </c>
      <c r="H228" s="18">
        <v>1590.65</v>
      </c>
      <c r="I228" s="18">
        <v>1069.56</v>
      </c>
      <c r="J228" s="18">
        <v>2171.64</v>
      </c>
      <c r="K228" s="18"/>
      <c r="L228" s="13">
        <f>SUM(F228:K228)</f>
        <v>24843.540000000005</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632736.92000000004</v>
      </c>
      <c r="G230" s="38">
        <f>SUM(G216:G229)</f>
        <v>324054.44</v>
      </c>
      <c r="H230" s="38">
        <f>SUM(H216:H229)</f>
        <v>302697.45000000007</v>
      </c>
      <c r="I230" s="38">
        <f>SUM(I216:I229)</f>
        <v>37014.43</v>
      </c>
      <c r="J230" s="38">
        <f>SUM(J216:J229)</f>
        <v>3392.19</v>
      </c>
      <c r="K230" s="38">
        <f t="shared" si="3"/>
        <v>5512.1</v>
      </c>
      <c r="L230" s="38">
        <f t="shared" si="3"/>
        <v>1305407.53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581478.78</v>
      </c>
      <c r="G234" s="18">
        <v>301434.18</v>
      </c>
      <c r="H234" s="18">
        <v>324.44</v>
      </c>
      <c r="I234" s="18">
        <v>23952.69</v>
      </c>
      <c r="J234" s="18">
        <v>734.57</v>
      </c>
      <c r="K234" s="18"/>
      <c r="L234" s="13">
        <f>SUM(F234:K234)</f>
        <v>907924.6599999998</v>
      </c>
      <c r="M234" s="8"/>
      <c r="N234" s="164"/>
    </row>
    <row r="235" spans="1:14" s="3" customFormat="1" ht="12.2" customHeight="1" x14ac:dyDescent="0.15">
      <c r="A235" s="1" t="s">
        <v>439</v>
      </c>
      <c r="B235" s="2" t="s">
        <v>350</v>
      </c>
      <c r="C235" s="2" t="s">
        <v>291</v>
      </c>
      <c r="D235" s="2" t="s">
        <v>431</v>
      </c>
      <c r="E235" s="6">
        <v>1200</v>
      </c>
      <c r="F235" s="18">
        <v>114661.8</v>
      </c>
      <c r="G235" s="18">
        <v>64877.49</v>
      </c>
      <c r="H235" s="18">
        <v>469060.69</v>
      </c>
      <c r="I235" s="18"/>
      <c r="J235" s="18"/>
      <c r="K235" s="18"/>
      <c r="L235" s="13">
        <f>SUM(F235:K235)</f>
        <v>648599.98</v>
      </c>
      <c r="M235" s="8"/>
      <c r="N235" s="164"/>
    </row>
    <row r="236" spans="1:14" s="3" customFormat="1" ht="12.2" customHeight="1" x14ac:dyDescent="0.15">
      <c r="A236" s="1" t="s">
        <v>440</v>
      </c>
      <c r="B236" s="2" t="s">
        <v>350</v>
      </c>
      <c r="C236" s="2" t="s">
        <v>292</v>
      </c>
      <c r="D236" s="2" t="s">
        <v>431</v>
      </c>
      <c r="E236" s="6">
        <v>1300</v>
      </c>
      <c r="F236" s="18">
        <v>163622.48000000001</v>
      </c>
      <c r="G236" s="18">
        <v>57463.39</v>
      </c>
      <c r="H236" s="18">
        <v>27810.42</v>
      </c>
      <c r="I236" s="18">
        <v>1007.89</v>
      </c>
      <c r="J236" s="18"/>
      <c r="K236" s="18"/>
      <c r="L236" s="13">
        <f>SUM(F236:K236)</f>
        <v>249904.18</v>
      </c>
      <c r="M236" s="8"/>
      <c r="N236" s="164"/>
    </row>
    <row r="237" spans="1:14" s="3" customFormat="1" ht="12.2" customHeight="1" x14ac:dyDescent="0.15">
      <c r="A237" s="1" t="s">
        <v>441</v>
      </c>
      <c r="B237" s="2" t="s">
        <v>350</v>
      </c>
      <c r="C237" s="2" t="s">
        <v>293</v>
      </c>
      <c r="D237" s="2" t="s">
        <v>431</v>
      </c>
      <c r="E237" s="6">
        <v>1400</v>
      </c>
      <c r="F237" s="18">
        <v>44880</v>
      </c>
      <c r="G237" s="18">
        <v>8327.7900000000009</v>
      </c>
      <c r="H237" s="18">
        <v>13145.5</v>
      </c>
      <c r="I237" s="18">
        <v>3480</v>
      </c>
      <c r="J237" s="18">
        <v>990.52</v>
      </c>
      <c r="K237" s="18">
        <v>1607.86</v>
      </c>
      <c r="L237" s="13">
        <f>SUM(F237:K237)</f>
        <v>72431.670000000013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62686.41</v>
      </c>
      <c r="G239" s="18">
        <v>21778.05</v>
      </c>
      <c r="H239" s="18">
        <v>15061.51</v>
      </c>
      <c r="I239" s="18">
        <v>295.36</v>
      </c>
      <c r="J239" s="18"/>
      <c r="K239" s="18"/>
      <c r="L239" s="13">
        <f t="shared" ref="L239:L245" si="4">SUM(F239:K239)</f>
        <v>99821.33</v>
      </c>
      <c r="M239" s="8"/>
      <c r="N239" s="164"/>
    </row>
    <row r="240" spans="1:14" s="3" customFormat="1" ht="12.2" customHeight="1" x14ac:dyDescent="0.15">
      <c r="A240" s="1" t="s">
        <v>443</v>
      </c>
      <c r="B240" s="2" t="s">
        <v>350</v>
      </c>
      <c r="C240" s="2" t="s">
        <v>295</v>
      </c>
      <c r="D240" s="2" t="s">
        <v>431</v>
      </c>
      <c r="E240" s="6">
        <v>2200</v>
      </c>
      <c r="F240" s="18">
        <v>13390.56</v>
      </c>
      <c r="G240" s="18">
        <v>8953.1200000000008</v>
      </c>
      <c r="H240" s="18">
        <v>2588.64</v>
      </c>
      <c r="I240" s="18">
        <v>3397.23</v>
      </c>
      <c r="J240" s="18"/>
      <c r="K240" s="18">
        <f>2568.75+421</f>
        <v>2989.75</v>
      </c>
      <c r="L240" s="13">
        <f t="shared" si="4"/>
        <v>31319.3</v>
      </c>
      <c r="M240" s="8"/>
      <c r="N240" s="164"/>
    </row>
    <row r="241" spans="1:14" s="3" customFormat="1" ht="12.2" customHeight="1" x14ac:dyDescent="0.15">
      <c r="A241" s="1" t="s">
        <v>444</v>
      </c>
      <c r="B241" s="2" t="s">
        <v>350</v>
      </c>
      <c r="C241" s="2" t="s">
        <v>296</v>
      </c>
      <c r="D241" s="2" t="s">
        <v>431</v>
      </c>
      <c r="E241" s="6">
        <v>2300</v>
      </c>
      <c r="F241" s="18">
        <v>3787.2</v>
      </c>
      <c r="G241" s="18">
        <v>291.8</v>
      </c>
      <c r="H241" s="18">
        <v>94697.79</v>
      </c>
      <c r="I241" s="18"/>
      <c r="J241" s="18"/>
      <c r="K241" s="18">
        <v>5351.15</v>
      </c>
      <c r="L241" s="13">
        <f t="shared" si="4"/>
        <v>104127.93999999999</v>
      </c>
      <c r="M241" s="8"/>
      <c r="N241" s="164"/>
    </row>
    <row r="242" spans="1:14" s="3" customFormat="1" ht="12.2" customHeight="1" x14ac:dyDescent="0.15">
      <c r="A242" s="1" t="s">
        <v>445</v>
      </c>
      <c r="B242" s="2" t="s">
        <v>350</v>
      </c>
      <c r="C242" s="2" t="s">
        <v>297</v>
      </c>
      <c r="D242" s="2" t="s">
        <v>431</v>
      </c>
      <c r="E242" s="6">
        <v>2400</v>
      </c>
      <c r="F242" s="18">
        <v>96508.73</v>
      </c>
      <c r="G242" s="18">
        <v>50702.75</v>
      </c>
      <c r="H242" s="18">
        <v>8051.41</v>
      </c>
      <c r="I242" s="18">
        <v>6507.57</v>
      </c>
      <c r="J242" s="18"/>
      <c r="K242" s="18">
        <v>2794.84</v>
      </c>
      <c r="L242" s="13">
        <f t="shared" si="4"/>
        <v>164565.29999999999</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23935.62</v>
      </c>
      <c r="G244" s="18">
        <v>10988.86</v>
      </c>
      <c r="H244" s="18">
        <v>152794.85999999999</v>
      </c>
      <c r="I244" s="18">
        <v>35599.99</v>
      </c>
      <c r="J244" s="18"/>
      <c r="K244" s="18"/>
      <c r="L244" s="13">
        <f t="shared" si="4"/>
        <v>223319.32999999996</v>
      </c>
      <c r="M244" s="8"/>
      <c r="N244" s="164"/>
    </row>
    <row r="245" spans="1:14" s="3" customFormat="1" ht="12.2" customHeight="1" x14ac:dyDescent="0.15">
      <c r="A245" s="1" t="s">
        <v>448</v>
      </c>
      <c r="B245" s="2" t="s">
        <v>350</v>
      </c>
      <c r="C245" s="2" t="s">
        <v>300</v>
      </c>
      <c r="D245" s="2" t="s">
        <v>431</v>
      </c>
      <c r="E245" s="6">
        <v>2700</v>
      </c>
      <c r="F245" s="18">
        <v>2401.6</v>
      </c>
      <c r="G245" s="18">
        <v>57.36</v>
      </c>
      <c r="H245" s="18">
        <v>83669.25</v>
      </c>
      <c r="I245" s="18"/>
      <c r="J245" s="18"/>
      <c r="K245" s="18"/>
      <c r="L245" s="13">
        <f t="shared" si="4"/>
        <v>86128.21</v>
      </c>
      <c r="M245" s="8"/>
      <c r="N245" s="164"/>
    </row>
    <row r="246" spans="1:14" s="3" customFormat="1" ht="12.2" customHeight="1" x14ac:dyDescent="0.15">
      <c r="A246" s="1" t="s">
        <v>449</v>
      </c>
      <c r="B246" s="2" t="s">
        <v>350</v>
      </c>
      <c r="C246" s="2" t="s">
        <v>343</v>
      </c>
      <c r="D246" s="2" t="s">
        <v>431</v>
      </c>
      <c r="E246" s="6">
        <v>2800</v>
      </c>
      <c r="F246" s="18">
        <v>32293.35</v>
      </c>
      <c r="G246" s="18">
        <v>6820.33</v>
      </c>
      <c r="H246" s="18">
        <v>2386</v>
      </c>
      <c r="I246" s="18">
        <v>1932.34</v>
      </c>
      <c r="J246" s="18">
        <v>3474.63</v>
      </c>
      <c r="K246" s="18"/>
      <c r="L246" s="13">
        <f>SUM(F246:K246)</f>
        <v>46906.649999999994</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1139646.5300000005</v>
      </c>
      <c r="G248" s="38">
        <f t="shared" si="5"/>
        <v>531695.11999999988</v>
      </c>
      <c r="H248" s="38">
        <f t="shared" si="5"/>
        <v>869590.51</v>
      </c>
      <c r="I248" s="38">
        <f t="shared" si="5"/>
        <v>76173.069999999992</v>
      </c>
      <c r="J248" s="38">
        <f t="shared" si="5"/>
        <v>5199.72</v>
      </c>
      <c r="K248" s="38">
        <f t="shared" si="5"/>
        <v>12743.599999999999</v>
      </c>
      <c r="L248" s="38">
        <f t="shared" si="5"/>
        <v>2635048.5499999993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3004552.87</v>
      </c>
      <c r="G258" s="38">
        <f t="shared" si="8"/>
        <v>1526644.6999999997</v>
      </c>
      <c r="H258" s="38">
        <f t="shared" si="8"/>
        <v>1701500.3599999999</v>
      </c>
      <c r="I258" s="38">
        <f t="shared" si="8"/>
        <v>210290.01999999996</v>
      </c>
      <c r="J258" s="38">
        <f t="shared" si="8"/>
        <v>18421.82</v>
      </c>
      <c r="K258" s="38">
        <f t="shared" si="8"/>
        <v>22378.89</v>
      </c>
      <c r="L258" s="38">
        <f t="shared" si="8"/>
        <v>6483788.6600000001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59843.27</v>
      </c>
      <c r="L261" s="13">
        <f>SUM(F261:K261)</f>
        <v>59843.27</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7454.23</v>
      </c>
      <c r="L262" s="13">
        <f>SUM(F262:K262)</f>
        <v>7454.23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67297.5</v>
      </c>
      <c r="L271" s="38">
        <f t="shared" si="9"/>
        <v>67297.5</v>
      </c>
      <c r="M271" s="8"/>
      <c r="N271" s="164"/>
    </row>
    <row r="272" spans="1:14" s="33" customFormat="1" ht="12.2" customHeight="1" thickTop="1" x14ac:dyDescent="0.2">
      <c r="A272" s="40" t="s">
        <v>464</v>
      </c>
      <c r="B272" s="37">
        <v>10</v>
      </c>
      <c r="C272" s="37">
        <v>18</v>
      </c>
      <c r="D272" s="36" t="s">
        <v>431</v>
      </c>
      <c r="E272" s="37"/>
      <c r="F272" s="39">
        <f t="shared" ref="F272:L272" si="11">F258+F271</f>
        <v>3004552.87</v>
      </c>
      <c r="G272" s="39">
        <f t="shared" si="11"/>
        <v>1526644.6999999997</v>
      </c>
      <c r="H272" s="39">
        <f t="shared" si="11"/>
        <v>1701500.3599999999</v>
      </c>
      <c r="I272" s="39">
        <f t="shared" si="11"/>
        <v>210290.01999999996</v>
      </c>
      <c r="J272" s="39">
        <f t="shared" si="11"/>
        <v>18421.82</v>
      </c>
      <c r="K272" s="39">
        <f t="shared" si="11"/>
        <v>89676.39</v>
      </c>
      <c r="L272" s="39">
        <f t="shared" si="11"/>
        <v>6551086.1600000001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178835.22</v>
      </c>
      <c r="G277" s="18">
        <v>100499.41</v>
      </c>
      <c r="H277" s="18">
        <f>122.95+36403.96</f>
        <v>36526.909999999996</v>
      </c>
      <c r="I277" s="18">
        <v>84281.52</v>
      </c>
      <c r="J277" s="18">
        <v>1908.13</v>
      </c>
      <c r="K277" s="18" t="s">
        <v>286</v>
      </c>
      <c r="L277" s="13">
        <f>SUM(F277:K277)</f>
        <v>402051.19</v>
      </c>
      <c r="M277" s="8"/>
      <c r="N277" s="164"/>
    </row>
    <row r="278" spans="1:14" s="3" customFormat="1" ht="12.2" customHeight="1" x14ac:dyDescent="0.15">
      <c r="A278" s="1" t="s">
        <v>439</v>
      </c>
      <c r="B278" s="2" t="s">
        <v>357</v>
      </c>
      <c r="C278" s="2" t="s">
        <v>291</v>
      </c>
      <c r="D278" s="2" t="s">
        <v>431</v>
      </c>
      <c r="E278" s="6">
        <v>1200</v>
      </c>
      <c r="F278" s="18">
        <v>15612.84</v>
      </c>
      <c r="G278" s="18">
        <v>5146.3100000000004</v>
      </c>
      <c r="H278" s="18">
        <v>10444.64</v>
      </c>
      <c r="I278" s="18">
        <v>1891.09</v>
      </c>
      <c r="J278" s="18">
        <v>665.76</v>
      </c>
      <c r="K278" s="18" t="s">
        <v>286</v>
      </c>
      <c r="L278" s="13">
        <f>SUM(F278:K278)</f>
        <v>33760.639999999999</v>
      </c>
      <c r="M278" s="8"/>
      <c r="N278" s="164"/>
    </row>
    <row r="279" spans="1:14" s="3" customFormat="1" ht="12.2" customHeight="1" x14ac:dyDescent="0.15">
      <c r="A279" s="1" t="s">
        <v>440</v>
      </c>
      <c r="B279" s="2" t="s">
        <v>357</v>
      </c>
      <c r="C279" s="2" t="s">
        <v>292</v>
      </c>
      <c r="D279" s="2" t="s">
        <v>431</v>
      </c>
      <c r="E279" s="6">
        <v>1300</v>
      </c>
      <c r="F279" s="18"/>
      <c r="G279" s="18"/>
      <c r="H279" s="18"/>
      <c r="I279" s="18" t="s">
        <v>286</v>
      </c>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34256.25</v>
      </c>
      <c r="G280" s="18">
        <v>8081.71</v>
      </c>
      <c r="H280" s="18">
        <v>651.84</v>
      </c>
      <c r="I280" s="18">
        <v>3038.34</v>
      </c>
      <c r="J280" s="18"/>
      <c r="K280" s="18"/>
      <c r="L280" s="13">
        <f>SUM(F280:K280)</f>
        <v>46028.14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13881.89</v>
      </c>
      <c r="G282" s="18">
        <v>30.6</v>
      </c>
      <c r="H282" s="18">
        <v>32072.1</v>
      </c>
      <c r="I282" s="18">
        <v>1584.74</v>
      </c>
      <c r="J282" s="18"/>
      <c r="K282" s="18"/>
      <c r="L282" s="13">
        <f t="shared" ref="L282:L288" si="12">SUM(F282:K282)</f>
        <v>47569.329999999994</v>
      </c>
      <c r="M282" s="8"/>
      <c r="N282" s="164"/>
    </row>
    <row r="283" spans="1:14" s="3" customFormat="1" ht="12.2" customHeight="1" x14ac:dyDescent="0.15">
      <c r="A283" s="1" t="s">
        <v>443</v>
      </c>
      <c r="B283" s="2" t="s">
        <v>357</v>
      </c>
      <c r="C283" s="2" t="s">
        <v>295</v>
      </c>
      <c r="D283" s="2" t="s">
        <v>431</v>
      </c>
      <c r="E283" s="6">
        <v>2200</v>
      </c>
      <c r="F283" s="18"/>
      <c r="G283" s="18"/>
      <c r="H283" s="18">
        <v>14274.45</v>
      </c>
      <c r="I283" s="18">
        <v>536.9</v>
      </c>
      <c r="J283" s="18"/>
      <c r="K283" s="18"/>
      <c r="L283" s="13">
        <f t="shared" si="12"/>
        <v>14811.35</v>
      </c>
      <c r="M283" s="8"/>
      <c r="N283" s="164"/>
    </row>
    <row r="284" spans="1:14" s="3" customFormat="1" ht="12.2" customHeight="1" x14ac:dyDescent="0.15">
      <c r="A284" s="1" t="s">
        <v>444</v>
      </c>
      <c r="B284" s="2" t="s">
        <v>357</v>
      </c>
      <c r="C284" s="2" t="s">
        <v>296</v>
      </c>
      <c r="D284" s="2" t="s">
        <v>431</v>
      </c>
      <c r="E284" s="6">
        <v>2300</v>
      </c>
      <c r="F284" s="18"/>
      <c r="G284" s="18"/>
      <c r="H284" s="18">
        <v>16168.56</v>
      </c>
      <c r="I284" s="18"/>
      <c r="J284" s="18"/>
      <c r="K284" s="18">
        <v>25845.46</v>
      </c>
      <c r="L284" s="13">
        <f t="shared" si="12"/>
        <v>42014.02</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v>1140</v>
      </c>
      <c r="I286" s="18"/>
      <c r="J286" s="18"/>
      <c r="K286" s="18"/>
      <c r="L286" s="13">
        <f t="shared" si="12"/>
        <v>1140</v>
      </c>
      <c r="M286" s="8"/>
      <c r="N286" s="164"/>
    </row>
    <row r="287" spans="1:14" s="3" customFormat="1" ht="12.2" customHeight="1" x14ac:dyDescent="0.15">
      <c r="A287" s="1" t="s">
        <v>447</v>
      </c>
      <c r="B287" s="2" t="s">
        <v>357</v>
      </c>
      <c r="C287" s="2" t="s">
        <v>299</v>
      </c>
      <c r="D287" s="2" t="s">
        <v>431</v>
      </c>
      <c r="E287" s="6">
        <v>2600</v>
      </c>
      <c r="F287" s="18"/>
      <c r="G287" s="18"/>
      <c r="H287" s="18">
        <v>7673.76</v>
      </c>
      <c r="I287" s="18"/>
      <c r="J287" s="18"/>
      <c r="K287" s="18"/>
      <c r="L287" s="13">
        <f t="shared" si="12"/>
        <v>7673.76</v>
      </c>
      <c r="M287" s="8"/>
      <c r="N287" s="164"/>
    </row>
    <row r="288" spans="1:14" s="3" customFormat="1" ht="12.2" customHeight="1" x14ac:dyDescent="0.15">
      <c r="A288" s="1" t="s">
        <v>448</v>
      </c>
      <c r="B288" s="2" t="s">
        <v>357</v>
      </c>
      <c r="C288" s="2" t="s">
        <v>300</v>
      </c>
      <c r="D288" s="2" t="s">
        <v>431</v>
      </c>
      <c r="E288" s="6">
        <v>2700</v>
      </c>
      <c r="F288" s="18"/>
      <c r="G288" s="18"/>
      <c r="H288" s="18">
        <v>371.55</v>
      </c>
      <c r="I288" s="18"/>
      <c r="J288" s="18"/>
      <c r="K288" s="18"/>
      <c r="L288" s="13">
        <f t="shared" si="12"/>
        <v>371.55</v>
      </c>
      <c r="M288" s="8"/>
      <c r="N288" s="164"/>
    </row>
    <row r="289" spans="1:14" s="3" customFormat="1" ht="12.2" customHeight="1" x14ac:dyDescent="0.15">
      <c r="A289" s="1" t="s">
        <v>449</v>
      </c>
      <c r="B289" s="2" t="s">
        <v>357</v>
      </c>
      <c r="C289" s="2" t="s">
        <v>343</v>
      </c>
      <c r="D289" s="2" t="s">
        <v>431</v>
      </c>
      <c r="E289" s="6">
        <v>2800</v>
      </c>
      <c r="F289" s="18">
        <v>17218.080000000002</v>
      </c>
      <c r="G289" s="18">
        <v>2361.9899999999998</v>
      </c>
      <c r="H289" s="18">
        <v>50914.2</v>
      </c>
      <c r="I289" s="18">
        <v>11002.43</v>
      </c>
      <c r="J289" s="18">
        <v>40166.400000000001</v>
      </c>
      <c r="K289" s="18"/>
      <c r="L289" s="13">
        <f>SUM(F289:K289)</f>
        <v>121663.09999999998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259804.28000000003</v>
      </c>
      <c r="G291" s="39">
        <f t="shared" si="13"/>
        <v>116120.02000000002</v>
      </c>
      <c r="H291" s="39">
        <f t="shared" si="13"/>
        <v>170238.00999999998</v>
      </c>
      <c r="I291" s="39">
        <f t="shared" si="13"/>
        <v>102335.01999999999</v>
      </c>
      <c r="J291" s="39">
        <f t="shared" si="13"/>
        <v>42740.29</v>
      </c>
      <c r="K291" s="39">
        <f t="shared" si="13"/>
        <v>25845.46</v>
      </c>
      <c r="L291" s="38">
        <f t="shared" si="13"/>
        <v>717083.08000000007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19941.099999999999</v>
      </c>
      <c r="G296" s="18">
        <v>8842.1</v>
      </c>
      <c r="H296" s="18">
        <v>15168.32</v>
      </c>
      <c r="I296" s="18">
        <v>35117.300000000003</v>
      </c>
      <c r="J296" s="18">
        <v>795.06</v>
      </c>
      <c r="K296" s="18"/>
      <c r="L296" s="13">
        <f>SUM(F296:K296)</f>
        <v>79863.88</v>
      </c>
      <c r="M296" s="8"/>
      <c r="N296" s="164"/>
    </row>
    <row r="297" spans="1:14" s="3" customFormat="1" ht="12.2" customHeight="1" x14ac:dyDescent="0.15">
      <c r="A297" s="1" t="s">
        <v>439</v>
      </c>
      <c r="B297" s="2" t="s">
        <v>358</v>
      </c>
      <c r="C297" s="2" t="s">
        <v>291</v>
      </c>
      <c r="D297" s="2" t="s">
        <v>431</v>
      </c>
      <c r="E297" s="6">
        <v>1200</v>
      </c>
      <c r="F297" s="18">
        <v>4884.13</v>
      </c>
      <c r="G297" s="18">
        <v>1655.82</v>
      </c>
      <c r="H297" s="18">
        <v>4351.93</v>
      </c>
      <c r="I297" s="18">
        <v>81.09</v>
      </c>
      <c r="J297" s="18">
        <v>277.39999999999998</v>
      </c>
      <c r="K297" s="18"/>
      <c r="L297" s="13">
        <f>SUM(F297:K297)</f>
        <v>11250.37</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1600</v>
      </c>
      <c r="G299" s="18">
        <v>296.18</v>
      </c>
      <c r="H299" s="18">
        <v>271.60000000000002</v>
      </c>
      <c r="I299" s="18">
        <v>1265.97</v>
      </c>
      <c r="J299" s="18"/>
      <c r="K299" s="18"/>
      <c r="L299" s="13">
        <f>SUM(F299:K299)</f>
        <v>3433.75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5617.49</v>
      </c>
      <c r="G301" s="18"/>
      <c r="H301" s="18">
        <v>13363.38</v>
      </c>
      <c r="I301" s="18">
        <v>660.31</v>
      </c>
      <c r="J301" s="18"/>
      <c r="K301" s="18"/>
      <c r="L301" s="13">
        <f t="shared" ref="L301:L307" si="14">SUM(F301:K301)</f>
        <v>19641.18</v>
      </c>
      <c r="M301" s="8"/>
      <c r="N301" s="164"/>
    </row>
    <row r="302" spans="1:14" s="3" customFormat="1" ht="12.2" customHeight="1" x14ac:dyDescent="0.15">
      <c r="A302" s="1" t="s">
        <v>443</v>
      </c>
      <c r="B302" s="2" t="s">
        <v>358</v>
      </c>
      <c r="C302" s="2" t="s">
        <v>295</v>
      </c>
      <c r="D302" s="2" t="s">
        <v>431</v>
      </c>
      <c r="E302" s="6">
        <v>2200</v>
      </c>
      <c r="F302" s="18"/>
      <c r="G302" s="18"/>
      <c r="H302" s="18">
        <v>5947.69</v>
      </c>
      <c r="I302" s="18">
        <v>223.71</v>
      </c>
      <c r="J302" s="18"/>
      <c r="K302" s="18"/>
      <c r="L302" s="13">
        <f t="shared" si="14"/>
        <v>6171.4</v>
      </c>
      <c r="M302" s="8"/>
      <c r="N302" s="164"/>
    </row>
    <row r="303" spans="1:14" s="3" customFormat="1" ht="12.2" customHeight="1" x14ac:dyDescent="0.15">
      <c r="A303" s="1" t="s">
        <v>444</v>
      </c>
      <c r="B303" s="2" t="s">
        <v>358</v>
      </c>
      <c r="C303" s="2" t="s">
        <v>296</v>
      </c>
      <c r="D303" s="2" t="s">
        <v>431</v>
      </c>
      <c r="E303" s="6">
        <v>2300</v>
      </c>
      <c r="F303" s="18"/>
      <c r="G303" s="18"/>
      <c r="H303" s="18">
        <v>6736.9</v>
      </c>
      <c r="I303" s="18"/>
      <c r="J303" s="18"/>
      <c r="K303" s="18">
        <v>7196.85</v>
      </c>
      <c r="L303" s="13">
        <f t="shared" si="14"/>
        <v>13933.75</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v>475</v>
      </c>
      <c r="I305" s="18"/>
      <c r="J305" s="18"/>
      <c r="K305" s="18"/>
      <c r="L305" s="13">
        <f t="shared" si="14"/>
        <v>475</v>
      </c>
      <c r="M305" s="8"/>
      <c r="N305" s="164"/>
    </row>
    <row r="306" spans="1:14" s="3" customFormat="1" ht="12.2" customHeight="1" x14ac:dyDescent="0.15">
      <c r="A306" s="1" t="s">
        <v>447</v>
      </c>
      <c r="B306" s="2" t="s">
        <v>358</v>
      </c>
      <c r="C306" s="2" t="s">
        <v>299</v>
      </c>
      <c r="D306" s="2" t="s">
        <v>431</v>
      </c>
      <c r="E306" s="6">
        <v>2600</v>
      </c>
      <c r="F306" s="18"/>
      <c r="G306" s="18"/>
      <c r="H306" s="18">
        <v>3197.4</v>
      </c>
      <c r="I306" s="18"/>
      <c r="J306" s="18"/>
      <c r="K306" s="18"/>
      <c r="L306" s="13">
        <f t="shared" si="14"/>
        <v>3197.4</v>
      </c>
      <c r="M306" s="8"/>
      <c r="N306" s="164"/>
    </row>
    <row r="307" spans="1:14" s="3" customFormat="1" ht="12.2" customHeight="1" x14ac:dyDescent="0.15">
      <c r="A307" s="1" t="s">
        <v>448</v>
      </c>
      <c r="B307" s="2" t="s">
        <v>358</v>
      </c>
      <c r="C307" s="2" t="s">
        <v>300</v>
      </c>
      <c r="D307" s="2" t="s">
        <v>431</v>
      </c>
      <c r="E307" s="6">
        <v>2700</v>
      </c>
      <c r="F307" s="18"/>
      <c r="G307" s="18"/>
      <c r="H307" s="18">
        <v>154.81</v>
      </c>
      <c r="I307" s="18"/>
      <c r="J307" s="18"/>
      <c r="K307" s="18"/>
      <c r="L307" s="13">
        <f t="shared" si="14"/>
        <v>154.81</v>
      </c>
      <c r="M307" s="8"/>
      <c r="N307" s="164"/>
    </row>
    <row r="308" spans="1:14" s="3" customFormat="1" ht="12.2" customHeight="1" x14ac:dyDescent="0.15">
      <c r="A308" s="1" t="s">
        <v>449</v>
      </c>
      <c r="B308" s="2" t="s">
        <v>358</v>
      </c>
      <c r="C308" s="2" t="s">
        <v>343</v>
      </c>
      <c r="D308" s="2" t="s">
        <v>431</v>
      </c>
      <c r="E308" s="6">
        <v>2800</v>
      </c>
      <c r="F308" s="18">
        <v>7174.2</v>
      </c>
      <c r="G308" s="18">
        <v>984.16</v>
      </c>
      <c r="H308" s="18">
        <v>21214.25</v>
      </c>
      <c r="I308" s="18">
        <v>4584.3500000000004</v>
      </c>
      <c r="J308" s="18">
        <v>16736</v>
      </c>
      <c r="K308" s="18"/>
      <c r="L308" s="13">
        <f>SUM(F308:K308)</f>
        <v>50692.959999999999</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39216.92</v>
      </c>
      <c r="G310" s="39">
        <f t="shared" si="15"/>
        <v>11778.26</v>
      </c>
      <c r="H310" s="39">
        <f t="shared" si="15"/>
        <v>70881.279999999999</v>
      </c>
      <c r="I310" s="39">
        <f t="shared" si="15"/>
        <v>41932.729999999996</v>
      </c>
      <c r="J310" s="39">
        <f t="shared" si="15"/>
        <v>17808.46</v>
      </c>
      <c r="K310" s="39">
        <f t="shared" si="15"/>
        <v>7196.85</v>
      </c>
      <c r="L310" s="38">
        <f t="shared" si="15"/>
        <v>188814.49999999997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31905.759999999998</v>
      </c>
      <c r="G315" s="18">
        <v>14147.37</v>
      </c>
      <c r="H315" s="18">
        <v>24269.31</v>
      </c>
      <c r="I315" s="18">
        <v>56187.68</v>
      </c>
      <c r="J315" s="18">
        <v>1272.0899999999999</v>
      </c>
      <c r="K315" s="18"/>
      <c r="L315" s="13">
        <f>SUM(F315:K315)</f>
        <v>127782.20999999999</v>
      </c>
      <c r="M315" s="8"/>
      <c r="N315" s="164"/>
    </row>
    <row r="316" spans="1:14" s="3" customFormat="1" ht="12.2" customHeight="1" x14ac:dyDescent="0.15">
      <c r="A316" s="1" t="s">
        <v>439</v>
      </c>
      <c r="B316" s="2" t="s">
        <v>359</v>
      </c>
      <c r="C316" s="2" t="s">
        <v>291</v>
      </c>
      <c r="D316" s="2" t="s">
        <v>431</v>
      </c>
      <c r="E316" s="6">
        <v>1200</v>
      </c>
      <c r="F316" s="18">
        <v>7814.61</v>
      </c>
      <c r="G316" s="18">
        <v>2649.32</v>
      </c>
      <c r="H316" s="18">
        <v>6963.09</v>
      </c>
      <c r="I316" s="18">
        <v>129.74</v>
      </c>
      <c r="J316" s="18">
        <v>443.84</v>
      </c>
      <c r="K316" s="18"/>
      <c r="L316" s="13">
        <f>SUM(F316:K316)</f>
        <v>18000.600000000002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2560</v>
      </c>
      <c r="G318" s="18">
        <v>473.88</v>
      </c>
      <c r="H318" s="18">
        <v>434.56</v>
      </c>
      <c r="I318" s="18">
        <v>2025.56</v>
      </c>
      <c r="J318" s="18"/>
      <c r="K318" s="18"/>
      <c r="L318" s="13">
        <f>SUM(F318:K318)</f>
        <v>5494</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8987.99</v>
      </c>
      <c r="G320" s="18"/>
      <c r="H320" s="18">
        <v>21381.4</v>
      </c>
      <c r="I320" s="18">
        <v>1056.5</v>
      </c>
      <c r="J320" s="18"/>
      <c r="K320" s="18"/>
      <c r="L320" s="13">
        <f t="shared" ref="L320:L326" si="16">SUM(F320:K320)</f>
        <v>31425.89</v>
      </c>
      <c r="M320" s="8"/>
      <c r="N320" s="164"/>
    </row>
    <row r="321" spans="1:14" s="3" customFormat="1" ht="12.2" customHeight="1" x14ac:dyDescent="0.15">
      <c r="A321" s="1" t="s">
        <v>443</v>
      </c>
      <c r="B321" s="2" t="s">
        <v>359</v>
      </c>
      <c r="C321" s="2" t="s">
        <v>295</v>
      </c>
      <c r="D321" s="2" t="s">
        <v>431</v>
      </c>
      <c r="E321" s="6">
        <v>2200</v>
      </c>
      <c r="F321" s="18"/>
      <c r="G321" s="18">
        <v>492.92</v>
      </c>
      <c r="H321" s="18">
        <v>9516.2999999999993</v>
      </c>
      <c r="I321" s="18">
        <v>1346.53</v>
      </c>
      <c r="J321" s="18"/>
      <c r="K321" s="18"/>
      <c r="L321" s="13">
        <f t="shared" si="16"/>
        <v>11355.75</v>
      </c>
      <c r="M321" s="8"/>
      <c r="N321" s="164"/>
    </row>
    <row r="322" spans="1:14" s="3" customFormat="1" ht="12.2" customHeight="1" x14ac:dyDescent="0.15">
      <c r="A322" s="1" t="s">
        <v>444</v>
      </c>
      <c r="B322" s="2" t="s">
        <v>359</v>
      </c>
      <c r="C322" s="2" t="s">
        <v>296</v>
      </c>
      <c r="D322" s="2" t="s">
        <v>431</v>
      </c>
      <c r="E322" s="6">
        <v>2300</v>
      </c>
      <c r="F322" s="18"/>
      <c r="G322" s="18"/>
      <c r="H322" s="18">
        <v>10779.04</v>
      </c>
      <c r="I322" s="18"/>
      <c r="J322" s="18"/>
      <c r="K322" s="18">
        <v>11514.96</v>
      </c>
      <c r="L322" s="13">
        <f t="shared" si="16"/>
        <v>22294</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v>760</v>
      </c>
      <c r="I324" s="18"/>
      <c r="J324" s="18"/>
      <c r="K324" s="18"/>
      <c r="L324" s="13">
        <f t="shared" si="16"/>
        <v>760</v>
      </c>
      <c r="M324" s="8"/>
      <c r="N324" s="164"/>
    </row>
    <row r="325" spans="1:14" s="3" customFormat="1" ht="12.2" customHeight="1" x14ac:dyDescent="0.15">
      <c r="A325" s="1" t="s">
        <v>447</v>
      </c>
      <c r="B325" s="2" t="s">
        <v>359</v>
      </c>
      <c r="C325" s="2" t="s">
        <v>299</v>
      </c>
      <c r="D325" s="2" t="s">
        <v>431</v>
      </c>
      <c r="E325" s="6">
        <v>2600</v>
      </c>
      <c r="F325" s="18"/>
      <c r="G325" s="18"/>
      <c r="H325" s="18">
        <v>5115.9399999999996</v>
      </c>
      <c r="I325" s="18"/>
      <c r="J325" s="18"/>
      <c r="K325" s="18"/>
      <c r="L325" s="13">
        <f t="shared" si="16"/>
        <v>5115.9399999999996</v>
      </c>
      <c r="M325" s="8"/>
      <c r="N325" s="164"/>
    </row>
    <row r="326" spans="1:14" s="3" customFormat="1" ht="12.2" customHeight="1" x14ac:dyDescent="0.15">
      <c r="A326" s="1" t="s">
        <v>448</v>
      </c>
      <c r="B326" s="2" t="s">
        <v>359</v>
      </c>
      <c r="C326" s="2" t="s">
        <v>300</v>
      </c>
      <c r="D326" s="2" t="s">
        <v>431</v>
      </c>
      <c r="E326" s="6">
        <v>2700</v>
      </c>
      <c r="F326" s="18"/>
      <c r="G326" s="18"/>
      <c r="H326" s="18">
        <v>247.7</v>
      </c>
      <c r="I326" s="18"/>
      <c r="J326" s="18"/>
      <c r="K326" s="18"/>
      <c r="L326" s="13">
        <f t="shared" si="16"/>
        <v>247.7</v>
      </c>
      <c r="M326" s="8"/>
      <c r="N326" s="164"/>
    </row>
    <row r="327" spans="1:14" s="3" customFormat="1" ht="12.2" customHeight="1" x14ac:dyDescent="0.15">
      <c r="A327" s="1" t="s">
        <v>449</v>
      </c>
      <c r="B327" s="2" t="s">
        <v>359</v>
      </c>
      <c r="C327" s="2" t="s">
        <v>343</v>
      </c>
      <c r="D327" s="2" t="s">
        <v>431</v>
      </c>
      <c r="E327" s="6">
        <v>2800</v>
      </c>
      <c r="F327" s="18">
        <v>11478.72</v>
      </c>
      <c r="G327" s="18">
        <v>1574.67</v>
      </c>
      <c r="H327" s="18">
        <v>33942.800000000003</v>
      </c>
      <c r="I327" s="18">
        <v>7334.95</v>
      </c>
      <c r="J327" s="18">
        <v>26777.599999999999</v>
      </c>
      <c r="K327" s="18"/>
      <c r="L327" s="13">
        <f>SUM(F327:K327)</f>
        <v>81108.739999999991</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62747.079999999994</v>
      </c>
      <c r="G329" s="39">
        <f t="shared" si="17"/>
        <v>19338.160000000003</v>
      </c>
      <c r="H329" s="39">
        <f t="shared" si="17"/>
        <v>113410.14000000001</v>
      </c>
      <c r="I329" s="39">
        <f t="shared" si="17"/>
        <v>68080.959999999992</v>
      </c>
      <c r="J329" s="39">
        <f t="shared" si="17"/>
        <v>28493.53</v>
      </c>
      <c r="K329" s="39">
        <f t="shared" si="17"/>
        <v>11514.96</v>
      </c>
      <c r="L329" s="38">
        <f t="shared" si="17"/>
        <v>303584.83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v>3140</v>
      </c>
      <c r="J337" s="18">
        <v>1170959.69</v>
      </c>
      <c r="K337" s="18"/>
      <c r="L337" s="13">
        <f t="shared" si="18"/>
        <v>1174099.69</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3140</v>
      </c>
      <c r="J338" s="38">
        <f t="shared" si="19"/>
        <v>1170959.69</v>
      </c>
      <c r="K338" s="38">
        <f t="shared" si="19"/>
        <v>0</v>
      </c>
      <c r="L338" s="38">
        <f t="shared" si="18"/>
        <v>1174099.69</v>
      </c>
      <c r="M338" s="8"/>
      <c r="N338" s="164"/>
    </row>
    <row r="339" spans="1:43" s="3" customFormat="1" ht="12.2" customHeight="1" thickTop="1" x14ac:dyDescent="0.15">
      <c r="A339" s="35" t="s">
        <v>468</v>
      </c>
      <c r="B339" s="37">
        <v>14</v>
      </c>
      <c r="C339" s="37">
        <v>7</v>
      </c>
      <c r="D339" s="36" t="s">
        <v>431</v>
      </c>
      <c r="E339" s="37"/>
      <c r="F339" s="38">
        <f t="shared" ref="F339:L339" si="20">F291+F310+F329+F338</f>
        <v>361768.28</v>
      </c>
      <c r="G339" s="38">
        <f t="shared" si="20"/>
        <v>147236.44</v>
      </c>
      <c r="H339" s="38">
        <f t="shared" si="20"/>
        <v>354529.43</v>
      </c>
      <c r="I339" s="38">
        <f t="shared" si="20"/>
        <v>215488.71</v>
      </c>
      <c r="J339" s="38">
        <f t="shared" si="20"/>
        <v>1260001.97</v>
      </c>
      <c r="K339" s="38">
        <f t="shared" si="20"/>
        <v>44557.27</v>
      </c>
      <c r="L339" s="38">
        <f t="shared" si="20"/>
        <v>2383582.1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59843.27</v>
      </c>
      <c r="L342" s="13">
        <f>SUM(F342:K342)</f>
        <v>59843.27</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7454.23</v>
      </c>
      <c r="L343" s="13">
        <f>SUM(F343:K343)</f>
        <v>7454.23</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67297.5</v>
      </c>
      <c r="L352" s="38">
        <f>SUM(L342:L351)</f>
        <v>67297.5</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361768.28</v>
      </c>
      <c r="G353" s="38">
        <f>G339</f>
        <v>147236.44</v>
      </c>
      <c r="H353" s="38">
        <f>H339</f>
        <v>354529.43</v>
      </c>
      <c r="I353" s="38">
        <f>I339</f>
        <v>215488.71</v>
      </c>
      <c r="J353" s="38">
        <f>J339</f>
        <v>1260001.97</v>
      </c>
      <c r="K353" s="38">
        <f>K339+K352</f>
        <v>111854.76999999999</v>
      </c>
      <c r="L353" s="38">
        <f>L339+L352</f>
        <v>2450879.6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37763.19</v>
      </c>
      <c r="I359" s="18">
        <f>25572.54+4593.18</f>
        <v>30165.72</v>
      </c>
      <c r="J359" s="18"/>
      <c r="K359" s="18">
        <v>15014.67</v>
      </c>
      <c r="L359" s="13">
        <f>SUM(F359:K359)</f>
        <v>82943.58</v>
      </c>
      <c r="M359" s="8"/>
      <c r="N359" s="164"/>
    </row>
    <row r="360" spans="1:22" s="3" customFormat="1" ht="12.2" customHeight="1" x14ac:dyDescent="0.15">
      <c r="A360" s="1" t="s">
        <v>542</v>
      </c>
      <c r="B360" s="2" t="s">
        <v>366</v>
      </c>
      <c r="C360" s="6">
        <v>2</v>
      </c>
      <c r="D360" s="2" t="s">
        <v>431</v>
      </c>
      <c r="E360" s="6"/>
      <c r="F360" s="18"/>
      <c r="G360" s="18"/>
      <c r="H360" s="18">
        <v>15734.67</v>
      </c>
      <c r="I360" s="18">
        <f>10655.23+1913.82</f>
        <v>12569.05</v>
      </c>
      <c r="J360" s="18"/>
      <c r="K360" s="18">
        <v>6256.11</v>
      </c>
      <c r="L360" s="13">
        <f>SUM(F360:K360)</f>
        <v>34559.83</v>
      </c>
      <c r="M360" s="8"/>
      <c r="N360" s="164"/>
    </row>
    <row r="361" spans="1:22" s="3" customFormat="1" ht="12.2" customHeight="1" x14ac:dyDescent="0.15">
      <c r="A361" s="3" t="s">
        <v>543</v>
      </c>
      <c r="B361" s="2" t="s">
        <v>366</v>
      </c>
      <c r="C361" s="6">
        <v>3</v>
      </c>
      <c r="D361" s="2" t="s">
        <v>431</v>
      </c>
      <c r="E361" s="6"/>
      <c r="F361" s="18"/>
      <c r="G361" s="18"/>
      <c r="H361" s="18">
        <v>25175.46</v>
      </c>
      <c r="I361" s="18">
        <f>17048.35+3062.12</f>
        <v>20110.469999999998</v>
      </c>
      <c r="J361" s="18"/>
      <c r="K361" s="18">
        <v>10009.77</v>
      </c>
      <c r="L361" s="13">
        <f>SUM(F361:K361)</f>
        <v>55295.7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78673.320000000007</v>
      </c>
      <c r="I363" s="38">
        <f t="shared" si="22"/>
        <v>62845.240000000005</v>
      </c>
      <c r="J363" s="38">
        <f t="shared" si="22"/>
        <v>0</v>
      </c>
      <c r="K363" s="38">
        <f t="shared" si="22"/>
        <v>31280.55</v>
      </c>
      <c r="L363" s="38">
        <f t="shared" si="22"/>
        <v>172799.11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25185.07+4593.18</f>
        <v>29778.25</v>
      </c>
      <c r="G368" s="18">
        <f>10493.78+1913.82</f>
        <v>12407.6</v>
      </c>
      <c r="H368" s="18">
        <f>16790.04+3062.12</f>
        <v>19852.16</v>
      </c>
      <c r="I368" s="13">
        <f>SUM(F368:H368)</f>
        <v>62038.009999999995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387.47</v>
      </c>
      <c r="G369" s="53">
        <v>161.44999999999999</v>
      </c>
      <c r="H369" s="53">
        <v>258.31</v>
      </c>
      <c r="I369" s="13">
        <f>SUM(F369:H369)</f>
        <v>807.23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30165.72</v>
      </c>
      <c r="G370" s="38">
        <f>SUM(G368:G369)</f>
        <v>12569.050000000001</v>
      </c>
      <c r="H370" s="38">
        <f>SUM(H368:H369)</f>
        <v>20110.47</v>
      </c>
      <c r="I370" s="38">
        <f>SUM(I368:I369)</f>
        <v>62845.24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376.6</v>
      </c>
      <c r="I397" s="18"/>
      <c r="J397" s="23" t="s">
        <v>288</v>
      </c>
      <c r="K397" s="23" t="s">
        <v>288</v>
      </c>
      <c r="L397" s="13">
        <f t="shared" si="26"/>
        <v>376.6</v>
      </c>
      <c r="M397" s="8"/>
      <c r="N397" s="164"/>
    </row>
    <row r="398" spans="1:14" s="3" customFormat="1" ht="12.2" customHeight="1" x14ac:dyDescent="0.15">
      <c r="A398" s="62" t="s">
        <v>515</v>
      </c>
      <c r="B398" s="2" t="s">
        <v>381</v>
      </c>
      <c r="C398" s="6">
        <v>10</v>
      </c>
      <c r="D398" s="2" t="s">
        <v>432</v>
      </c>
      <c r="E398" s="6"/>
      <c r="F398" s="18"/>
      <c r="G398" s="18"/>
      <c r="H398" s="18">
        <v>32.08</v>
      </c>
      <c r="I398" s="18"/>
      <c r="J398" s="23" t="s">
        <v>288</v>
      </c>
      <c r="K398" s="23" t="s">
        <v>288</v>
      </c>
      <c r="L398" s="13">
        <f t="shared" si="26"/>
        <v>32.08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408.68</v>
      </c>
      <c r="I402" s="38">
        <f>SUM(I396:I401)</f>
        <v>0</v>
      </c>
      <c r="J402" s="42" t="s">
        <v>288</v>
      </c>
      <c r="K402" s="42" t="s">
        <v>288</v>
      </c>
      <c r="L402" s="38">
        <f>SUM(L396:L401)</f>
        <v>408.68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408.68</v>
      </c>
      <c r="I409" s="38">
        <f>I394+I402+I408</f>
        <v>0</v>
      </c>
      <c r="J409" s="23" t="s">
        <v>288</v>
      </c>
      <c r="K409" s="23" t="s">
        <v>288</v>
      </c>
      <c r="L409" s="38">
        <f>L394+L402+L408</f>
        <v>408.68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v>252008.32000000001</v>
      </c>
      <c r="K423" s="18"/>
      <c r="L423" s="13">
        <f t="shared" si="29"/>
        <v>252008.32000000001</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252008.32000000001</v>
      </c>
      <c r="K428" s="38">
        <f t="shared" si="30"/>
        <v>0</v>
      </c>
      <c r="L428" s="38">
        <f t="shared" si="30"/>
        <v>252008.32000000001</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252008.32000000001</v>
      </c>
      <c r="K435" s="38">
        <f t="shared" si="32"/>
        <v>0</v>
      </c>
      <c r="L435" s="38">
        <f t="shared" si="32"/>
        <v>252008.32000000001</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124146.63</v>
      </c>
      <c r="H443" s="18" t="s">
        <v>286</v>
      </c>
      <c r="I443" s="13">
        <f t="shared" si="33"/>
        <v>124146.63</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124146.63</v>
      </c>
      <c r="H447" s="13">
        <f>SUM(H440:H446)</f>
        <v>0</v>
      </c>
      <c r="I447" s="13">
        <f>SUM(I440:I446)</f>
        <v>124146.63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124146.63</v>
      </c>
      <c r="H457" s="18"/>
      <c r="I457" s="13">
        <f t="shared" si="34"/>
        <v>124146.63</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124146.63</v>
      </c>
      <c r="H461" s="65">
        <f>SUM(H455:H460)</f>
        <v>0</v>
      </c>
      <c r="I461" s="65">
        <f>SUM(I455:I460)</f>
        <v>124146.63</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124146.63</v>
      </c>
      <c r="H462" s="39">
        <f>H453+H461</f>
        <v>0</v>
      </c>
      <c r="I462" s="39">
        <f>I453+I461</f>
        <v>124146.63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411395.67</v>
      </c>
      <c r="G466" s="18">
        <v>83407.429999999993</v>
      </c>
      <c r="H466" s="18">
        <v>14570.01</v>
      </c>
      <c r="I466" s="18"/>
      <c r="J466" s="18">
        <v>407275.13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6410683.3499999996</v>
      </c>
      <c r="G469" s="18">
        <v>141790.04</v>
      </c>
      <c r="H469" s="18">
        <f>2150201.2+295584.02</f>
        <v>2445785.2200000002</v>
      </c>
      <c r="I469" s="18"/>
      <c r="J469" s="18">
        <f>376.6+32.08</f>
        <v>408.68</v>
      </c>
      <c r="K469" s="23" t="s">
        <v>288</v>
      </c>
      <c r="L469" s="23" t="s">
        <v>288</v>
      </c>
      <c r="N469" s="130"/>
    </row>
    <row r="470" spans="1:14" ht="12.2" customHeight="1" x14ac:dyDescent="0.2">
      <c r="A470" s="71" t="s">
        <v>611</v>
      </c>
      <c r="B470" s="22">
        <v>19</v>
      </c>
      <c r="C470" s="31">
        <v>3</v>
      </c>
      <c r="D470" s="2" t="s">
        <v>432</v>
      </c>
      <c r="E470" s="31"/>
      <c r="F470" s="18" t="s">
        <v>286</v>
      </c>
      <c r="G470" s="18"/>
      <c r="H470" s="18">
        <f>26657.07+14044.2</f>
        <v>40701.270000000004</v>
      </c>
      <c r="I470" s="18"/>
      <c r="J470" s="18"/>
      <c r="K470" s="23" t="s">
        <v>288</v>
      </c>
      <c r="L470" s="23" t="s">
        <v>288</v>
      </c>
      <c r="N470" s="130"/>
    </row>
    <row r="471" spans="1:14" ht="12.2" customHeight="1" x14ac:dyDescent="0.2">
      <c r="A471" s="32" t="s">
        <v>425</v>
      </c>
      <c r="B471" s="22">
        <v>19</v>
      </c>
      <c r="C471" s="31">
        <v>4</v>
      </c>
      <c r="D471" s="2" t="s">
        <v>432</v>
      </c>
      <c r="E471" s="31"/>
      <c r="F471" s="19">
        <f>SUM(F469:F470)</f>
        <v>6410683.3499999996</v>
      </c>
      <c r="G471" s="19">
        <f>SUM(G469:G470)</f>
        <v>141790.04</v>
      </c>
      <c r="H471" s="19">
        <f>SUM(H469:H470)</f>
        <v>2486486.4900000002</v>
      </c>
      <c r="I471" s="19">
        <f>SUM(I469:I470)</f>
        <v>0</v>
      </c>
      <c r="J471" s="19">
        <f>SUM(J469:J470)</f>
        <v>408.68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6551086.16</f>
        <v>6551086.1600000001</v>
      </c>
      <c r="G473" s="18">
        <v>172799.11</v>
      </c>
      <c r="H473" s="18">
        <v>2450879.6</v>
      </c>
      <c r="I473" s="18"/>
      <c r="J473" s="18">
        <v>252008.32000000001</v>
      </c>
      <c r="K473" s="23" t="s">
        <v>288</v>
      </c>
      <c r="L473" s="23" t="s">
        <v>288</v>
      </c>
      <c r="N473" s="130"/>
    </row>
    <row r="474" spans="1:14" ht="12.2" customHeight="1" x14ac:dyDescent="0.2">
      <c r="A474" s="71" t="s">
        <v>613</v>
      </c>
      <c r="B474" s="22">
        <v>19</v>
      </c>
      <c r="C474" s="31">
        <v>6</v>
      </c>
      <c r="D474" s="2" t="s">
        <v>432</v>
      </c>
      <c r="E474" s="31"/>
      <c r="F474" s="18" t="s">
        <v>286</v>
      </c>
      <c r="G474" s="18"/>
      <c r="H474" s="18">
        <f>0.01</f>
        <v>0.01</v>
      </c>
      <c r="I474" s="18"/>
      <c r="J474" s="18">
        <f>31.41+31496.68+0.77</f>
        <v>31528.86</v>
      </c>
      <c r="K474" s="23" t="s">
        <v>288</v>
      </c>
      <c r="L474" s="23" t="s">
        <v>288</v>
      </c>
      <c r="N474" s="130"/>
    </row>
    <row r="475" spans="1:14" ht="12.2" customHeight="1" x14ac:dyDescent="0.2">
      <c r="A475" s="32" t="s">
        <v>426</v>
      </c>
      <c r="B475" s="22">
        <v>19</v>
      </c>
      <c r="C475" s="31">
        <v>7</v>
      </c>
      <c r="D475" s="2" t="s">
        <v>432</v>
      </c>
      <c r="E475" s="31"/>
      <c r="F475" s="19">
        <f>SUM(F473:F474)</f>
        <v>6551086.1600000001</v>
      </c>
      <c r="G475" s="19">
        <f>SUM(G473:G474)</f>
        <v>172799.11</v>
      </c>
      <c r="H475" s="19">
        <f>SUM(H473:H474)</f>
        <v>2450879.61</v>
      </c>
      <c r="I475" s="19">
        <f>SUM(I473:I474)</f>
        <v>0</v>
      </c>
      <c r="J475" s="19">
        <f>SUM(J473:J474)</f>
        <v>283537.18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270992.8599999994</v>
      </c>
      <c r="G477" s="19">
        <f>(G466+G471)- G475</f>
        <v>52398.360000000015</v>
      </c>
      <c r="H477" s="19">
        <f>(H466+H471)- H475</f>
        <v>50176.89000000013</v>
      </c>
      <c r="I477" s="19">
        <f>(I466+I471)- I475</f>
        <v>0</v>
      </c>
      <c r="J477" s="19">
        <f>(J466+J471)- J475</f>
        <v>124146.63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t="s">
        <v>1844</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1845</v>
      </c>
      <c r="B484" s="73"/>
      <c r="C484" s="73"/>
      <c r="D484" s="73"/>
      <c r="E484" s="73"/>
      <c r="F484" s="73"/>
      <c r="G484" s="73"/>
      <c r="H484" s="73"/>
      <c r="I484" s="73" t="s">
        <v>18</v>
      </c>
      <c r="J484" s="73"/>
      <c r="K484" s="73"/>
      <c r="L484" s="73"/>
      <c r="N484" s="130"/>
    </row>
    <row r="485" spans="1:14" ht="12.2" customHeight="1" x14ac:dyDescent="0.2">
      <c r="A485" s="55" t="s">
        <v>1846</v>
      </c>
      <c r="B485" s="73"/>
      <c r="C485" s="73"/>
      <c r="D485" s="73"/>
      <c r="E485" s="73"/>
      <c r="F485" s="73"/>
      <c r="G485" s="73"/>
      <c r="H485" s="73"/>
      <c r="I485" s="73" t="s">
        <v>474</v>
      </c>
      <c r="J485" s="73"/>
      <c r="K485" s="73"/>
      <c r="L485" s="73"/>
      <c r="N485" s="130"/>
    </row>
    <row r="486" spans="1:14" ht="12.2" customHeight="1" x14ac:dyDescent="0.2">
      <c r="A486" s="55" t="s">
        <v>1847</v>
      </c>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298046.88+15612.84</f>
        <v>313659.72000000003</v>
      </c>
      <c r="G522" s="18">
        <f>178272.94+5146.31</f>
        <v>183419.25</v>
      </c>
      <c r="H522" s="18">
        <f>6629.13+10444.64</f>
        <v>17073.77</v>
      </c>
      <c r="I522" s="18">
        <f>651.83+1891.09</f>
        <v>2542.92</v>
      </c>
      <c r="J522" s="18">
        <f>665.76</f>
        <v>665.76</v>
      </c>
      <c r="K522" s="18"/>
      <c r="L522" s="69">
        <f>SUM(F522:K522)</f>
        <v>517361.42000000004</v>
      </c>
      <c r="N522" s="130"/>
    </row>
    <row r="523" spans="1:14" ht="12.2" customHeight="1" x14ac:dyDescent="0.2">
      <c r="A523" s="21" t="s">
        <v>634</v>
      </c>
      <c r="B523" s="22">
        <v>21</v>
      </c>
      <c r="C523" s="22">
        <v>2</v>
      </c>
      <c r="D523" s="2" t="s">
        <v>432</v>
      </c>
      <c r="E523" s="22"/>
      <c r="F523" s="18">
        <f>77888.06+4884.13</f>
        <v>82772.19</v>
      </c>
      <c r="G523" s="18">
        <f>34790.19+1655.82</f>
        <v>36446.01</v>
      </c>
      <c r="H523" s="18">
        <f>94976.29+4351.93</f>
        <v>99328.22</v>
      </c>
      <c r="I523" s="18">
        <f>81.09</f>
        <v>81.09</v>
      </c>
      <c r="J523" s="18">
        <f>277.4</f>
        <v>277.39999999999998</v>
      </c>
      <c r="K523" s="18"/>
      <c r="L523" s="69">
        <f>SUM(F523:K523)</f>
        <v>218904.91</v>
      </c>
      <c r="N523" s="130"/>
    </row>
    <row r="524" spans="1:14" ht="12.2" customHeight="1" thickBot="1" x14ac:dyDescent="0.25">
      <c r="A524" s="21" t="s">
        <v>635</v>
      </c>
      <c r="B524" s="22">
        <v>21</v>
      </c>
      <c r="C524" s="22">
        <v>3</v>
      </c>
      <c r="D524" s="2" t="s">
        <v>432</v>
      </c>
      <c r="E524" s="22"/>
      <c r="F524" s="18">
        <f>114661.8+7814.61</f>
        <v>122476.41</v>
      </c>
      <c r="G524" s="18">
        <f>64877.49+2649.32</f>
        <v>67526.81</v>
      </c>
      <c r="H524" s="18">
        <f>469060.69+6963.09</f>
        <v>476023.78</v>
      </c>
      <c r="I524" s="18">
        <f>129.74</f>
        <v>129.74</v>
      </c>
      <c r="J524" s="18">
        <f>443.84</f>
        <v>443.84</v>
      </c>
      <c r="K524" s="18"/>
      <c r="L524" s="69">
        <f>SUM(F524:K524)</f>
        <v>666600.57999999996</v>
      </c>
      <c r="N524" s="130"/>
    </row>
    <row r="525" spans="1:14" ht="12.2" customHeight="1" thickTop="1" x14ac:dyDescent="0.2">
      <c r="A525" s="97" t="s">
        <v>63</v>
      </c>
      <c r="B525" s="41">
        <v>21</v>
      </c>
      <c r="C525" s="41">
        <v>4</v>
      </c>
      <c r="D525" s="115" t="s">
        <v>432</v>
      </c>
      <c r="E525" s="41"/>
      <c r="F525" s="81">
        <f>SUM(F522:F524)</f>
        <v>518908.32000000007</v>
      </c>
      <c r="G525" s="81">
        <f t="shared" ref="G525:L525" si="36">SUM(G522:G524)</f>
        <v>287392.07</v>
      </c>
      <c r="H525" s="81">
        <f t="shared" si="36"/>
        <v>592425.77</v>
      </c>
      <c r="I525" s="81">
        <f t="shared" si="36"/>
        <v>2753.75</v>
      </c>
      <c r="J525" s="81">
        <f t="shared" si="36"/>
        <v>1387</v>
      </c>
      <c r="K525" s="81">
        <f t="shared" si="36"/>
        <v>0</v>
      </c>
      <c r="L525" s="70">
        <f t="shared" si="36"/>
        <v>1402866.9100000001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136096.76+13881.99</f>
        <v>149978.75</v>
      </c>
      <c r="G527" s="18">
        <f>85259.1+3060</f>
        <v>88319.1</v>
      </c>
      <c r="H527" s="18">
        <f>28194.02+32072.1</f>
        <v>60266.119999999995</v>
      </c>
      <c r="I527" s="18">
        <f>589.32+1584.74</f>
        <v>2174.06</v>
      </c>
      <c r="J527" s="18"/>
      <c r="K527" s="18">
        <f>1013.79</f>
        <v>1013.79</v>
      </c>
      <c r="L527" s="69">
        <f>SUM(F527:K527)</f>
        <v>301751.81999999995</v>
      </c>
      <c r="M527" s="8"/>
      <c r="N527" s="164"/>
    </row>
    <row r="528" spans="1:14" s="3" customFormat="1" ht="12.2" customHeight="1" x14ac:dyDescent="0.15">
      <c r="A528" s="21" t="s">
        <v>634</v>
      </c>
      <c r="B528" s="22">
        <v>21</v>
      </c>
      <c r="C528" s="22">
        <v>6</v>
      </c>
      <c r="D528" s="2" t="s">
        <v>432</v>
      </c>
      <c r="E528" s="22"/>
      <c r="F528" s="18">
        <f>38071.06+5617.49</f>
        <v>43688.549999999996</v>
      </c>
      <c r="G528" s="18">
        <f>22211.33</f>
        <v>22211.33</v>
      </c>
      <c r="H528" s="18">
        <f>11680.79+13363.38</f>
        <v>25044.17</v>
      </c>
      <c r="I528" s="18">
        <f>184.6+660.31</f>
        <v>844.91</v>
      </c>
      <c r="J528" s="18"/>
      <c r="K528" s="18">
        <f>281.17</f>
        <v>281.17</v>
      </c>
      <c r="L528" s="69">
        <f>SUM(F528:K528)</f>
        <v>92070.13</v>
      </c>
      <c r="M528" s="8"/>
      <c r="N528" s="164"/>
    </row>
    <row r="529" spans="1:14" s="3" customFormat="1" ht="12.2" customHeight="1" thickBot="1" x14ac:dyDescent="0.2">
      <c r="A529" s="21" t="s">
        <v>635</v>
      </c>
      <c r="B529" s="22">
        <v>21</v>
      </c>
      <c r="C529" s="22">
        <v>7</v>
      </c>
      <c r="D529" s="2" t="s">
        <v>432</v>
      </c>
      <c r="E529" s="22"/>
      <c r="F529" s="18">
        <f>62686.41+8987.99</f>
        <v>71674.400000000009</v>
      </c>
      <c r="G529" s="18">
        <f>21778.05</f>
        <v>21778.05</v>
      </c>
      <c r="H529" s="18">
        <f>15061.51+10043.99</f>
        <v>25105.5</v>
      </c>
      <c r="I529" s="18">
        <f>295.36+1056.5</f>
        <v>1351.8600000000001</v>
      </c>
      <c r="J529" s="18"/>
      <c r="K529" s="18"/>
      <c r="L529" s="69">
        <f>SUM(F529:K529)</f>
        <v>119909.81000000001</v>
      </c>
      <c r="M529" s="8"/>
      <c r="N529" s="164"/>
    </row>
    <row r="530" spans="1:14" s="3" customFormat="1" ht="12.2" customHeight="1" thickTop="1" x14ac:dyDescent="0.15">
      <c r="A530" s="97" t="s">
        <v>65</v>
      </c>
      <c r="B530" s="41">
        <v>21</v>
      </c>
      <c r="C530" s="41">
        <v>8</v>
      </c>
      <c r="D530" s="115" t="s">
        <v>432</v>
      </c>
      <c r="E530" s="41"/>
      <c r="F530" s="70">
        <f>SUM(F527:F529)</f>
        <v>265341.7</v>
      </c>
      <c r="G530" s="70">
        <f t="shared" ref="G530:L530" si="37">SUM(G527:G529)</f>
        <v>132308.48000000001</v>
      </c>
      <c r="H530" s="70">
        <f t="shared" si="37"/>
        <v>110415.79</v>
      </c>
      <c r="I530" s="70">
        <f t="shared" si="37"/>
        <v>4370.83</v>
      </c>
      <c r="J530" s="70">
        <f t="shared" si="37"/>
        <v>0</v>
      </c>
      <c r="K530" s="70">
        <f t="shared" si="37"/>
        <v>1294.96</v>
      </c>
      <c r="L530" s="70">
        <f t="shared" si="37"/>
        <v>513731.75999999995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3602.4</v>
      </c>
      <c r="G542" s="18">
        <v>86.04</v>
      </c>
      <c r="H542" s="18">
        <v>1072.73</v>
      </c>
      <c r="I542" s="18"/>
      <c r="J542" s="18"/>
      <c r="K542" s="18"/>
      <c r="L542" s="69">
        <f>SUM(F542:K542)</f>
        <v>4761.17</v>
      </c>
      <c r="M542" s="8"/>
      <c r="N542" s="164"/>
    </row>
    <row r="543" spans="1:14" s="3" customFormat="1" ht="12.2" customHeight="1" x14ac:dyDescent="0.15">
      <c r="A543" s="21" t="s">
        <v>634</v>
      </c>
      <c r="B543" s="22">
        <v>21</v>
      </c>
      <c r="C543" s="22">
        <v>18</v>
      </c>
      <c r="D543" s="2" t="s">
        <v>432</v>
      </c>
      <c r="E543" s="22"/>
      <c r="F543" s="18">
        <v>1501</v>
      </c>
      <c r="G543" s="18">
        <v>35.85</v>
      </c>
      <c r="H543" s="18">
        <v>446.96</v>
      </c>
      <c r="I543" s="18"/>
      <c r="J543" s="18"/>
      <c r="K543" s="18"/>
      <c r="L543" s="69">
        <f>SUM(F543:K543)</f>
        <v>1983.81</v>
      </c>
      <c r="M543" s="8"/>
      <c r="N543" s="164"/>
    </row>
    <row r="544" spans="1:14" s="3" customFormat="1" ht="12.2" customHeight="1" thickBot="1" x14ac:dyDescent="0.2">
      <c r="A544" s="21" t="s">
        <v>635</v>
      </c>
      <c r="B544" s="22">
        <v>21</v>
      </c>
      <c r="C544" s="22">
        <v>19</v>
      </c>
      <c r="D544" s="2" t="s">
        <v>432</v>
      </c>
      <c r="E544" s="22"/>
      <c r="F544" s="18">
        <v>2401.6</v>
      </c>
      <c r="G544" s="18">
        <v>57.36</v>
      </c>
      <c r="H544" s="18">
        <v>715.17</v>
      </c>
      <c r="I544" s="18"/>
      <c r="J544" s="18"/>
      <c r="K544" s="18"/>
      <c r="L544" s="69">
        <f>SUM(F544:K544)</f>
        <v>3174.13</v>
      </c>
      <c r="M544" s="8"/>
      <c r="N544" s="164"/>
    </row>
    <row r="545" spans="1:14" s="3" customFormat="1" ht="12.2" customHeight="1" thickTop="1" thickBot="1" x14ac:dyDescent="0.2">
      <c r="A545" s="93" t="s">
        <v>71</v>
      </c>
      <c r="B545" s="63">
        <v>21</v>
      </c>
      <c r="C545" s="63">
        <v>20</v>
      </c>
      <c r="D545" s="139" t="s">
        <v>432</v>
      </c>
      <c r="E545" s="63"/>
      <c r="F545" s="140">
        <f>SUM(F542:F544)</f>
        <v>7505</v>
      </c>
      <c r="G545" s="140">
        <f t="shared" ref="G545:L545" si="40">SUM(G542:G544)</f>
        <v>179.25</v>
      </c>
      <c r="H545" s="140">
        <f t="shared" si="40"/>
        <v>2234.86</v>
      </c>
      <c r="I545" s="140">
        <f t="shared" si="40"/>
        <v>0</v>
      </c>
      <c r="J545" s="140">
        <f t="shared" si="40"/>
        <v>0</v>
      </c>
      <c r="K545" s="140">
        <f t="shared" si="40"/>
        <v>0</v>
      </c>
      <c r="L545" s="140">
        <f t="shared" si="40"/>
        <v>9919.11</v>
      </c>
      <c r="M545" s="8"/>
      <c r="N545" s="164"/>
    </row>
    <row r="546" spans="1:14" s="3" customFormat="1" ht="12.2" customHeight="1" thickTop="1" x14ac:dyDescent="0.15">
      <c r="A546" s="75" t="s">
        <v>72</v>
      </c>
      <c r="B546" s="41">
        <v>21</v>
      </c>
      <c r="C546" s="41">
        <v>21</v>
      </c>
      <c r="D546" s="115" t="s">
        <v>432</v>
      </c>
      <c r="E546" s="41"/>
      <c r="F546" s="70">
        <f>F525+F530+F535+F540+F545</f>
        <v>791755.02</v>
      </c>
      <c r="G546" s="70">
        <f t="shared" ref="G546:L546" si="41">G525+G530+G535+G540+G545</f>
        <v>419879.80000000005</v>
      </c>
      <c r="H546" s="70">
        <f t="shared" si="41"/>
        <v>705076.42</v>
      </c>
      <c r="I546" s="70">
        <f t="shared" si="41"/>
        <v>7124.58</v>
      </c>
      <c r="J546" s="70">
        <f t="shared" si="41"/>
        <v>1387</v>
      </c>
      <c r="K546" s="70">
        <f t="shared" si="41"/>
        <v>1294.96</v>
      </c>
      <c r="L546" s="70">
        <f t="shared" si="41"/>
        <v>1926517.7800000003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517361.42000000004</v>
      </c>
      <c r="G550" s="69">
        <f>L527</f>
        <v>301751.81999999995</v>
      </c>
      <c r="H550" s="69">
        <f>L532</f>
        <v>0</v>
      </c>
      <c r="I550" s="69">
        <f>L537</f>
        <v>0</v>
      </c>
      <c r="J550" s="69">
        <f>L542</f>
        <v>4761.17</v>
      </c>
      <c r="K550" s="69">
        <f>SUM(F550:J550)</f>
        <v>823874.41</v>
      </c>
      <c r="L550" s="23" t="s">
        <v>288</v>
      </c>
      <c r="M550" s="8"/>
      <c r="N550" s="164"/>
    </row>
    <row r="551" spans="1:14" s="3" customFormat="1" ht="12.2" customHeight="1" x14ac:dyDescent="0.15">
      <c r="A551" s="21" t="s">
        <v>634</v>
      </c>
      <c r="B551" s="22">
        <v>21</v>
      </c>
      <c r="C551" s="22">
        <v>23</v>
      </c>
      <c r="D551" s="2" t="s">
        <v>432</v>
      </c>
      <c r="E551" s="22"/>
      <c r="F551" s="69">
        <f>L523</f>
        <v>218904.91</v>
      </c>
      <c r="G551" s="69">
        <f>L528</f>
        <v>92070.13</v>
      </c>
      <c r="H551" s="69">
        <f>L533</f>
        <v>0</v>
      </c>
      <c r="I551" s="69">
        <f>L538</f>
        <v>0</v>
      </c>
      <c r="J551" s="69">
        <f>L543</f>
        <v>1983.81</v>
      </c>
      <c r="K551" s="69">
        <f>SUM(F551:J551)</f>
        <v>312958.85000000003</v>
      </c>
      <c r="L551" s="23" t="s">
        <v>288</v>
      </c>
      <c r="M551" s="8"/>
      <c r="N551" s="164"/>
    </row>
    <row r="552" spans="1:14" s="3" customFormat="1" ht="12.2" customHeight="1" thickBot="1" x14ac:dyDescent="0.2">
      <c r="A552" s="21" t="s">
        <v>635</v>
      </c>
      <c r="B552" s="22">
        <v>21</v>
      </c>
      <c r="C552" s="22">
        <v>24</v>
      </c>
      <c r="D552" s="2" t="s">
        <v>432</v>
      </c>
      <c r="E552" s="22"/>
      <c r="F552" s="69">
        <f>L524</f>
        <v>666600.57999999996</v>
      </c>
      <c r="G552" s="69">
        <f>L529</f>
        <v>119909.81000000001</v>
      </c>
      <c r="H552" s="69">
        <f>L534</f>
        <v>0</v>
      </c>
      <c r="I552" s="69">
        <f>L539</f>
        <v>0</v>
      </c>
      <c r="J552" s="69">
        <f>L544</f>
        <v>3174.13</v>
      </c>
      <c r="K552" s="69">
        <f>SUM(F552:J552)</f>
        <v>789684.52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1402866.9100000001</v>
      </c>
      <c r="G553" s="70">
        <f t="shared" si="42"/>
        <v>513731.75999999995</v>
      </c>
      <c r="H553" s="70">
        <f t="shared" si="42"/>
        <v>0</v>
      </c>
      <c r="I553" s="70">
        <f t="shared" si="42"/>
        <v>0</v>
      </c>
      <c r="J553" s="70">
        <f t="shared" si="42"/>
        <v>9919.11</v>
      </c>
      <c r="K553" s="70">
        <f t="shared" si="42"/>
        <v>1926517.78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t="s">
        <v>286</v>
      </c>
      <c r="G580" s="18">
        <v>94976.29</v>
      </c>
      <c r="H580" s="18" t="s">
        <v>286</v>
      </c>
      <c r="I580" s="69">
        <f t="shared" si="47"/>
        <v>94976.29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t="s">
        <v>286</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10444.64</v>
      </c>
      <c r="G583" s="18">
        <v>4351.93</v>
      </c>
      <c r="H583" s="18">
        <f>6783.1+469060.69</f>
        <v>475843.79</v>
      </c>
      <c r="I583" s="69">
        <f t="shared" si="47"/>
        <v>490640.36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6628.13</v>
      </c>
      <c r="G584" s="18"/>
      <c r="H584" s="18" t="s">
        <v>286</v>
      </c>
      <c r="I584" s="69">
        <f t="shared" si="47"/>
        <v>6628.13</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27810.43</v>
      </c>
      <c r="I585" s="69">
        <f t="shared" si="47"/>
        <v>27810.43</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17072.77</v>
      </c>
      <c r="G589" s="79">
        <f t="shared" ref="G589:I589" si="48">SUM(G576:G588)</f>
        <v>99328.22</v>
      </c>
      <c r="H589" s="79">
        <f t="shared" si="48"/>
        <v>503654.22</v>
      </c>
      <c r="I589" s="79">
        <f t="shared" si="48"/>
        <v>620055.21000000008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76402.559999999998</v>
      </c>
      <c r="I592" s="18">
        <v>22637.78</v>
      </c>
      <c r="J592" s="18">
        <v>42445.86</v>
      </c>
      <c r="K592" s="80">
        <f t="shared" ref="K592:K598" si="49">SUM(H592:J592)</f>
        <v>141486.20000000001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f>1072.73+3688.44</f>
        <v>4761.17</v>
      </c>
      <c r="I593" s="18">
        <f>446.96+1536.85</f>
        <v>1983.81</v>
      </c>
      <c r="J593" s="18">
        <f>715.17+2458.96</f>
        <v>3174.13</v>
      </c>
      <c r="K593" s="80">
        <f t="shared" si="49"/>
        <v>9919.11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25248</v>
      </c>
      <c r="K594" s="80">
        <f t="shared" si="49"/>
        <v>25248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7632.54</v>
      </c>
      <c r="J595" s="18">
        <v>11590.22</v>
      </c>
      <c r="K595" s="80">
        <f t="shared" si="49"/>
        <v>19222.759999999998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2742.66</v>
      </c>
      <c r="I596" s="18">
        <v>1525</v>
      </c>
      <c r="J596" s="18">
        <v>3670</v>
      </c>
      <c r="K596" s="80">
        <f t="shared" si="49"/>
        <v>7937.66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83906.39</v>
      </c>
      <c r="I599" s="81">
        <f>SUM(I592:I598)</f>
        <v>33779.130000000005</v>
      </c>
      <c r="J599" s="81">
        <f>SUM(J592:J598)</f>
        <v>86128.209999999992</v>
      </c>
      <c r="K599" s="81">
        <f>SUM(K592:K598)</f>
        <v>203813.73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9829.91+2573.89+40166.4</f>
        <v>52570.2</v>
      </c>
      <c r="I605" s="18">
        <f>3392.19+1072.46+16736</f>
        <v>21200.65</v>
      </c>
      <c r="J605" s="18">
        <f>5199.72+1715.93+26777.6</f>
        <v>33693.25</v>
      </c>
      <c r="K605" s="80">
        <f>SUM(H605:J605)</f>
        <v>107464.1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52570.2</v>
      </c>
      <c r="I606" s="81">
        <f>SUM(I603:I605)</f>
        <v>21200.65</v>
      </c>
      <c r="J606" s="81">
        <f>SUM(J603:J605)</f>
        <v>33693.25</v>
      </c>
      <c r="K606" s="81">
        <f>SUM(K603:K605)</f>
        <v>107464.1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328233.57</v>
      </c>
      <c r="H618" s="80">
        <f>SUM(F52)</f>
        <v>328233.57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67417.799999999988</v>
      </c>
      <c r="H619" s="80">
        <f>SUM(G52)</f>
        <v>67417.799999999988</v>
      </c>
      <c r="I619" s="87" t="s">
        <v>872</v>
      </c>
      <c r="J619" s="80">
        <f>G619-H619</f>
        <v>0</v>
      </c>
      <c r="K619" s="80"/>
      <c r="L619" s="80"/>
      <c r="M619" s="8"/>
    </row>
    <row r="620" spans="1:14" s="3" customFormat="1" ht="12.2" customHeight="1" x14ac:dyDescent="0.15">
      <c r="A620" s="74"/>
      <c r="B620" s="22"/>
      <c r="C620" s="22"/>
      <c r="D620" s="22"/>
      <c r="E620" s="22"/>
      <c r="F620" s="87" t="s">
        <v>685</v>
      </c>
      <c r="G620" s="80">
        <f>SUM(H19)</f>
        <v>992047.27</v>
      </c>
      <c r="H620" s="80">
        <f>SUM(H52)</f>
        <v>992047.2699999999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124146.63</v>
      </c>
      <c r="H622" s="80">
        <f>SUM(J52)</f>
        <v>124146.63</v>
      </c>
      <c r="I622" s="87" t="s">
        <v>875</v>
      </c>
      <c r="J622" s="80">
        <f>G622-H622</f>
        <v>0</v>
      </c>
      <c r="K622" s="80"/>
      <c r="L622" s="80"/>
      <c r="M622" s="8"/>
    </row>
    <row r="623" spans="1:14" s="3" customFormat="1" ht="12.2" customHeight="1" x14ac:dyDescent="0.15">
      <c r="A623" s="74"/>
      <c r="B623" s="22"/>
      <c r="C623" s="22"/>
      <c r="D623" s="22"/>
      <c r="E623" s="22"/>
      <c r="F623" s="87" t="s">
        <v>861</v>
      </c>
      <c r="G623" s="80">
        <f>F51</f>
        <v>270992.86</v>
      </c>
      <c r="H623" s="80">
        <f>F477</f>
        <v>270992.8599999994</v>
      </c>
      <c r="I623" s="87" t="s">
        <v>101</v>
      </c>
      <c r="J623" s="80">
        <f t="shared" ref="J623:J656" si="51">G623-H623</f>
        <v>5.8207660913467407E-10</v>
      </c>
      <c r="K623" s="80"/>
      <c r="L623" s="80"/>
      <c r="M623" s="8"/>
    </row>
    <row r="624" spans="1:14" s="3" customFormat="1" ht="12.2" customHeight="1" x14ac:dyDescent="0.15">
      <c r="A624" s="74"/>
      <c r="B624" s="22"/>
      <c r="C624" s="85"/>
      <c r="D624" s="85"/>
      <c r="E624" s="85"/>
      <c r="F624" s="85" t="s">
        <v>862</v>
      </c>
      <c r="G624" s="80">
        <f>G51</f>
        <v>52398.359999999993</v>
      </c>
      <c r="H624" s="80">
        <f>G477</f>
        <v>52398.360000000015</v>
      </c>
      <c r="I624" s="87" t="s">
        <v>102</v>
      </c>
      <c r="J624" s="80">
        <f t="shared" si="51"/>
        <v>0</v>
      </c>
      <c r="K624" s="80"/>
      <c r="L624" s="80"/>
      <c r="M624" s="8"/>
    </row>
    <row r="625" spans="1:13" s="3" customFormat="1" ht="12.2" customHeight="1" x14ac:dyDescent="0.15">
      <c r="A625" s="74"/>
      <c r="B625" s="22"/>
      <c r="C625" s="22"/>
      <c r="D625" s="22"/>
      <c r="E625" s="22"/>
      <c r="F625" s="86" t="s">
        <v>863</v>
      </c>
      <c r="G625" s="80">
        <f>H51</f>
        <v>50176.89</v>
      </c>
      <c r="H625" s="80">
        <f>H477</f>
        <v>50176.89000000013</v>
      </c>
      <c r="I625" s="87" t="s">
        <v>103</v>
      </c>
      <c r="J625" s="80">
        <f t="shared" si="51"/>
        <v>-1.3096723705530167E-10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124146.63</v>
      </c>
      <c r="H627" s="80">
        <f>J477</f>
        <v>124146.63</v>
      </c>
      <c r="I627" s="87" t="s">
        <v>105</v>
      </c>
      <c r="J627" s="80">
        <f t="shared" si="51"/>
        <v>0</v>
      </c>
      <c r="K627" s="67"/>
      <c r="L627" s="69"/>
      <c r="M627" s="8"/>
    </row>
    <row r="628" spans="1:13" s="3" customFormat="1" ht="12.2" customHeight="1" x14ac:dyDescent="0.15">
      <c r="A628" s="21"/>
      <c r="B628" s="22"/>
      <c r="C628" s="22"/>
      <c r="D628" s="22"/>
      <c r="E628" s="22"/>
      <c r="F628" s="86" t="s">
        <v>658</v>
      </c>
      <c r="G628" s="80">
        <f>F194</f>
        <v>6410683.3499999996</v>
      </c>
      <c r="H628" s="80">
        <f>SUM(F469)</f>
        <v>6410683.3499999996</v>
      </c>
      <c r="I628" s="87" t="s">
        <v>106</v>
      </c>
      <c r="J628" s="80">
        <f>G628-H628</f>
        <v>0</v>
      </c>
      <c r="K628" s="67"/>
      <c r="L628" s="69"/>
      <c r="M628" s="8"/>
    </row>
    <row r="629" spans="1:13" s="3" customFormat="1" ht="12.2" customHeight="1" x14ac:dyDescent="0.15">
      <c r="A629" s="21"/>
      <c r="B629" s="22"/>
      <c r="C629" s="22"/>
      <c r="D629" s="22"/>
      <c r="E629" s="22"/>
      <c r="F629" s="86" t="s">
        <v>659</v>
      </c>
      <c r="G629" s="80">
        <f>G194</f>
        <v>141790.03999999998</v>
      </c>
      <c r="H629" s="80">
        <f>SUM(G469)</f>
        <v>141790.04</v>
      </c>
      <c r="I629" s="87" t="s">
        <v>107</v>
      </c>
      <c r="J629" s="80">
        <f>G629-H629</f>
        <v>0</v>
      </c>
      <c r="K629" s="67"/>
      <c r="L629" s="69"/>
      <c r="M629" s="8"/>
    </row>
    <row r="630" spans="1:13" s="3" customFormat="1" ht="12.2" customHeight="1" x14ac:dyDescent="0.15">
      <c r="A630" s="21"/>
      <c r="B630" s="22"/>
      <c r="C630" s="22"/>
      <c r="D630" s="22"/>
      <c r="E630" s="22"/>
      <c r="F630" s="86" t="s">
        <v>660</v>
      </c>
      <c r="G630" s="80">
        <f>H194</f>
        <v>2445785.2200000002</v>
      </c>
      <c r="H630" s="80">
        <f>SUM(H469)</f>
        <v>2445785.2200000002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408.68</v>
      </c>
      <c r="H632" s="80">
        <f>SUM(J469)</f>
        <v>408.68</v>
      </c>
      <c r="I632" s="87" t="s">
        <v>110</v>
      </c>
      <c r="J632" s="80">
        <f>G632-H632</f>
        <v>0</v>
      </c>
      <c r="K632" s="67"/>
      <c r="L632" s="69"/>
      <c r="M632" s="8"/>
    </row>
    <row r="633" spans="1:13" s="3" customFormat="1" ht="12.2" customHeight="1" x14ac:dyDescent="0.15">
      <c r="A633" s="21"/>
      <c r="B633" s="22"/>
      <c r="C633" s="22"/>
      <c r="D633" s="22"/>
      <c r="E633" s="22"/>
      <c r="F633" s="86" t="s">
        <v>394</v>
      </c>
      <c r="G633" s="80">
        <f>SUM(L272)</f>
        <v>6551086.1600000001</v>
      </c>
      <c r="H633" s="80">
        <f>SUM(F473)</f>
        <v>6551086.1600000001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2450879.6</v>
      </c>
      <c r="H634" s="80">
        <f>SUM(H473)</f>
        <v>2450879.6</v>
      </c>
      <c r="I634" s="87" t="s">
        <v>112</v>
      </c>
      <c r="J634" s="80">
        <f>G634-H634</f>
        <v>0</v>
      </c>
      <c r="K634" s="67"/>
      <c r="L634" s="69"/>
      <c r="M634" s="8"/>
    </row>
    <row r="635" spans="1:13" s="124" customFormat="1" ht="12.2" customHeight="1" x14ac:dyDescent="0.15">
      <c r="A635" s="21"/>
      <c r="B635" s="22"/>
      <c r="C635" s="22"/>
      <c r="D635" s="22"/>
      <c r="E635" s="22"/>
      <c r="F635" s="99" t="s">
        <v>247</v>
      </c>
      <c r="G635" s="80">
        <f>I363</f>
        <v>62845.240000000005</v>
      </c>
      <c r="H635" s="80">
        <f>I370</f>
        <v>62845.24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172799.11</v>
      </c>
      <c r="H636" s="80">
        <f>SUM(G473)</f>
        <v>172799.11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408.68</v>
      </c>
      <c r="H638" s="108">
        <f>SUM(J469)</f>
        <v>408.68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252008.32000000001</v>
      </c>
      <c r="H639" s="108">
        <f>SUM(J473)</f>
        <v>252008.32000000001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124146.63</v>
      </c>
      <c r="H641" s="80">
        <f>SUM(G462)</f>
        <v>124146.63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124146.63</v>
      </c>
      <c r="H643" s="80">
        <f>SUM(I462)</f>
        <v>124146.63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408.68</v>
      </c>
      <c r="H645" s="80">
        <f>H409</f>
        <v>408.68</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408.68</v>
      </c>
      <c r="H647" s="80">
        <f>L409</f>
        <v>408.68</v>
      </c>
      <c r="I647" s="87" t="s">
        <v>477</v>
      </c>
      <c r="J647" s="80">
        <f t="shared" si="51"/>
        <v>0</v>
      </c>
      <c r="K647" s="67"/>
      <c r="L647" s="69"/>
      <c r="M647" s="8"/>
    </row>
    <row r="648" spans="1:13" s="3" customFormat="1" ht="12.2" customHeight="1" x14ac:dyDescent="0.15">
      <c r="A648" s="21"/>
      <c r="B648" s="22"/>
      <c r="C648" s="22"/>
      <c r="D648" s="22"/>
      <c r="E648" s="22"/>
      <c r="F648" s="86" t="s">
        <v>51</v>
      </c>
      <c r="G648" s="80">
        <f>K599</f>
        <v>203813.73</v>
      </c>
      <c r="H648" s="80">
        <f>L209+L227+L245</f>
        <v>203813.72999999998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107464.1</v>
      </c>
      <c r="H649" s="80">
        <f>(J258+J339)-(J256+J337)</f>
        <v>107464.10000000009</v>
      </c>
      <c r="I649" s="87" t="s">
        <v>699</v>
      </c>
      <c r="J649" s="80">
        <f t="shared" si="51"/>
        <v>0</v>
      </c>
      <c r="K649" s="67"/>
      <c r="L649" s="69"/>
      <c r="M649" s="8"/>
    </row>
    <row r="650" spans="1:13" s="3" customFormat="1" ht="12.2" customHeight="1" x14ac:dyDescent="0.15">
      <c r="A650" s="21"/>
      <c r="B650" s="22"/>
      <c r="C650" s="22"/>
      <c r="D650" s="22"/>
      <c r="E650" s="22"/>
      <c r="F650" s="86" t="s">
        <v>387</v>
      </c>
      <c r="G650" s="80">
        <f>L209</f>
        <v>83906.39</v>
      </c>
      <c r="H650" s="80">
        <f>H599</f>
        <v>83906.39</v>
      </c>
      <c r="I650" s="87" t="s">
        <v>388</v>
      </c>
      <c r="J650" s="80">
        <f t="shared" si="51"/>
        <v>0</v>
      </c>
      <c r="K650" s="67"/>
      <c r="L650" s="69"/>
      <c r="M650" s="8"/>
    </row>
    <row r="651" spans="1:13" s="3" customFormat="1" ht="12.2" customHeight="1" x14ac:dyDescent="0.15">
      <c r="A651" s="21"/>
      <c r="B651" s="22"/>
      <c r="C651" s="22"/>
      <c r="D651" s="22"/>
      <c r="E651" s="22"/>
      <c r="F651" s="86" t="s">
        <v>392</v>
      </c>
      <c r="G651" s="80">
        <f>L227</f>
        <v>33779.129999999997</v>
      </c>
      <c r="H651" s="80">
        <f>I599</f>
        <v>33779.130000000005</v>
      </c>
      <c r="I651" s="87" t="s">
        <v>389</v>
      </c>
      <c r="J651" s="80">
        <f t="shared" si="51"/>
        <v>0</v>
      </c>
      <c r="K651" s="67"/>
      <c r="L651" s="69"/>
      <c r="M651" s="8"/>
    </row>
    <row r="652" spans="1:13" s="3" customFormat="1" ht="12.2" customHeight="1" x14ac:dyDescent="0.15">
      <c r="A652" s="21"/>
      <c r="B652" s="22"/>
      <c r="C652" s="22"/>
      <c r="D652" s="22"/>
      <c r="E652" s="22"/>
      <c r="F652" s="86" t="s">
        <v>393</v>
      </c>
      <c r="G652" s="80">
        <f>L245</f>
        <v>86128.21</v>
      </c>
      <c r="H652" s="80">
        <f>J599</f>
        <v>86128.209999999992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3343359.2400000007</v>
      </c>
      <c r="G661" s="13">
        <f>(L230+L310+L360)</f>
        <v>1528781.86</v>
      </c>
      <c r="H661" s="13">
        <f>(L248+L329+L361)</f>
        <v>2993929.0799999996</v>
      </c>
      <c r="I661" s="13">
        <f>SUM(F661:H661)</f>
        <v>7866070.1799999997</v>
      </c>
      <c r="J661" s="13"/>
      <c r="K661" s="13"/>
      <c r="L661" s="13"/>
      <c r="M661" s="9"/>
    </row>
    <row r="662" spans="1:13" s="3" customFormat="1" ht="12.2" customHeight="1" x14ac:dyDescent="0.2">
      <c r="A662" s="1" t="s">
        <v>127</v>
      </c>
      <c r="F662" s="13">
        <f>(L359/IF(SUM(L359:L361)=0,1,SUM(L359:L361))*(SUM(G97:G110)))</f>
        <v>21929.915503648139</v>
      </c>
      <c r="G662" s="13">
        <f>(L360/IF(SUM(L359:L361)=0,1,SUM(L359:L361))*(SUM(G97:G110)))</f>
        <v>9137.4661151645996</v>
      </c>
      <c r="H662" s="13">
        <f>(L361/IF(SUM(L359:L361)=0,1,SUM(L359:L361))*(SUM(G97:G110)))</f>
        <v>14619.938381187265</v>
      </c>
      <c r="I662" s="13">
        <f>SUM(F662:H662)</f>
        <v>45687.320000000007</v>
      </c>
      <c r="J662"/>
      <c r="K662" s="13"/>
      <c r="L662" s="13"/>
      <c r="M662" s="8"/>
    </row>
    <row r="663" spans="1:13" s="3" customFormat="1" ht="12.2" customHeight="1" x14ac:dyDescent="0.2">
      <c r="A663" s="1" t="s">
        <v>128</v>
      </c>
      <c r="F663" s="13">
        <f>(L209+L288)-(J209+J288)</f>
        <v>84277.94</v>
      </c>
      <c r="G663" s="13">
        <f>(L227+L307)-(J227+J307)</f>
        <v>33933.939999999995</v>
      </c>
      <c r="H663" s="13">
        <f>(L245+L326)-(J245+J326)</f>
        <v>86375.91</v>
      </c>
      <c r="I663" s="13">
        <f>SUM(F663:H663)</f>
        <v>204587.79</v>
      </c>
      <c r="J663"/>
      <c r="K663" s="13"/>
      <c r="L663" s="13"/>
      <c r="M663" s="9"/>
    </row>
    <row r="664" spans="1:13" s="3" customFormat="1" ht="12.2" customHeight="1" x14ac:dyDescent="0.15">
      <c r="A664" s="141" t="s">
        <v>129</v>
      </c>
      <c r="B664" s="124"/>
      <c r="C664" s="124"/>
      <c r="D664" s="124"/>
      <c r="E664" s="124"/>
      <c r="F664" s="142">
        <f>SUM(F576:F588)+SUM(H603:H605)+SUM(L612)</f>
        <v>69642.97</v>
      </c>
      <c r="G664" s="142">
        <f>SUM(G576:G588)+SUM(I603:I605)+L613</f>
        <v>120528.87</v>
      </c>
      <c r="H664" s="142">
        <f>SUM(H576:H588)+SUM(J603:J605)+L614</f>
        <v>537347.47</v>
      </c>
      <c r="I664" s="13">
        <f>SUM(F664:H664)</f>
        <v>727519.30999999994</v>
      </c>
      <c r="J664" s="13"/>
      <c r="K664" s="13"/>
      <c r="L664" s="13"/>
      <c r="M664" s="9"/>
    </row>
    <row r="665" spans="1:13" s="3" customFormat="1" ht="12.2" customHeight="1" x14ac:dyDescent="0.15">
      <c r="A665" s="1" t="s">
        <v>130</v>
      </c>
      <c r="F665" s="13">
        <f>F661-SUM(F662:F664)</f>
        <v>3167508.4144963524</v>
      </c>
      <c r="G665" s="13">
        <f>G661-SUM(G662:G664)</f>
        <v>1365181.5838848355</v>
      </c>
      <c r="H665" s="13">
        <f>H661-SUM(H662:H664)</f>
        <v>2355585.7616188126</v>
      </c>
      <c r="I665" s="13">
        <f>I661-SUM(I662:I664)</f>
        <v>6888275.7599999998</v>
      </c>
      <c r="J665" s="13"/>
      <c r="K665" s="13"/>
      <c r="L665" s="13"/>
      <c r="M665" s="8"/>
    </row>
    <row r="666" spans="1:13" s="3" customFormat="1" ht="12.2" customHeight="1" x14ac:dyDescent="0.2">
      <c r="A666" s="1" t="s">
        <v>131</v>
      </c>
      <c r="F666" s="182">
        <v>139.61000000000001</v>
      </c>
      <c r="G666" s="183">
        <v>53.9</v>
      </c>
      <c r="H666" s="183">
        <v>70.41</v>
      </c>
      <c r="I666" s="13">
        <f>SUM(F666:H666)</f>
        <v>263.92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22688.26</v>
      </c>
      <c r="G668" s="13">
        <f>ROUND(G665/G666,2)</f>
        <v>25328.04</v>
      </c>
      <c r="H668" s="13">
        <f>ROUND(H665/H666,2)</f>
        <v>33455.269999999997</v>
      </c>
      <c r="I668" s="13">
        <f>ROUND(I665/I666,2)</f>
        <v>26099.86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-4.5</v>
      </c>
      <c r="I671" s="13">
        <f>SUM(F671:H671)</f>
        <v>-4.5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22688.26</v>
      </c>
      <c r="G673" s="13">
        <f>ROUND((G665+G670)/(G666+G671),2)</f>
        <v>25328.04</v>
      </c>
      <c r="H673" s="13">
        <f>ROUND((H665+H670)/(H666+H671),2)</f>
        <v>35739.43</v>
      </c>
      <c r="I673" s="13">
        <f>ROUND((I665+I670)/(I666+I671),2)</f>
        <v>26552.6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22342.31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11446.45+4300</f>
        <v>15746.45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6595.86</f>
        <v>6595.86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f>1481.51</f>
        <v>1481.51</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18" sqref="B18"/>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Lisbon Regional</v>
      </c>
      <c r="C5" s="321"/>
      <c r="D5" s="321"/>
      <c r="E5" s="321"/>
      <c r="F5" s="321"/>
    </row>
    <row r="8" spans="1:9" ht="18" x14ac:dyDescent="0.25">
      <c r="A8" s="239" t="s">
        <v>1548</v>
      </c>
      <c r="F8" s="246" t="s">
        <v>1566</v>
      </c>
    </row>
    <row r="9" spans="1:9" ht="15" x14ac:dyDescent="0.2">
      <c r="A9" s="237" t="s">
        <v>1549</v>
      </c>
      <c r="B9" s="240">
        <f>'DOE25'!G97</f>
        <v>45687.32</v>
      </c>
      <c r="F9" s="237" t="s">
        <v>1562</v>
      </c>
    </row>
    <row r="10" spans="1:9" ht="15" x14ac:dyDescent="0.2">
      <c r="A10" s="237" t="s">
        <v>1550</v>
      </c>
      <c r="B10" s="240">
        <f>'DOE25'!G112-'DOE25'!G97</f>
        <v>0</v>
      </c>
      <c r="F10" s="237" t="s">
        <v>1563</v>
      </c>
    </row>
    <row r="11" spans="1:9" ht="15" x14ac:dyDescent="0.2">
      <c r="A11" s="237" t="s">
        <v>1551</v>
      </c>
      <c r="B11" s="240">
        <f>'DOE25'!G140</f>
        <v>2219.87</v>
      </c>
      <c r="F11" s="237" t="s">
        <v>1564</v>
      </c>
    </row>
    <row r="12" spans="1:9" ht="15" x14ac:dyDescent="0.2">
      <c r="A12" s="237" t="s">
        <v>1552</v>
      </c>
      <c r="B12" s="240">
        <f>'DOE25'!G170</f>
        <v>93882.849999999991</v>
      </c>
      <c r="F12" s="237" t="s">
        <v>1565</v>
      </c>
    </row>
    <row r="13" spans="1:9" ht="15" x14ac:dyDescent="0.2">
      <c r="A13" s="237" t="s">
        <v>1553</v>
      </c>
      <c r="B13" s="240">
        <f>'DOE25'!G193-'DOE25'!G180</f>
        <v>0</v>
      </c>
      <c r="F13" s="237" t="s">
        <v>1575</v>
      </c>
    </row>
    <row r="14" spans="1:9" ht="18" x14ac:dyDescent="0.25">
      <c r="A14" s="239" t="s">
        <v>732</v>
      </c>
      <c r="B14" s="241">
        <f>SUM(B9:B13)</f>
        <v>141790.03999999998</v>
      </c>
    </row>
    <row r="16" spans="1:9" ht="18" x14ac:dyDescent="0.25">
      <c r="A16" s="239" t="s">
        <v>783</v>
      </c>
      <c r="F16" s="246" t="s">
        <v>1567</v>
      </c>
    </row>
    <row r="17" spans="1:6" ht="15" x14ac:dyDescent="0.2">
      <c r="A17" s="237" t="s">
        <v>1554</v>
      </c>
      <c r="B17" s="240">
        <f>'DOE25'!L363-'DOE25'!L362</f>
        <v>172799.11</v>
      </c>
      <c r="F17" s="237" t="s">
        <v>1568</v>
      </c>
    </row>
    <row r="18" spans="1:6" ht="15" x14ac:dyDescent="0.2">
      <c r="A18" s="237" t="s">
        <v>1555</v>
      </c>
      <c r="B18" s="250"/>
      <c r="F18" s="246" t="s">
        <v>1592</v>
      </c>
    </row>
    <row r="19" spans="1:6" ht="18" x14ac:dyDescent="0.25">
      <c r="A19" s="239" t="s">
        <v>725</v>
      </c>
      <c r="B19" s="241">
        <f>SUM(B17:B18)</f>
        <v>172799.11</v>
      </c>
    </row>
    <row r="21" spans="1:6" ht="18.75" thickBot="1" x14ac:dyDescent="0.3">
      <c r="A21" s="239" t="s">
        <v>1556</v>
      </c>
    </row>
    <row r="22" spans="1:6" ht="18.75" thickTop="1" x14ac:dyDescent="0.25">
      <c r="A22" s="239" t="s">
        <v>1557</v>
      </c>
      <c r="B22" s="245">
        <f>B14-B19</f>
        <v>-31009.070000000007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83407.429999999993</v>
      </c>
      <c r="F31" s="237" t="s">
        <v>1572</v>
      </c>
    </row>
    <row r="33" spans="1:6" ht="15" x14ac:dyDescent="0.2">
      <c r="A33" s="237" t="s">
        <v>1790</v>
      </c>
      <c r="B33" s="240">
        <f>'DOE25'!G477</f>
        <v>52398.360000000015</v>
      </c>
      <c r="F33" s="237" t="s">
        <v>1573</v>
      </c>
    </row>
    <row r="36" spans="1:6" ht="15" x14ac:dyDescent="0.2">
      <c r="A36" s="237" t="s">
        <v>1559</v>
      </c>
      <c r="B36" s="251">
        <v>10512.1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Lisbon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1806402.61</v>
      </c>
      <c r="C9" s="166">
        <f>'DOE25'!G198+'DOE25'!G216+'DOE25'!G234+'DOE25'!G277+'DOE25'!G296+'DOE25'!G315</f>
        <v>956840.82</v>
      </c>
    </row>
    <row r="10" spans="1:3" x14ac:dyDescent="0.2">
      <c r="A10" t="s">
        <v>772</v>
      </c>
      <c r="B10" s="176">
        <f>1758847.31-18425.61</f>
        <v>1740421.7</v>
      </c>
      <c r="C10" s="176">
        <f>473046.62+425519.49+25437.55</f>
        <v>924003.66</v>
      </c>
    </row>
    <row r="11" spans="1:3" x14ac:dyDescent="0.2">
      <c r="A11" t="s">
        <v>773</v>
      </c>
      <c r="B11" s="176">
        <v>28009.41</v>
      </c>
      <c r="C11" s="176">
        <f>5932.34+24000</f>
        <v>29932.34</v>
      </c>
    </row>
    <row r="12" spans="1:3" x14ac:dyDescent="0.2">
      <c r="A12" t="s">
        <v>774</v>
      </c>
      <c r="B12" s="176">
        <f>21200+16771.5</f>
        <v>37971.5</v>
      </c>
      <c r="C12" s="176">
        <v>2904.82</v>
      </c>
    </row>
    <row r="13" spans="1:3" x14ac:dyDescent="0.2">
      <c r="A13" t="str">
        <f>IF(B9=B13,IF(C9=C13,"Check Total OK","Check Total Error"),"Check Total Error")</f>
        <v>Check Total OK</v>
      </c>
      <c r="B13" s="168">
        <f>SUM(B10:B12)</f>
        <v>1806402.6099999999</v>
      </c>
      <c r="C13" s="168">
        <f>SUM(C10:C12)</f>
        <v>956840.82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518908.32</v>
      </c>
      <c r="C18" s="166">
        <f>'DOE25'!G199+'DOE25'!G217+'DOE25'!G235+'DOE25'!G278+'DOE25'!G297+'DOE25'!G316</f>
        <v>287392.07</v>
      </c>
    </row>
    <row r="19" spans="1:3" x14ac:dyDescent="0.2">
      <c r="A19" t="s">
        <v>772</v>
      </c>
      <c r="B19" s="176">
        <v>251899.1</v>
      </c>
      <c r="C19" s="176">
        <f>19270.28+49193.94+60890.73</f>
        <v>129354.95000000001</v>
      </c>
    </row>
    <row r="20" spans="1:3" x14ac:dyDescent="0.2">
      <c r="A20" t="s">
        <v>773</v>
      </c>
      <c r="B20" s="176">
        <v>267009.21999999997</v>
      </c>
      <c r="C20" s="176">
        <f>20426.21+36126.35+101484.56</f>
        <v>158037.12</v>
      </c>
    </row>
    <row r="21" spans="1:3" x14ac:dyDescent="0.2">
      <c r="A21" t="s">
        <v>774</v>
      </c>
      <c r="B21" s="176"/>
      <c r="C21" s="176" t="s">
        <v>286</v>
      </c>
    </row>
    <row r="22" spans="1:3" x14ac:dyDescent="0.2">
      <c r="A22" t="str">
        <f>IF(B18=B22,IF(C18=C22,"Check Total OK","Check Total Error"),"Check Total Error")</f>
        <v>Check Total OK</v>
      </c>
      <c r="B22" s="168">
        <f>SUM(B19:B21)</f>
        <v>518908.31999999995</v>
      </c>
      <c r="C22" s="168">
        <f>SUM(C19:C21)</f>
        <v>287392.07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193751.5</v>
      </c>
      <c r="C27" s="171">
        <f>'DOE25'!G200+'DOE25'!G218+'DOE25'!G236+'DOE25'!G279+'DOE25'!G298+'DOE25'!G317</f>
        <v>68173.289999999994</v>
      </c>
    </row>
    <row r="28" spans="1:3" x14ac:dyDescent="0.2">
      <c r="A28" t="s">
        <v>772</v>
      </c>
      <c r="B28" s="176">
        <v>193751.5</v>
      </c>
      <c r="C28" s="176">
        <v>68173.289999999994</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193751.5</v>
      </c>
      <c r="C31" s="168">
        <f>SUM(C28:C30)</f>
        <v>68173.289999999994</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t="e">
        <f>'DOE25'!F201+'DOE25'!F219+'DOE25'!F237+'DOE25'!F280+'DOE25'!F299+'DOE25'!F318</f>
        <v>#VALUE!</v>
      </c>
      <c r="C36" s="172" t="e">
        <f>'DOE25'!G201+'DOE25'!G219+'DOE25'!G237+'DOE25'!G280+'DOE25'!G299+'DOE25'!G318</f>
        <v>#VALUE!</v>
      </c>
    </row>
    <row r="37" spans="1:3" x14ac:dyDescent="0.2">
      <c r="A37" t="s">
        <v>772</v>
      </c>
      <c r="B37" s="176">
        <v>80600</v>
      </c>
      <c r="C37" s="176">
        <f>13335.28+217.22</f>
        <v>13552.5</v>
      </c>
    </row>
    <row r="38" spans="1:3" x14ac:dyDescent="0.2">
      <c r="A38" t="s">
        <v>773</v>
      </c>
      <c r="B38" s="176">
        <v>11016.25</v>
      </c>
      <c r="C38" s="176">
        <f>5185.37-1429.15</f>
        <v>3756.22</v>
      </c>
    </row>
    <row r="39" spans="1:3" x14ac:dyDescent="0.2">
      <c r="A39" t="s">
        <v>774</v>
      </c>
      <c r="B39" s="176">
        <v>7200</v>
      </c>
      <c r="C39" s="176">
        <f>550.8+1406.16</f>
        <v>1956.96</v>
      </c>
    </row>
    <row r="40" spans="1:3" x14ac:dyDescent="0.2">
      <c r="A40" t="e">
        <f>IF(B36=B40,IF(C36=C40,"Check Total OK","Check Total Error"),"Check Total Error")</f>
        <v>#VALUE!</v>
      </c>
      <c r="B40" s="168">
        <f>SUM(B37:B39)</f>
        <v>98816.25</v>
      </c>
      <c r="C40" s="168">
        <f>SUM(C37:C39)</f>
        <v>19265.68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0" sqref="D1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Lisbon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4185588.26</v>
      </c>
      <c r="D5" s="19">
        <f>SUM('DOE25'!L198:L201)+SUM('DOE25'!L216:L219)+SUM('DOE25'!L234:L237)-F5-G5-H5</f>
        <v>4175344.88</v>
      </c>
      <c r="E5" s="179"/>
      <c r="F5" s="180"/>
      <c r="G5" s="19">
        <f>SUM('DOE25'!J198:J201)+SUM('DOE25'!J216:J219)+SUM('DOE25'!J234:J237)</f>
        <v>7563.62</v>
      </c>
      <c r="H5" s="19">
        <f>SUM('DOE25'!K198:K201)+SUM('DOE25'!K216:K219)+SUM('DOE25'!K234:K237)</f>
        <v>2679.76</v>
      </c>
      <c r="I5" s="191"/>
    </row>
    <row r="6" spans="1:9" x14ac:dyDescent="0.2">
      <c r="A6" s="31">
        <v>2100</v>
      </c>
      <c r="B6" t="s">
        <v>793</v>
      </c>
      <c r="C6" s="205">
        <f t="shared" si="0"/>
        <v>423403.27</v>
      </c>
      <c r="D6" s="19">
        <f>'DOE25'!L203+'DOE25'!L221+'DOE25'!L239-F6-G6-H6</f>
        <v>422108.31</v>
      </c>
      <c r="E6" s="179"/>
      <c r="F6" s="180"/>
      <c r="G6" s="19">
        <f>'DOE25'!J203+'DOE25'!J221+'DOE25'!J239</f>
        <v>0</v>
      </c>
      <c r="H6" s="19">
        <f>'DOE25'!K203+'DOE25'!K221+'DOE25'!K239</f>
        <v>1294.96</v>
      </c>
      <c r="I6" s="191"/>
    </row>
    <row r="7" spans="1:9" x14ac:dyDescent="0.2">
      <c r="A7" s="31">
        <v>2200</v>
      </c>
      <c r="B7" t="s">
        <v>817</v>
      </c>
      <c r="C7" s="205">
        <f t="shared" si="0"/>
        <v>135150.54999999999</v>
      </c>
      <c r="D7" s="19">
        <f>'DOE25'!L204+'DOE25'!L222+'DOE25'!L240-F7-G7-H7</f>
        <v>128722.05999999998</v>
      </c>
      <c r="E7" s="179"/>
      <c r="F7" s="180"/>
      <c r="G7" s="19">
        <f>'DOE25'!J204+'DOE25'!J222+'DOE25'!J240</f>
        <v>0</v>
      </c>
      <c r="H7" s="19">
        <f>'DOE25'!K204+'DOE25'!K222+'DOE25'!K240</f>
        <v>6428.49</v>
      </c>
      <c r="I7" s="191"/>
    </row>
    <row r="8" spans="1:9" x14ac:dyDescent="0.2">
      <c r="A8" s="31">
        <v>2300</v>
      </c>
      <c r="B8" t="s">
        <v>794</v>
      </c>
      <c r="C8" s="205">
        <f t="shared" si="0"/>
        <v>259529.38</v>
      </c>
      <c r="D8" s="179"/>
      <c r="E8" s="19">
        <f>'DOE25'!L205+'DOE25'!L223+'DOE25'!L241-F8-G8-H8-D9-D11</f>
        <v>251292.94</v>
      </c>
      <c r="F8" s="180"/>
      <c r="G8" s="19">
        <f>'DOE25'!J205+'DOE25'!J223+'DOE25'!J241</f>
        <v>0</v>
      </c>
      <c r="H8" s="19">
        <f>'DOE25'!K205+'DOE25'!K223+'DOE25'!K241</f>
        <v>8236.4399999999987</v>
      </c>
      <c r="I8" s="191"/>
    </row>
    <row r="9" spans="1:9" ht="14.25" x14ac:dyDescent="0.2">
      <c r="A9" s="31">
        <v>2310</v>
      </c>
      <c r="B9" s="71" t="s">
        <v>884</v>
      </c>
      <c r="C9" s="205">
        <f t="shared" si="0"/>
        <v>85747.13</v>
      </c>
      <c r="D9" s="180">
        <v>85747.13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397559.06999999995</v>
      </c>
      <c r="D12" s="19">
        <f>'DOE25'!L206+'DOE25'!L224+'DOE25'!L242-F12-G12-H12</f>
        <v>393819.82999999996</v>
      </c>
      <c r="E12" s="179"/>
      <c r="F12" s="180"/>
      <c r="G12" s="19">
        <f>'DOE25'!J206+'DOE25'!J224+'DOE25'!J242</f>
        <v>0</v>
      </c>
      <c r="H12" s="19">
        <f>'DOE25'!K206+'DOE25'!K224+'DOE25'!K242</f>
        <v>3739.2400000000002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677295.41999999993</v>
      </c>
      <c r="D14" s="19">
        <f>'DOE25'!L208+'DOE25'!L226+'DOE25'!L244-F14-G14-H14</f>
        <v>677295.41999999993</v>
      </c>
      <c r="E14" s="179"/>
      <c r="F14" s="180"/>
      <c r="G14" s="19">
        <f>'DOE25'!J208+'DOE25'!J226+'DOE25'!J244</f>
        <v>0</v>
      </c>
      <c r="H14" s="19">
        <f>'DOE25'!K208+'DOE25'!K226+'DOE25'!K244</f>
        <v>0</v>
      </c>
      <c r="I14" s="191"/>
    </row>
    <row r="15" spans="1:9" x14ac:dyDescent="0.2">
      <c r="A15" s="31">
        <v>2700</v>
      </c>
      <c r="B15" t="s">
        <v>796</v>
      </c>
      <c r="C15" s="205">
        <f t="shared" si="0"/>
        <v>203813.72999999998</v>
      </c>
      <c r="D15" s="19">
        <f>'DOE25'!L209+'DOE25'!L227+'DOE25'!L245-F15-G15-H15</f>
        <v>87327.529999999984</v>
      </c>
      <c r="E15" s="179"/>
      <c r="F15" s="180">
        <v>116486.2</v>
      </c>
      <c r="G15" s="19">
        <f>'DOE25'!J209+'DOE25'!J227+'DOE25'!J245</f>
        <v>0</v>
      </c>
      <c r="H15" s="19">
        <f>'DOE25'!K209+'DOE25'!K227+'DOE25'!K245</f>
        <v>0</v>
      </c>
      <c r="I15" s="191"/>
    </row>
    <row r="16" spans="1:9" x14ac:dyDescent="0.2">
      <c r="A16" s="31">
        <v>2800</v>
      </c>
      <c r="B16" t="s">
        <v>797</v>
      </c>
      <c r="C16" s="205">
        <f t="shared" si="0"/>
        <v>115701.84999999999</v>
      </c>
      <c r="D16" s="179"/>
      <c r="E16" s="19">
        <f>'DOE25'!L210+'DOE25'!L228+'DOE25'!L246-F16-G16-H16</f>
        <v>104843.65</v>
      </c>
      <c r="F16" s="180"/>
      <c r="G16" s="19">
        <f>'DOE25'!J210+'DOE25'!J228+'DOE25'!J246</f>
        <v>10858.2</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1174099.69</v>
      </c>
      <c r="D22" s="179"/>
      <c r="E22" s="179"/>
      <c r="F22" s="179"/>
      <c r="G22" s="19">
        <f>'DOE25'!L256+'DOE25'!L337</f>
        <v>1174099.69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134595</v>
      </c>
      <c r="D25" s="179"/>
      <c r="E25" s="179"/>
      <c r="F25" s="190"/>
      <c r="G25" s="179"/>
      <c r="H25" s="179"/>
      <c r="I25" s="189">
        <f>'DOE25'!L261+'DOE25'!L262+'DOE25'!L342+'DOE25'!L343</f>
        <v>134595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48723.089999999982</v>
      </c>
      <c r="D29" s="211">
        <f>'DOE25'!L359+'DOE25'!L360+'DOE25'!L361-'DOE25'!I368-F29-G29-H29-F39</f>
        <v>17442.539999999986</v>
      </c>
      <c r="E29" s="179"/>
      <c r="F29" s="179"/>
      <c r="G29" s="19">
        <f>'DOE25'!J359+'DOE25'!J360+'DOE25'!J361</f>
        <v>0</v>
      </c>
      <c r="H29" s="19">
        <f>'DOE25'!K359+'DOE25'!K360+'DOE25'!K361</f>
        <v>31280.55</v>
      </c>
      <c r="I29" s="191"/>
    </row>
    <row r="30" spans="1:9" x14ac:dyDescent="0.2">
      <c r="A30" s="31"/>
      <c r="C30" s="206"/>
      <c r="D30" s="19"/>
      <c r="F30" s="200"/>
      <c r="G30" s="19"/>
      <c r="H30" s="19"/>
      <c r="I30" s="191"/>
    </row>
    <row r="31" spans="1:9" x14ac:dyDescent="0.2">
      <c r="A31" s="31" t="s">
        <v>814</v>
      </c>
      <c r="B31" t="s">
        <v>813</v>
      </c>
      <c r="C31" s="205">
        <f>SUM(D31:I31)</f>
        <v>1209482.4100000001</v>
      </c>
      <c r="D31" s="19">
        <f>'DOE25'!L291+'DOE25'!L310+'DOE25'!L329+'DOE25'!L334+'DOE25'!L335+'DOE25'!L336-F31-G31-H31</f>
        <v>796157.85000000009</v>
      </c>
      <c r="E31" s="179"/>
      <c r="F31" s="180">
        <v>279725.01</v>
      </c>
      <c r="G31" s="19">
        <f>'DOE25'!J291+'DOE25'!J310+'DOE25'!J329+'DOE25'!J334+'DOE25'!J335+'DOE25'!J336</f>
        <v>89042.28</v>
      </c>
      <c r="H31" s="19">
        <f>'DOE25'!K291+'DOE25'!K310+'DOE25'!K329+'DOE25'!K334+'DOE25'!K335+'DOE25'!K336</f>
        <v>44557.27</v>
      </c>
      <c r="I31" s="191"/>
    </row>
    <row r="32" spans="1:9" ht="12" thickBot="1" x14ac:dyDescent="0.25">
      <c r="C32" s="206"/>
      <c r="G32" s="187"/>
      <c r="H32" s="187"/>
      <c r="I32" s="193"/>
    </row>
    <row r="33" spans="1:9" ht="12" thickTop="1" x14ac:dyDescent="0.2">
      <c r="B33" t="s">
        <v>806</v>
      </c>
      <c r="D33" s="181">
        <f t="shared" ref="D33:I33" si="1">SUM(D5:D31)</f>
        <v>6783965.5499999989</v>
      </c>
      <c r="E33" s="181">
        <f t="shared" si="1"/>
        <v>356136.58999999997</v>
      </c>
      <c r="F33" s="181">
        <f t="shared" si="1"/>
        <v>396211.21</v>
      </c>
      <c r="G33" s="181">
        <f t="shared" si="1"/>
        <v>1281563.79</v>
      </c>
      <c r="H33" s="181">
        <f t="shared" si="1"/>
        <v>98216.709999999992</v>
      </c>
      <c r="I33" s="181">
        <f t="shared" si="1"/>
        <v>134595</v>
      </c>
    </row>
    <row r="34" spans="1:9" ht="12" thickBot="1" x14ac:dyDescent="0.25"/>
    <row r="35" spans="1:9" ht="12" thickBot="1" x14ac:dyDescent="0.25">
      <c r="B35" s="187" t="s">
        <v>827</v>
      </c>
      <c r="D35" s="188">
        <f>E33</f>
        <v>356136.58999999997</v>
      </c>
      <c r="E35" s="184"/>
      <c r="F35" s="294" t="s">
        <v>1596</v>
      </c>
      <c r="G35" s="295"/>
      <c r="H35" s="295"/>
      <c r="I35" s="296"/>
    </row>
    <row r="36" spans="1:9" ht="12" thickTop="1" x14ac:dyDescent="0.2">
      <c r="B36" t="s">
        <v>807</v>
      </c>
      <c r="D36" s="19">
        <f>D33</f>
        <v>6783965.5499999989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62038.01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4" zoomScale="90" zoomScaleNormal="90" workbookViewId="0">
      <selection activeCell="L12" sqref="L12"/>
    </sheetView>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Lisbon Regional</v>
      </c>
      <c r="B2">
        <f>'DOE25'!B2</f>
        <v>306</v>
      </c>
      <c r="J2" s="223" t="s">
        <v>1799</v>
      </c>
      <c r="K2" s="308">
        <f>SUM('DOE25'!L198:L201)+SUM('DOE25'!L277:L280)</f>
        <v>1937167.61</v>
      </c>
      <c r="L2" s="308">
        <f>'DOE25'!L203+'DOE25'!L282</f>
        <v>298722.32</v>
      </c>
      <c r="M2" s="308">
        <f>'DOE25'!L204+'DOE25'!L283</f>
        <v>81742.34</v>
      </c>
      <c r="N2" s="308">
        <f>'DOE25'!L206+'DOE25'!L285</f>
        <v>143541.44999999998</v>
      </c>
      <c r="O2" s="316">
        <f>'Salaries-Benefits'!B10+'Salaries-Benefits'!B12+'Salaries-Benefits'!B19+'Salaries-Benefits'!B21+'Salaries-Benefits'!B28+'Salaries-Benefits'!B30+'Salaries-Benefits'!B37+'Salaries-Benefits'!B39</f>
        <v>2311843.7999999998</v>
      </c>
      <c r="P2" s="316">
        <f>'Salaries-Benefits'!B11+'Salaries-Benefits'!B20+'Salaries-Benefits'!B29+'Salaries-Benefits'!B38</f>
        <v>306034.87999999995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3260415.6599999997</v>
      </c>
      <c r="G4" s="228">
        <f>'DOE25'!L212+'DOE25'!L291</f>
        <v>3260415.6600000006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6628.13</v>
      </c>
      <c r="E5" s="219">
        <f>10444.64</f>
        <v>10444.64</v>
      </c>
      <c r="F5" s="231">
        <f>D5+E5</f>
        <v>17072.77</v>
      </c>
      <c r="G5" s="222"/>
      <c r="H5" s="222"/>
      <c r="J5" s="71" t="s">
        <v>1840</v>
      </c>
      <c r="K5" s="20">
        <v>17072.77</v>
      </c>
      <c r="L5" s="20"/>
      <c r="M5" s="20"/>
      <c r="N5" s="20"/>
      <c r="O5" s="20"/>
      <c r="P5" s="20"/>
      <c r="Q5" s="20"/>
    </row>
    <row r="6" spans="1:22" x14ac:dyDescent="0.2">
      <c r="A6" t="str" cm="1">
        <f t="array" ref="A6">IFERROR(INDEX('School Tables'!$A$4:$G$365,'School Tables'!$J4,3),"")</f>
        <v>Lisbon Regional School (Elem)</v>
      </c>
      <c r="B6" s="229">
        <f>IFERROR(VLOOKUP(A6,'School Tables'!$C$3:$D$365,2,FALSE),"")</f>
        <v>21420</v>
      </c>
      <c r="C6" s="222" t="str">
        <f>IFERROR(INDEX('School Tables'!$B$3:$B$365,MATCH('School Level Expenditures'!B6,'School Tables'!$D$3:$D$365,0)),"")</f>
        <v>Lisbon Regional</v>
      </c>
      <c r="D6" s="219">
        <v>2394266.0099999998</v>
      </c>
      <c r="E6" s="219">
        <f>531302.01+317774.87</f>
        <v>849076.88</v>
      </c>
      <c r="F6" s="231">
        <f t="shared" ref="F6:F20" si="2">D6+E6</f>
        <v>3243342.8899999997</v>
      </c>
      <c r="G6" s="222"/>
      <c r="H6" s="222"/>
      <c r="J6" t="str">
        <f t="shared" ref="J6:J20" si="3">A6</f>
        <v>Lisbon Regional School (Elem)</v>
      </c>
      <c r="K6" s="20">
        <f>1919971.89+122.95</f>
        <v>1920094.8399999999</v>
      </c>
      <c r="L6" s="20">
        <v>298722.32</v>
      </c>
      <c r="M6" s="307">
        <v>81742.34</v>
      </c>
      <c r="N6" s="20">
        <v>143541.45000000001</v>
      </c>
      <c r="O6" s="20">
        <v>933586.72</v>
      </c>
      <c r="P6" s="20">
        <v>235080.22</v>
      </c>
      <c r="Q6" s="20">
        <v>889.69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2400894.1399999997</v>
      </c>
      <c r="E21" s="261">
        <f>SUM(E5:E20)</f>
        <v>859521.52</v>
      </c>
      <c r="F21" s="216"/>
      <c r="G21" s="216"/>
      <c r="H21" s="216"/>
      <c r="K21" s="262">
        <f t="shared" ref="K21:Q21" si="4">SUM(K5:K20)</f>
        <v>1937167.6099999999</v>
      </c>
      <c r="L21" s="262">
        <f t="shared" si="4"/>
        <v>298722.32</v>
      </c>
      <c r="M21" s="262">
        <f t="shared" si="4"/>
        <v>81742.34</v>
      </c>
      <c r="N21" s="262">
        <f t="shared" si="4"/>
        <v>143541.45000000001</v>
      </c>
      <c r="O21" s="262">
        <f t="shared" si="4"/>
        <v>933586.72</v>
      </c>
      <c r="P21" s="262">
        <f t="shared" si="4"/>
        <v>235080.22</v>
      </c>
      <c r="Q21" s="262">
        <f t="shared" si="4"/>
        <v>889.69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945948.13</v>
      </c>
      <c r="L23" s="19">
        <f>'DOE25'!L221+'DOE25'!L301</f>
        <v>92070.13</v>
      </c>
      <c r="M23" s="19">
        <f>'DOE25'!L222+'DOE25'!L302</f>
        <v>43071.66</v>
      </c>
      <c r="N23" s="19">
        <f>'DOE25'!L224+'DOE25'!L304</f>
        <v>89452.319999999992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1494222.03</v>
      </c>
      <c r="G25" s="228">
        <f>'DOE25'!L230+'DOE25'!L310</f>
        <v>1494222.03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94976.29</v>
      </c>
      <c r="E26" s="219">
        <v>4351.93</v>
      </c>
      <c r="F26" s="231">
        <f>D26+E26</f>
        <v>99328.22</v>
      </c>
      <c r="G26" s="222"/>
      <c r="H26" s="222"/>
      <c r="J26" s="71" t="s">
        <v>1840</v>
      </c>
      <c r="K26" s="315"/>
      <c r="L26" s="315"/>
      <c r="M26" s="315"/>
      <c r="N26" s="315"/>
      <c r="O26" s="315"/>
      <c r="P26" s="315"/>
      <c r="Q26" s="315"/>
    </row>
    <row r="27" spans="1:17" x14ac:dyDescent="0.2">
      <c r="A27" t="str" cm="1">
        <f t="array" ref="A27">IFERROR(INDEX('School Tables'!$L$4:$R$100,'School Tables'!$U4,3),"")</f>
        <v>Lisbon Regional School (Middle)</v>
      </c>
      <c r="B27" s="229">
        <f>IFERROR(VLOOKUP(A27,'School Tables'!$N$4:$O$100,2,FALSE),"")</f>
        <v>23095</v>
      </c>
      <c r="C27" s="222" t="str">
        <f>IFERROR(INDEX('School Tables'!$M$4:$M$100,MATCH('School Level Expenditures'!A27,'School Tables'!$N$4:$N$100,0)),"")</f>
        <v>Lisbon Regional</v>
      </c>
      <c r="D27" s="219">
        <v>1210431.24</v>
      </c>
      <c r="E27" s="219">
        <v>184462.57</v>
      </c>
      <c r="F27" s="231">
        <f t="shared" ref="F27:F33" si="6">D27+E27</f>
        <v>1394893.81</v>
      </c>
      <c r="G27" s="222"/>
      <c r="H27" s="222"/>
      <c r="J27" t="str">
        <f t="shared" ref="J27:J33" si="7">A27</f>
        <v>Lisbon Regional School (Middle)</v>
      </c>
      <c r="K27" s="20">
        <v>945948.13</v>
      </c>
      <c r="L27" s="20">
        <v>92070.13</v>
      </c>
      <c r="M27" s="307">
        <v>43071.66</v>
      </c>
      <c r="N27" s="20">
        <v>89452.32</v>
      </c>
      <c r="O27" s="20">
        <v>472699.2</v>
      </c>
      <c r="P27" s="20">
        <v>35821.480000000003</v>
      </c>
      <c r="Q27" s="20">
        <v>627.91999999999996</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1305407.53</v>
      </c>
      <c r="E34" s="261">
        <f>SUM(E26:E33)</f>
        <v>188814.5</v>
      </c>
      <c r="F34" s="216"/>
      <c r="G34" s="216"/>
      <c r="H34" s="216"/>
      <c r="K34" s="262">
        <f t="shared" ref="K34:Q34" si="8">SUM(K26:K33)</f>
        <v>945948.13</v>
      </c>
      <c r="L34" s="262">
        <f t="shared" si="8"/>
        <v>92070.13</v>
      </c>
      <c r="M34" s="262">
        <f t="shared" si="8"/>
        <v>43071.66</v>
      </c>
      <c r="N34" s="262">
        <f t="shared" si="8"/>
        <v>89452.32</v>
      </c>
      <c r="O34" s="262">
        <f t="shared" si="8"/>
        <v>472699.2</v>
      </c>
      <c r="P34" s="262">
        <f t="shared" si="8"/>
        <v>35821.480000000003</v>
      </c>
      <c r="Q34" s="262">
        <f t="shared" si="8"/>
        <v>627.91999999999996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2030137.2999999996</v>
      </c>
      <c r="L36" s="19">
        <f>'DOE25'!L239+'DOE25'!L320</f>
        <v>131247.22</v>
      </c>
      <c r="M36" s="19">
        <f>'DOE25'!L240+'DOE25'!L321</f>
        <v>42675.05</v>
      </c>
      <c r="N36" s="19">
        <f>'DOE25'!L242+'DOE25'!L323</f>
        <v>164565.29999999999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2938633.38</v>
      </c>
      <c r="G38" s="228">
        <f>'DOE25'!L248+'DOE25'!L329</f>
        <v>2938633.3799999994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469060.69+27810.43</f>
        <v>496871.12</v>
      </c>
      <c r="E39" s="219">
        <v>6783.1</v>
      </c>
      <c r="F39" s="231">
        <f t="shared" ref="F39:F44" si="10">D39+E39</f>
        <v>503654.22</v>
      </c>
      <c r="G39" s="222"/>
      <c r="H39" s="222"/>
      <c r="J39" s="71" t="s">
        <v>1840</v>
      </c>
      <c r="K39" s="315"/>
      <c r="L39" s="315"/>
      <c r="M39" s="315"/>
      <c r="N39" s="315"/>
      <c r="O39" s="315"/>
      <c r="P39" s="315"/>
      <c r="Q39" s="315"/>
    </row>
    <row r="40" spans="1:17" x14ac:dyDescent="0.2">
      <c r="A40" t="str" cm="1">
        <f t="array" ref="A40">IFERROR(INDEX('School Tables'!$W$4:$AC$120,'School Tables'!$AF4,3),"")</f>
        <v>Lisbon Regional School (High)</v>
      </c>
      <c r="B40" s="229">
        <f>IFERROR(VLOOKUP(A40,'School Tables'!$Y$4:$Z$120,2,FALSE),"")</f>
        <v>23100</v>
      </c>
      <c r="C40" s="222" t="str">
        <f>IFERROR(INDEX('School Tables'!$X$4:$X$120,MATCH('School Level Expenditures'!A40,'School Tables'!$Y$4:$Y$120,0)),"")</f>
        <v>Lisbon Regional</v>
      </c>
      <c r="D40" s="219">
        <v>2138177.4300000002</v>
      </c>
      <c r="E40" s="219">
        <v>296801.73</v>
      </c>
      <c r="F40" s="231">
        <f t="shared" si="10"/>
        <v>2434979.16</v>
      </c>
      <c r="G40" s="222"/>
      <c r="H40" s="222"/>
      <c r="J40" t="str">
        <f>A40</f>
        <v>Lisbon Regional School (High)</v>
      </c>
      <c r="K40" s="20">
        <v>2030137.3</v>
      </c>
      <c r="L40" s="20">
        <v>131247.22</v>
      </c>
      <c r="M40" s="307">
        <v>42675.05</v>
      </c>
      <c r="N40" s="20">
        <v>164565.29999999999</v>
      </c>
      <c r="O40" s="20">
        <v>905557.88</v>
      </c>
      <c r="P40" s="20">
        <v>35133.18</v>
      </c>
      <c r="Q40" s="20">
        <v>1637.8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2635048.5500000003</v>
      </c>
      <c r="E45" s="262">
        <f>SUM(E39:E44)</f>
        <v>303584.82999999996</v>
      </c>
      <c r="K45" s="262">
        <f t="shared" ref="K45:Q45" si="11">SUM(K39:K44)</f>
        <v>2030137.3</v>
      </c>
      <c r="L45" s="262">
        <f t="shared" si="11"/>
        <v>131247.22</v>
      </c>
      <c r="M45" s="262">
        <f t="shared" si="11"/>
        <v>42675.05</v>
      </c>
      <c r="N45" s="262">
        <f t="shared" si="11"/>
        <v>164565.29999999999</v>
      </c>
      <c r="O45" s="262">
        <f t="shared" si="11"/>
        <v>905557.88</v>
      </c>
      <c r="P45" s="262">
        <f t="shared" si="11"/>
        <v>35133.18</v>
      </c>
      <c r="Q45" s="262">
        <f t="shared" si="11"/>
        <v>1637.8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34" sqref="M34"/>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Lisbon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74187.42</v>
      </c>
      <c r="D8" s="73">
        <f>'DOE25'!G9</f>
        <v>0</v>
      </c>
      <c r="E8" s="73">
        <f>'DOE25'!H9</f>
        <v>0</v>
      </c>
      <c r="F8" s="73">
        <f>'DOE25'!I9</f>
        <v>0</v>
      </c>
      <c r="G8" s="73">
        <f>'DOE25'!J9</f>
        <v>0</v>
      </c>
      <c r="H8" s="13">
        <f>SUM(C8:G8)</f>
        <v>74187.42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234114.56</v>
      </c>
      <c r="D11" s="73">
        <f>'DOE25'!G12</f>
        <v>58532.2</v>
      </c>
      <c r="E11" s="73">
        <f>'DOE25'!H12</f>
        <v>-11005.279999999999</v>
      </c>
      <c r="F11" s="73">
        <f>'DOE25'!I12</f>
        <v>0</v>
      </c>
      <c r="G11" s="73">
        <f>'DOE25'!J12</f>
        <v>0</v>
      </c>
      <c r="H11" s="13">
        <f t="shared" si="0"/>
        <v>281641.48</v>
      </c>
      <c r="I11" s="90"/>
    </row>
    <row r="12" spans="1:9" x14ac:dyDescent="0.2">
      <c r="A12" s="1" t="s">
        <v>143</v>
      </c>
      <c r="B12" s="6">
        <v>140</v>
      </c>
      <c r="C12" s="73">
        <f>'DOE25'!F13</f>
        <v>0</v>
      </c>
      <c r="D12" s="73">
        <f>'DOE25'!G13</f>
        <v>12762.23</v>
      </c>
      <c r="E12" s="73">
        <f>'DOE25'!H13</f>
        <v>973146.55</v>
      </c>
      <c r="F12" s="73">
        <f>'DOE25'!I13</f>
        <v>0</v>
      </c>
      <c r="G12" s="73">
        <f>'DOE25'!J13</f>
        <v>124146.63</v>
      </c>
      <c r="H12" s="13">
        <f t="shared" si="0"/>
        <v>1110055.4100000001</v>
      </c>
      <c r="I12" s="90"/>
    </row>
    <row r="13" spans="1:9" x14ac:dyDescent="0.2">
      <c r="A13" s="1" t="s">
        <v>144</v>
      </c>
      <c r="B13" s="6">
        <v>150</v>
      </c>
      <c r="C13" s="73">
        <f>'DOE25'!F14</f>
        <v>4552.63</v>
      </c>
      <c r="D13" s="73">
        <f>'DOE25'!G14</f>
        <v>-3876.63</v>
      </c>
      <c r="E13" s="73">
        <f>'DOE25'!H14</f>
        <v>15336</v>
      </c>
      <c r="F13" s="73">
        <f>'DOE25'!I14</f>
        <v>0</v>
      </c>
      <c r="G13" s="73">
        <f>'DOE25'!J14</f>
        <v>0</v>
      </c>
      <c r="H13" s="13">
        <f t="shared" si="0"/>
        <v>16012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15378.96</v>
      </c>
      <c r="D16" s="73">
        <f>'DOE25'!G17</f>
        <v>0</v>
      </c>
      <c r="E16" s="73">
        <f>'DOE25'!H17</f>
        <v>14570</v>
      </c>
      <c r="F16" s="73">
        <f>'DOE25'!I17</f>
        <v>0</v>
      </c>
      <c r="G16" s="73">
        <f>'DOE25'!J17</f>
        <v>0</v>
      </c>
      <c r="H16" s="13">
        <f t="shared" si="0"/>
        <v>29948.959999999999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328233.57</v>
      </c>
      <c r="D18" s="38">
        <f>SUM(D8:D17)</f>
        <v>67417.799999999988</v>
      </c>
      <c r="E18" s="38">
        <f>SUM(E8:E17)</f>
        <v>992047.27</v>
      </c>
      <c r="F18" s="38">
        <f>SUM(F8:F17)</f>
        <v>0</v>
      </c>
      <c r="G18" s="38">
        <f>SUM(G8:G17)</f>
        <v>124146.63</v>
      </c>
      <c r="H18" s="38">
        <f t="shared" si="0"/>
        <v>1511845.27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t="str">
        <f>'DOE25'!F22</f>
        <v xml:space="preserve"> </v>
      </c>
      <c r="D21" s="73">
        <f>'DOE25'!G22</f>
        <v>0</v>
      </c>
      <c r="E21" s="73" t="str">
        <f>'DOE25'!H22</f>
        <v xml:space="preserve"> </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t="str">
        <f>'DOE25'!F24</f>
        <v xml:space="preserve"> </v>
      </c>
      <c r="D23" s="73">
        <f>'DOE25'!G24</f>
        <v>5311.87</v>
      </c>
      <c r="E23" s="73">
        <f>'DOE25'!H24</f>
        <v>895811.17999999993</v>
      </c>
      <c r="F23" s="73">
        <f>'DOE25'!I24</f>
        <v>0</v>
      </c>
      <c r="G23" s="73">
        <f>'DOE25'!J24</f>
        <v>0</v>
      </c>
      <c r="H23" s="13">
        <f t="shared" si="1"/>
        <v>901123.04999999993</v>
      </c>
      <c r="I23" s="90"/>
    </row>
    <row r="24" spans="1:9" x14ac:dyDescent="0.2">
      <c r="A24" s="1" t="s">
        <v>153</v>
      </c>
      <c r="B24" s="6">
        <v>430</v>
      </c>
      <c r="C24" s="73">
        <f>'DOE25'!F25</f>
        <v>49020.22</v>
      </c>
      <c r="D24" s="73">
        <f>'DOE25'!G25</f>
        <v>0</v>
      </c>
      <c r="E24" s="73">
        <f>'DOE25'!H25</f>
        <v>0</v>
      </c>
      <c r="F24" s="73">
        <f>'DOE25'!I25</f>
        <v>0</v>
      </c>
      <c r="G24" s="23" t="s">
        <v>288</v>
      </c>
      <c r="H24" s="13">
        <f t="shared" si="1"/>
        <v>49020.22</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8220.49</v>
      </c>
      <c r="D29" s="73">
        <f>'DOE25'!G30</f>
        <v>9707.57</v>
      </c>
      <c r="E29" s="73">
        <f>'DOE25'!H30</f>
        <v>46059.199999999997</v>
      </c>
      <c r="F29" s="73">
        <f>'DOE25'!I30</f>
        <v>0</v>
      </c>
      <c r="G29" s="23" t="s">
        <v>288</v>
      </c>
      <c r="H29" s="13">
        <f t="shared" si="1"/>
        <v>63987.259999999995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57240.71</v>
      </c>
      <c r="D31" s="38">
        <f>SUM(D21:D30)</f>
        <v>15019.439999999999</v>
      </c>
      <c r="E31" s="38">
        <f>SUM(E21:E30)</f>
        <v>941870.37999999989</v>
      </c>
      <c r="F31" s="38">
        <f>SUM(F21:F30)</f>
        <v>0</v>
      </c>
      <c r="G31" s="38">
        <f>SUM(G21:G30)</f>
        <v>0</v>
      </c>
      <c r="H31" s="38">
        <f t="shared" si="1"/>
        <v>1014130.5299999999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52398.359999999993</v>
      </c>
      <c r="E42" s="73">
        <f>'DOE25'!H43</f>
        <v>50176.89</v>
      </c>
      <c r="F42" s="73">
        <f>'DOE25'!I43</f>
        <v>0</v>
      </c>
      <c r="G42" s="73">
        <f>'DOE25'!J43</f>
        <v>124146.63</v>
      </c>
      <c r="H42" s="13">
        <f t="shared" si="2"/>
        <v>226721.88</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84656</v>
      </c>
      <c r="D45" s="23" t="s">
        <v>288</v>
      </c>
      <c r="E45" s="23" t="s">
        <v>288</v>
      </c>
      <c r="F45" s="23" t="s">
        <v>288</v>
      </c>
      <c r="G45" s="23" t="s">
        <v>288</v>
      </c>
      <c r="H45" s="13">
        <f t="shared" si="2"/>
        <v>84656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186336.86</v>
      </c>
      <c r="D49" s="23" t="s">
        <v>288</v>
      </c>
      <c r="E49" s="23" t="s">
        <v>288</v>
      </c>
      <c r="F49" s="23" t="s">
        <v>288</v>
      </c>
      <c r="G49" s="23" t="s">
        <v>288</v>
      </c>
      <c r="H49" s="13">
        <f t="shared" si="2"/>
        <v>186336.86</v>
      </c>
      <c r="I49" s="90"/>
    </row>
    <row r="50" spans="1:9" ht="12.75" thickTop="1" thickBot="1" x14ac:dyDescent="0.25">
      <c r="A50" s="35" t="s">
        <v>880</v>
      </c>
      <c r="B50" s="44"/>
      <c r="C50" s="38">
        <f>SUM(C34:C49)</f>
        <v>270992.86</v>
      </c>
      <c r="D50" s="38">
        <f>SUM(D34:D49)</f>
        <v>52398.359999999993</v>
      </c>
      <c r="E50" s="38">
        <f>SUM(E34:E49)</f>
        <v>50176.89</v>
      </c>
      <c r="F50" s="38">
        <f>SUM(F34:F49)</f>
        <v>0</v>
      </c>
      <c r="G50" s="38">
        <f>SUM(G34:G49)</f>
        <v>124146.63</v>
      </c>
      <c r="H50" s="38">
        <f t="shared" si="2"/>
        <v>497714.74</v>
      </c>
      <c r="I50" s="90"/>
    </row>
    <row r="51" spans="1:9" ht="12" thickTop="1" x14ac:dyDescent="0.2">
      <c r="A51" s="35" t="s">
        <v>881</v>
      </c>
      <c r="B51" s="2"/>
      <c r="C51" s="38">
        <f>C50+C31</f>
        <v>328233.57</v>
      </c>
      <c r="D51" s="38">
        <f>D50+D31</f>
        <v>67417.799999999988</v>
      </c>
      <c r="E51" s="38">
        <f>E50+E31</f>
        <v>992047.2699999999</v>
      </c>
      <c r="F51" s="38">
        <f>F50+F31</f>
        <v>0</v>
      </c>
      <c r="G51" s="38">
        <f>G50+G31</f>
        <v>124146.63</v>
      </c>
      <c r="H51" s="38">
        <f t="shared" si="2"/>
        <v>1511845.27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2990340</v>
      </c>
      <c r="D56" s="73">
        <f>'DOE25'!G60</f>
        <v>0</v>
      </c>
      <c r="E56" s="73">
        <f>'DOE25'!H60</f>
        <v>0</v>
      </c>
      <c r="F56" s="73">
        <f>'DOE25'!I60</f>
        <v>0</v>
      </c>
      <c r="G56" s="73">
        <f>'DOE25'!J60</f>
        <v>0</v>
      </c>
      <c r="H56" s="13">
        <f t="shared" ref="H56:H63" si="3">SUM(C56:G56)</f>
        <v>2990340</v>
      </c>
      <c r="I56"/>
    </row>
    <row r="57" spans="1:9" x14ac:dyDescent="0.2">
      <c r="A57" s="1" t="s">
        <v>164</v>
      </c>
      <c r="B57" s="6" t="s">
        <v>165</v>
      </c>
      <c r="C57" s="73">
        <f>'DOE25'!F79</f>
        <v>539098.79</v>
      </c>
      <c r="D57" s="23" t="s">
        <v>288</v>
      </c>
      <c r="E57" s="73">
        <f>'DOE25'!H79</f>
        <v>0</v>
      </c>
      <c r="F57" s="23" t="s">
        <v>288</v>
      </c>
      <c r="G57" s="23" t="s">
        <v>288</v>
      </c>
      <c r="H57" s="13">
        <f t="shared" si="3"/>
        <v>539098.79</v>
      </c>
      <c r="I57"/>
    </row>
    <row r="58" spans="1:9" x14ac:dyDescent="0.2">
      <c r="A58" s="1" t="s">
        <v>166</v>
      </c>
      <c r="B58" s="6" t="s">
        <v>167</v>
      </c>
      <c r="C58" s="73">
        <f>'DOE25'!F94</f>
        <v>5500</v>
      </c>
      <c r="D58" s="23" t="s">
        <v>288</v>
      </c>
      <c r="E58" s="73">
        <f>'DOE25'!H94</f>
        <v>0</v>
      </c>
      <c r="F58" s="23" t="s">
        <v>288</v>
      </c>
      <c r="G58" s="23" t="s">
        <v>288</v>
      </c>
      <c r="H58" s="13">
        <f t="shared" si="3"/>
        <v>5500</v>
      </c>
      <c r="I58"/>
    </row>
    <row r="59" spans="1:9" x14ac:dyDescent="0.2">
      <c r="A59" s="1" t="s">
        <v>168</v>
      </c>
      <c r="B59" s="6" t="s">
        <v>169</v>
      </c>
      <c r="C59" s="73">
        <f>'DOE25'!F96</f>
        <v>15064.48</v>
      </c>
      <c r="D59" s="73">
        <f>'DOE25'!G96</f>
        <v>0</v>
      </c>
      <c r="E59" s="73">
        <f>'DOE25'!H96</f>
        <v>0</v>
      </c>
      <c r="F59" s="73">
        <f>'DOE25'!I96</f>
        <v>0</v>
      </c>
      <c r="G59" s="73">
        <f>'DOE25'!J96</f>
        <v>408.68</v>
      </c>
      <c r="H59" s="13">
        <f t="shared" si="3"/>
        <v>15473.16</v>
      </c>
      <c r="I59"/>
    </row>
    <row r="60" spans="1:9" x14ac:dyDescent="0.2">
      <c r="A60" s="1" t="s">
        <v>170</v>
      </c>
      <c r="B60" s="22" t="s">
        <v>171</v>
      </c>
      <c r="C60" s="23" t="s">
        <v>288</v>
      </c>
      <c r="D60" s="73">
        <f>'DOE25'!G97</f>
        <v>45687.32</v>
      </c>
      <c r="E60" s="23" t="s">
        <v>288</v>
      </c>
      <c r="F60" s="23" t="s">
        <v>288</v>
      </c>
      <c r="G60" s="23" t="s">
        <v>288</v>
      </c>
      <c r="H60" s="13">
        <f t="shared" si="3"/>
        <v>45687.32</v>
      </c>
      <c r="I60"/>
    </row>
    <row r="61" spans="1:9" ht="12" thickBot="1" x14ac:dyDescent="0.25">
      <c r="A61" s="1" t="s">
        <v>172</v>
      </c>
      <c r="B61" s="22" t="s">
        <v>173</v>
      </c>
      <c r="C61" s="73">
        <f>SUM('DOE25'!F98:F110)</f>
        <v>8868.9000000000015</v>
      </c>
      <c r="D61" s="73">
        <f>SUM('DOE25'!G98:G110)</f>
        <v>0</v>
      </c>
      <c r="E61" s="73">
        <f>SUM('DOE25'!H98:H110)</f>
        <v>295584.02</v>
      </c>
      <c r="F61" s="73">
        <f>SUM('DOE25'!I98:I110)</f>
        <v>0</v>
      </c>
      <c r="G61" s="73">
        <f>SUM('DOE25'!J98:J110)</f>
        <v>0</v>
      </c>
      <c r="H61" s="13">
        <f t="shared" si="3"/>
        <v>304452.92000000004</v>
      </c>
      <c r="I61"/>
    </row>
    <row r="62" spans="1:9" ht="12.75" thickTop="1" thickBot="1" x14ac:dyDescent="0.25">
      <c r="A62" s="28" t="s">
        <v>174</v>
      </c>
      <c r="B62" s="6"/>
      <c r="C62" s="93">
        <f>SUM(C57:C61)</f>
        <v>568532.17000000004</v>
      </c>
      <c r="D62" s="93">
        <f>SUM(D57:D61)</f>
        <v>45687.32</v>
      </c>
      <c r="E62" s="93">
        <f>SUM(E57:E61)</f>
        <v>295584.02</v>
      </c>
      <c r="F62" s="93">
        <f>SUM(F57:F61)</f>
        <v>0</v>
      </c>
      <c r="G62" s="93">
        <f>SUM(G57:G61)</f>
        <v>408.68</v>
      </c>
      <c r="H62" s="13">
        <f t="shared" si="3"/>
        <v>910212.19000000006</v>
      </c>
      <c r="I62"/>
    </row>
    <row r="63" spans="1:9" ht="12" thickTop="1" x14ac:dyDescent="0.2">
      <c r="A63" s="28" t="s">
        <v>175</v>
      </c>
      <c r="B63" s="6"/>
      <c r="C63" s="21">
        <f>C56+C62</f>
        <v>3558872.17</v>
      </c>
      <c r="D63" s="21">
        <f>D56+D62</f>
        <v>45687.32</v>
      </c>
      <c r="E63" s="21">
        <f>E56+E62</f>
        <v>295584.02</v>
      </c>
      <c r="F63" s="21">
        <f>F56+F62</f>
        <v>0</v>
      </c>
      <c r="G63" s="21">
        <f>G56+G62</f>
        <v>408.68</v>
      </c>
      <c r="H63" s="13">
        <f t="shared" si="3"/>
        <v>3900552.19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1907137.43</v>
      </c>
      <c r="D66" s="23" t="s">
        <v>288</v>
      </c>
      <c r="E66" s="23" t="s">
        <v>288</v>
      </c>
      <c r="F66" s="23" t="s">
        <v>288</v>
      </c>
      <c r="G66" s="23" t="s">
        <v>288</v>
      </c>
      <c r="H66" s="13">
        <f t="shared" ref="H66:H81" si="4">SUM(C66:G66)</f>
        <v>1907137.43</v>
      </c>
      <c r="I66"/>
    </row>
    <row r="67" spans="1:9" x14ac:dyDescent="0.2">
      <c r="A67" s="1" t="s">
        <v>767</v>
      </c>
      <c r="B67" s="6">
        <v>3112</v>
      </c>
      <c r="C67" s="73">
        <f>'DOE25'!F118</f>
        <v>395882</v>
      </c>
      <c r="D67" s="23"/>
      <c r="E67" s="23"/>
      <c r="F67" s="23"/>
      <c r="G67" s="23"/>
      <c r="H67" s="13">
        <f t="shared" si="4"/>
        <v>395882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2303019.4299999997</v>
      </c>
      <c r="D70" s="97">
        <f>D69</f>
        <v>0</v>
      </c>
      <c r="E70" s="97">
        <f>E69</f>
        <v>0</v>
      </c>
      <c r="F70" s="97">
        <f>F69</f>
        <v>0</v>
      </c>
      <c r="G70" s="97">
        <f>G69</f>
        <v>0</v>
      </c>
      <c r="H70" s="13">
        <f t="shared" si="4"/>
        <v>2303019.4299999997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278948.23</v>
      </c>
      <c r="D75" s="23" t="s">
        <v>288</v>
      </c>
      <c r="E75" s="23" t="s">
        <v>288</v>
      </c>
      <c r="F75" s="23" t="s">
        <v>288</v>
      </c>
      <c r="G75" s="23" t="s">
        <v>288</v>
      </c>
      <c r="H75" s="13">
        <f t="shared" si="4"/>
        <v>278948.23</v>
      </c>
      <c r="I75"/>
    </row>
    <row r="76" spans="1:9" x14ac:dyDescent="0.2">
      <c r="A76" s="1" t="s">
        <v>257</v>
      </c>
      <c r="B76" s="6" t="s">
        <v>179</v>
      </c>
      <c r="C76" s="73">
        <f>SUM('DOE25'!F127:F130)</f>
        <v>5759.6</v>
      </c>
      <c r="D76" s="23" t="s">
        <v>288</v>
      </c>
      <c r="E76" s="73">
        <f>SUM('DOE25'!H127:H130)</f>
        <v>0</v>
      </c>
      <c r="F76" s="73">
        <f>SUM('DOE25'!I127:I130)</f>
        <v>0</v>
      </c>
      <c r="G76" s="23" t="s">
        <v>288</v>
      </c>
      <c r="H76" s="13">
        <f t="shared" si="4"/>
        <v>5759.6</v>
      </c>
      <c r="I76"/>
    </row>
    <row r="77" spans="1:9" ht="12" thickBot="1" x14ac:dyDescent="0.25">
      <c r="A77" s="1" t="s">
        <v>258</v>
      </c>
      <c r="B77" s="6" t="s">
        <v>180</v>
      </c>
      <c r="C77" s="73">
        <f>SUM('DOE25'!F131:F135)</f>
        <v>0</v>
      </c>
      <c r="D77" s="73">
        <f>SUM('DOE25'!G131:G135)</f>
        <v>2219.87</v>
      </c>
      <c r="E77" s="73">
        <f>SUM('DOE25'!H131:H135)</f>
        <v>370465.49</v>
      </c>
      <c r="F77" s="73">
        <f>SUM('DOE25'!I131:I135)</f>
        <v>0</v>
      </c>
      <c r="G77" s="73">
        <f>SUM('DOE25'!J131:J135)</f>
        <v>0</v>
      </c>
      <c r="H77" s="13">
        <f t="shared" si="4"/>
        <v>372685.36</v>
      </c>
      <c r="I77"/>
    </row>
    <row r="78" spans="1:9" ht="12.75" thickTop="1" thickBot="1" x14ac:dyDescent="0.25">
      <c r="A78" s="28" t="s">
        <v>259</v>
      </c>
      <c r="B78" s="6"/>
      <c r="C78" s="93">
        <f>SUM(C72:C77)</f>
        <v>284707.82999999996</v>
      </c>
      <c r="D78" s="93">
        <f>SUM(D72:D77)</f>
        <v>2219.87</v>
      </c>
      <c r="E78" s="93">
        <f>SUM(E72:E77)</f>
        <v>370465.49</v>
      </c>
      <c r="F78" s="93">
        <f>SUM(F72:F77)</f>
        <v>0</v>
      </c>
      <c r="G78" s="93">
        <f>SUM(G72:G77)</f>
        <v>0</v>
      </c>
      <c r="H78" s="13">
        <f t="shared" si="4"/>
        <v>657393.18999999994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2587727.2599999998</v>
      </c>
      <c r="D81" s="93">
        <f>SUM(D79:D80)+D78+D70</f>
        <v>2219.87</v>
      </c>
      <c r="E81" s="93">
        <f>SUM(E79:E80)+E78+E70</f>
        <v>370465.49</v>
      </c>
      <c r="F81" s="93">
        <f>SUM(F79:F80)+F78+F70</f>
        <v>0</v>
      </c>
      <c r="G81" s="93">
        <f>SUM(G79:G80)+G78+G70</f>
        <v>0</v>
      </c>
      <c r="H81" s="93">
        <f t="shared" si="4"/>
        <v>2960412.62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1481.51</v>
      </c>
      <c r="F87" s="73">
        <f>SUM('DOE25'!I149:I152)</f>
        <v>0</v>
      </c>
      <c r="G87" s="23" t="s">
        <v>288</v>
      </c>
      <c r="H87" s="13">
        <f t="shared" si="5"/>
        <v>1481.51</v>
      </c>
    </row>
    <row r="88" spans="1:9" x14ac:dyDescent="0.2">
      <c r="A88" s="216" t="s">
        <v>744</v>
      </c>
      <c r="B88" s="230" t="s">
        <v>184</v>
      </c>
      <c r="C88" s="252">
        <f>SUM('DOE25'!F153:F162)</f>
        <v>11406.95</v>
      </c>
      <c r="D88" s="252">
        <f>SUM('DOE25'!G153:G162)</f>
        <v>93882.849999999991</v>
      </c>
      <c r="E88" s="252">
        <f>SUM('DOE25'!H153:H162)</f>
        <v>1778254.2000000002</v>
      </c>
      <c r="F88" s="252">
        <f>SUM('DOE25'!I153:I162)</f>
        <v>0</v>
      </c>
      <c r="G88" s="23" t="s">
        <v>288</v>
      </c>
      <c r="H88" s="13">
        <f t="shared" si="5"/>
        <v>1883544.0000000002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668.65</v>
      </c>
      <c r="D90" s="23" t="s">
        <v>288</v>
      </c>
      <c r="E90" s="23" t="s">
        <v>288</v>
      </c>
      <c r="F90" s="23" t="s">
        <v>288</v>
      </c>
      <c r="G90" s="23" t="s">
        <v>288</v>
      </c>
      <c r="H90" s="13">
        <f t="shared" si="5"/>
        <v>668.65</v>
      </c>
    </row>
    <row r="91" spans="1:9" ht="12.75" thickTop="1" thickBot="1" x14ac:dyDescent="0.25">
      <c r="A91" s="32" t="s">
        <v>747</v>
      </c>
      <c r="C91" s="94">
        <f>SUM(C85:C90)</f>
        <v>12075.6</v>
      </c>
      <c r="D91" s="94">
        <f>SUM(D85:D90)</f>
        <v>93882.849999999991</v>
      </c>
      <c r="E91" s="94">
        <f>SUM(E85:E90)</f>
        <v>1779735.7100000002</v>
      </c>
      <c r="F91" s="94">
        <f>SUM(F85:F90)</f>
        <v>0</v>
      </c>
      <c r="G91" s="23" t="s">
        <v>288</v>
      </c>
      <c r="H91" s="13">
        <f t="shared" si="5"/>
        <v>1885694.1600000001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t="str">
        <f>'DOE25'!F186</f>
        <v xml:space="preserve"> </v>
      </c>
      <c r="D99" s="73">
        <f>'DOE25'!G186</f>
        <v>0</v>
      </c>
      <c r="E99" s="73">
        <f>'DOE25'!H186</f>
        <v>0</v>
      </c>
      <c r="F99" s="73">
        <f>'DOE25'!I186</f>
        <v>0</v>
      </c>
      <c r="G99" s="23" t="s">
        <v>288</v>
      </c>
      <c r="H99" s="13">
        <f t="shared" si="5"/>
        <v>0</v>
      </c>
    </row>
    <row r="100" spans="1:8" x14ac:dyDescent="0.2">
      <c r="A100" t="s">
        <v>754</v>
      </c>
      <c r="B100" s="31" t="s">
        <v>190</v>
      </c>
      <c r="C100" s="73">
        <f>SUM('DOE25'!F187:F188)</f>
        <v>252008.32000000001</v>
      </c>
      <c r="D100" s="73">
        <f>SUM('DOE25'!G187:G188)</f>
        <v>0</v>
      </c>
      <c r="E100" s="73">
        <f>SUM('DOE25'!H187:H188)</f>
        <v>0</v>
      </c>
      <c r="F100" s="73">
        <f>SUM('DOE25'!I187:I188)</f>
        <v>0</v>
      </c>
      <c r="G100" s="23" t="s">
        <v>288</v>
      </c>
      <c r="H100" s="13">
        <f t="shared" si="5"/>
        <v>252008.32000000001</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252008.32000000001</v>
      </c>
      <c r="D103" s="68">
        <f>SUM(D93:D102)</f>
        <v>0</v>
      </c>
      <c r="E103" s="68">
        <f>SUM(E93:E102)</f>
        <v>0</v>
      </c>
      <c r="F103" s="68">
        <f>SUM(F93:F102)</f>
        <v>0</v>
      </c>
      <c r="G103" s="68">
        <f>SUM(G93:G102)</f>
        <v>0</v>
      </c>
      <c r="H103" s="68">
        <f t="shared" si="5"/>
        <v>252008.32000000001</v>
      </c>
    </row>
    <row r="104" spans="1:8" ht="12.75" thickTop="1" thickBot="1" x14ac:dyDescent="0.25">
      <c r="A104" s="32" t="s">
        <v>758</v>
      </c>
      <c r="C104" s="68">
        <f>C63+C81+C91+C103</f>
        <v>6410683.3499999996</v>
      </c>
      <c r="D104" s="68">
        <f>D63+D81+D91+D103</f>
        <v>141790.03999999998</v>
      </c>
      <c r="E104" s="68">
        <f>E63+E81+E91+E103</f>
        <v>2445785.2200000002</v>
      </c>
      <c r="F104" s="68">
        <f>F63+F81+F91+F103</f>
        <v>0</v>
      </c>
      <c r="G104" s="68">
        <f>G63+G81+G103</f>
        <v>408.68</v>
      </c>
      <c r="H104" s="68">
        <f t="shared" si="5"/>
        <v>8998667.2899999991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2451494.4699999997</v>
      </c>
      <c r="D109" s="23" t="s">
        <v>288</v>
      </c>
      <c r="E109" s="73">
        <f>('DOE25'!L277)+('DOE25'!L296)+('DOE25'!L315)</f>
        <v>609697.28000000003</v>
      </c>
      <c r="F109" s="23" t="s">
        <v>288</v>
      </c>
      <c r="G109" s="23" t="s">
        <v>288</v>
      </c>
      <c r="H109" s="13">
        <f t="shared" ref="H109:H115" si="6">SUM(C109:G109)</f>
        <v>3061191.75</v>
      </c>
    </row>
    <row r="110" spans="1:8" x14ac:dyDescent="0.2">
      <c r="A110" t="s">
        <v>198</v>
      </c>
      <c r="B110" s="31" t="s">
        <v>199</v>
      </c>
      <c r="C110" s="73">
        <f>('DOE25'!L199)+('DOE25'!L217)+('DOE25'!L235)</f>
        <v>1339855.3</v>
      </c>
      <c r="D110" s="23" t="s">
        <v>288</v>
      </c>
      <c r="E110" s="73">
        <f>('DOE25'!L278)+('DOE25'!L297)+('DOE25'!L316)</f>
        <v>63011.61</v>
      </c>
      <c r="F110" s="23" t="s">
        <v>288</v>
      </c>
      <c r="G110" s="23" t="s">
        <v>288</v>
      </c>
      <c r="H110" s="13">
        <f t="shared" si="6"/>
        <v>1402866.9100000001</v>
      </c>
    </row>
    <row r="111" spans="1:8" x14ac:dyDescent="0.2">
      <c r="A111" t="s">
        <v>200</v>
      </c>
      <c r="B111" s="31" t="s">
        <v>165</v>
      </c>
      <c r="C111" s="73">
        <f>('DOE25'!L200)+('DOE25'!L218)+('DOE25'!L236)</f>
        <v>294146.84999999998</v>
      </c>
      <c r="D111" s="23" t="s">
        <v>288</v>
      </c>
      <c r="E111" s="73">
        <f>('DOE25'!L279)+('DOE25'!L298)+('DOE25'!L317)</f>
        <v>0</v>
      </c>
      <c r="F111" s="23" t="s">
        <v>288</v>
      </c>
      <c r="G111" s="23" t="s">
        <v>288</v>
      </c>
      <c r="H111" s="13">
        <f t="shared" si="6"/>
        <v>294146.84999999998</v>
      </c>
    </row>
    <row r="112" spans="1:8" x14ac:dyDescent="0.2">
      <c r="A112" t="s">
        <v>201</v>
      </c>
      <c r="B112" s="31" t="s">
        <v>167</v>
      </c>
      <c r="C112" s="73">
        <f>('DOE25'!L201)+('DOE25'!L219)+('DOE25'!L237)</f>
        <v>100091.64000000001</v>
      </c>
      <c r="D112" s="23" t="s">
        <v>288</v>
      </c>
      <c r="E112" s="73">
        <f>+('DOE25'!L280)+('DOE25'!L299)+('DOE25'!L318)</f>
        <v>54955.89</v>
      </c>
      <c r="F112" s="23" t="s">
        <v>288</v>
      </c>
      <c r="G112" s="23" t="s">
        <v>288</v>
      </c>
      <c r="H112" s="13">
        <f t="shared" si="6"/>
        <v>155047.53000000003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4185588.26</v>
      </c>
      <c r="D115" s="68">
        <f>SUM(D109:D114)</f>
        <v>0</v>
      </c>
      <c r="E115" s="68">
        <f>SUM(E109:E114)</f>
        <v>727664.78</v>
      </c>
      <c r="F115" s="68">
        <f>SUM(F109:F114)</f>
        <v>0</v>
      </c>
      <c r="G115" s="68">
        <f>SUM(G109:G114)</f>
        <v>0</v>
      </c>
      <c r="H115" s="68">
        <f t="shared" si="6"/>
        <v>4913253.04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423403.27</v>
      </c>
      <c r="D118" s="23" t="s">
        <v>288</v>
      </c>
      <c r="E118" s="73">
        <f>+('DOE25'!L282)+('DOE25'!L301)+('DOE25'!L320)</f>
        <v>98636.4</v>
      </c>
      <c r="F118" s="23" t="s">
        <v>288</v>
      </c>
      <c r="G118" s="23" t="s">
        <v>288</v>
      </c>
      <c r="H118" s="13">
        <f t="shared" ref="H118:H145" si="7">SUM(C118:G118)</f>
        <v>522039.67000000004</v>
      </c>
    </row>
    <row r="119" spans="1:8" x14ac:dyDescent="0.2">
      <c r="A119" t="s">
        <v>208</v>
      </c>
      <c r="B119" s="31" t="s">
        <v>209</v>
      </c>
      <c r="C119" s="73">
        <f>('DOE25'!L204)+('DOE25'!L222)+('DOE25'!L240)</f>
        <v>135150.54999999999</v>
      </c>
      <c r="D119" s="23" t="s">
        <v>288</v>
      </c>
      <c r="E119" s="73">
        <f>+('DOE25'!L283)+('DOE25'!L302)+('DOE25'!L321)</f>
        <v>32338.5</v>
      </c>
      <c r="F119" s="23" t="s">
        <v>288</v>
      </c>
      <c r="G119" s="23" t="s">
        <v>288</v>
      </c>
      <c r="H119" s="13">
        <f t="shared" si="7"/>
        <v>167489.04999999999</v>
      </c>
    </row>
    <row r="120" spans="1:8" x14ac:dyDescent="0.2">
      <c r="A120" t="s">
        <v>210</v>
      </c>
      <c r="B120" s="31" t="s">
        <v>211</v>
      </c>
      <c r="C120" s="73">
        <f>('DOE25'!L205)+('DOE25'!L223)+('DOE25'!L241)</f>
        <v>345276.51</v>
      </c>
      <c r="D120" s="23" t="s">
        <v>288</v>
      </c>
      <c r="E120" s="73">
        <f>+('DOE25'!L284)+('DOE25'!L303)+('DOE25'!L322)</f>
        <v>78241.76999999999</v>
      </c>
      <c r="F120" s="23" t="s">
        <v>288</v>
      </c>
      <c r="G120" s="23" t="s">
        <v>288</v>
      </c>
      <c r="H120" s="13">
        <f t="shared" si="7"/>
        <v>423518.28</v>
      </c>
    </row>
    <row r="121" spans="1:8" x14ac:dyDescent="0.2">
      <c r="A121" t="s">
        <v>212</v>
      </c>
      <c r="B121" s="31" t="s">
        <v>213</v>
      </c>
      <c r="C121" s="73">
        <f>('DOE25'!L206)+('DOE25'!L224)+('DOE25'!L242)</f>
        <v>397559.06999999995</v>
      </c>
      <c r="D121" s="23" t="s">
        <v>288</v>
      </c>
      <c r="E121" s="73">
        <f>+('DOE25'!L285)+('DOE25'!L304)+('DOE25'!L323)</f>
        <v>0</v>
      </c>
      <c r="F121" s="23" t="s">
        <v>288</v>
      </c>
      <c r="G121" s="23" t="s">
        <v>288</v>
      </c>
      <c r="H121" s="13">
        <f t="shared" si="7"/>
        <v>397559.06999999995</v>
      </c>
    </row>
    <row r="122" spans="1:8" x14ac:dyDescent="0.2">
      <c r="A122" t="s">
        <v>214</v>
      </c>
      <c r="B122" s="31" t="s">
        <v>215</v>
      </c>
      <c r="C122" s="73">
        <f>('DOE25'!L207)+('DOE25'!L225)+('DOE25'!L243)</f>
        <v>0</v>
      </c>
      <c r="D122" s="23" t="s">
        <v>288</v>
      </c>
      <c r="E122" s="73">
        <f>+('DOE25'!L286)+('DOE25'!L305)+('DOE25'!L324)</f>
        <v>2375</v>
      </c>
      <c r="F122" s="23" t="s">
        <v>288</v>
      </c>
      <c r="G122" s="23" t="s">
        <v>288</v>
      </c>
      <c r="H122" s="13">
        <f t="shared" si="7"/>
        <v>2375</v>
      </c>
    </row>
    <row r="123" spans="1:8" x14ac:dyDescent="0.2">
      <c r="A123" t="s">
        <v>216</v>
      </c>
      <c r="B123" s="31" t="s">
        <v>217</v>
      </c>
      <c r="C123" s="73">
        <f>('DOE25'!L208)+('DOE25'!L226)+('DOE25'!L244)</f>
        <v>677295.41999999993</v>
      </c>
      <c r="D123" s="23" t="s">
        <v>288</v>
      </c>
      <c r="E123" s="73">
        <f>+('DOE25'!L287)+('DOE25'!L306)+('DOE25'!L325)</f>
        <v>15987.099999999999</v>
      </c>
      <c r="F123" s="23" t="s">
        <v>288</v>
      </c>
      <c r="G123" s="23" t="s">
        <v>288</v>
      </c>
      <c r="H123" s="13">
        <f t="shared" si="7"/>
        <v>693282.5199999999</v>
      </c>
    </row>
    <row r="124" spans="1:8" x14ac:dyDescent="0.2">
      <c r="A124" t="s">
        <v>218</v>
      </c>
      <c r="B124" s="31" t="s">
        <v>219</v>
      </c>
      <c r="C124" s="73">
        <f>('DOE25'!L209)+('DOE25'!L227)+('DOE25'!L245+'DOE25'!L255)</f>
        <v>203813.72999999998</v>
      </c>
      <c r="D124" s="23" t="s">
        <v>288</v>
      </c>
      <c r="E124" s="73">
        <f>+('DOE25'!L288)+('DOE25'!L307)+('DOE25'!L326)</f>
        <v>774.06</v>
      </c>
      <c r="F124" s="23" t="s">
        <v>288</v>
      </c>
      <c r="G124" s="23" t="s">
        <v>288</v>
      </c>
      <c r="H124" s="13">
        <f t="shared" si="7"/>
        <v>204587.78999999998</v>
      </c>
    </row>
    <row r="125" spans="1:8" x14ac:dyDescent="0.2">
      <c r="A125" t="s">
        <v>220</v>
      </c>
      <c r="B125" s="31" t="s">
        <v>221</v>
      </c>
      <c r="C125" s="73">
        <f>('DOE25'!L210)+('DOE25'!L228)+('DOE25'!L246)</f>
        <v>115701.84999999999</v>
      </c>
      <c r="D125" s="23" t="s">
        <v>288</v>
      </c>
      <c r="E125" s="73">
        <f>+('DOE25'!L289)+('DOE25'!L308)+('DOE25'!L327)</f>
        <v>253464.79999999996</v>
      </c>
      <c r="F125" s="23" t="s">
        <v>288</v>
      </c>
      <c r="G125" s="23" t="s">
        <v>288</v>
      </c>
      <c r="H125" s="13">
        <f t="shared" si="7"/>
        <v>369166.64999999997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172799.11</v>
      </c>
      <c r="E127" s="23" t="s">
        <v>288</v>
      </c>
      <c r="F127" s="23" t="s">
        <v>288</v>
      </c>
      <c r="G127" s="23" t="s">
        <v>288</v>
      </c>
      <c r="H127" s="13">
        <f t="shared" si="7"/>
        <v>172799.11</v>
      </c>
    </row>
    <row r="128" spans="1:8" ht="12.75" thickTop="1" thickBot="1" x14ac:dyDescent="0.25">
      <c r="A128" s="32" t="s">
        <v>226</v>
      </c>
      <c r="C128" s="68">
        <f>SUM(C118:C127)</f>
        <v>2298200.4</v>
      </c>
      <c r="D128" s="68">
        <f>SUM(D118:D127)</f>
        <v>172799.11</v>
      </c>
      <c r="E128" s="68">
        <f>SUM(E118:E127)</f>
        <v>481817.62999999995</v>
      </c>
      <c r="F128" s="68">
        <f>SUM(F118:F127)</f>
        <v>0</v>
      </c>
      <c r="G128" s="68">
        <f>SUM(G118:G127)</f>
        <v>0</v>
      </c>
      <c r="H128" s="68">
        <f t="shared" si="7"/>
        <v>2952817.1399999997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1174099.69</v>
      </c>
      <c r="F130" s="92">
        <f>SUM('DOE25'!L375:'DOE25'!L381)</f>
        <v>0</v>
      </c>
      <c r="G130" s="23" t="s">
        <v>288</v>
      </c>
      <c r="H130" s="13">
        <f t="shared" si="7"/>
        <v>1174099.69</v>
      </c>
    </row>
    <row r="131" spans="1:8" x14ac:dyDescent="0.2">
      <c r="A131" t="s">
        <v>229</v>
      </c>
      <c r="B131" s="31">
        <v>5110</v>
      </c>
      <c r="C131" s="73">
        <f>'DOE25'!L261</f>
        <v>59843.27</v>
      </c>
      <c r="D131" s="23" t="s">
        <v>288</v>
      </c>
      <c r="E131" s="92">
        <f>'DOE25'!L342</f>
        <v>59843.27</v>
      </c>
      <c r="F131" s="23" t="s">
        <v>288</v>
      </c>
      <c r="G131" s="23" t="s">
        <v>288</v>
      </c>
      <c r="H131" s="13">
        <f t="shared" si="7"/>
        <v>119686.54</v>
      </c>
    </row>
    <row r="132" spans="1:8" x14ac:dyDescent="0.2">
      <c r="A132" t="s">
        <v>230</v>
      </c>
      <c r="B132" s="31">
        <v>5120</v>
      </c>
      <c r="C132" s="73">
        <f>'DOE25'!L262</f>
        <v>7454.23</v>
      </c>
      <c r="D132" s="23" t="s">
        <v>288</v>
      </c>
      <c r="E132" s="92">
        <f>'DOE25'!L343</f>
        <v>7454.23</v>
      </c>
      <c r="F132" s="23" t="s">
        <v>288</v>
      </c>
      <c r="G132" s="23" t="s">
        <v>288</v>
      </c>
      <c r="H132" s="13">
        <f t="shared" si="7"/>
        <v>14908.46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408.68</v>
      </c>
      <c r="D139" s="23" t="s">
        <v>288</v>
      </c>
      <c r="E139" s="23" t="s">
        <v>288</v>
      </c>
      <c r="F139" s="23" t="s">
        <v>288</v>
      </c>
      <c r="G139" s="23" t="s">
        <v>288</v>
      </c>
      <c r="H139" s="13">
        <f t="shared" si="7"/>
        <v>408.68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-408.68</v>
      </c>
      <c r="D141" s="23" t="s">
        <v>288</v>
      </c>
      <c r="E141" s="23" t="s">
        <v>288</v>
      </c>
      <c r="F141" s="23" t="s">
        <v>288</v>
      </c>
      <c r="G141" s="23" t="s">
        <v>288</v>
      </c>
      <c r="H141" s="13">
        <f t="shared" si="7"/>
        <v>-408.68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67297.5</v>
      </c>
      <c r="D144" s="98">
        <f>SUM(D130:D143)</f>
        <v>0</v>
      </c>
      <c r="E144" s="98">
        <f>SUM(E130:E143)</f>
        <v>1241397.19</v>
      </c>
      <c r="F144" s="98">
        <f>SUM(F130:F143)</f>
        <v>0</v>
      </c>
      <c r="G144" s="98">
        <f>SUM(G130:G143)</f>
        <v>0</v>
      </c>
      <c r="H144" s="98">
        <f t="shared" si="7"/>
        <v>1308694.69</v>
      </c>
    </row>
    <row r="145" spans="1:9" ht="12.75" thickTop="1" thickBot="1" x14ac:dyDescent="0.25">
      <c r="A145" s="32" t="s">
        <v>244</v>
      </c>
      <c r="C145" s="68">
        <f>(C115+C128+C144)</f>
        <v>6551086.1600000001</v>
      </c>
      <c r="D145" s="68">
        <f>(D115+D128+D144)</f>
        <v>172799.11</v>
      </c>
      <c r="E145" s="68">
        <f>(E115+E128+E144)</f>
        <v>2450879.5999999996</v>
      </c>
      <c r="F145" s="68">
        <f>(F115+F128+F144)</f>
        <v>0</v>
      </c>
      <c r="G145" s="68">
        <f>(G115+G128+G144)</f>
        <v>0</v>
      </c>
      <c r="H145" s="68">
        <f t="shared" si="7"/>
        <v>9174764.870000001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1" t="s">
        <v>736</v>
      </c>
      <c r="B1" s="331"/>
      <c r="C1" s="331"/>
      <c r="D1" s="331"/>
    </row>
    <row r="2" spans="1:4" x14ac:dyDescent="0.2">
      <c r="A2" s="135" t="s">
        <v>713</v>
      </c>
      <c r="B2" s="134" t="str">
        <f>'DOE25'!A2</f>
        <v>Lisbon Regional</v>
      </c>
    </row>
    <row r="3" spans="1:4" x14ac:dyDescent="0.2">
      <c r="B3" s="136" t="s">
        <v>1792</v>
      </c>
    </row>
    <row r="4" spans="1:4" x14ac:dyDescent="0.2">
      <c r="B4" t="s">
        <v>61</v>
      </c>
      <c r="C4" s="128">
        <f>IF('DOE25'!F666+'DOE25'!F671=0,0,ROUND('DOE25'!F673,0))</f>
        <v>22688</v>
      </c>
    </row>
    <row r="5" spans="1:4" x14ac:dyDescent="0.2">
      <c r="B5" t="s">
        <v>700</v>
      </c>
      <c r="C5" s="128">
        <f>IF('DOE25'!G666+'DOE25'!G671=0,0,ROUND('DOE25'!G673,0))</f>
        <v>25328</v>
      </c>
    </row>
    <row r="6" spans="1:4" x14ac:dyDescent="0.2">
      <c r="B6" t="s">
        <v>62</v>
      </c>
      <c r="C6" s="128">
        <f>IF('DOE25'!H666+'DOE25'!H671=0,0,ROUND('DOE25'!H673,0))</f>
        <v>35739</v>
      </c>
    </row>
    <row r="7" spans="1:4" x14ac:dyDescent="0.2">
      <c r="B7" t="s">
        <v>701</v>
      </c>
      <c r="C7" s="128">
        <f>IF('DOE25'!I666+'DOE25'!I671=0,0,ROUND('DOE25'!I673,0))</f>
        <v>26553</v>
      </c>
    </row>
    <row r="9" spans="1:4" x14ac:dyDescent="0.2">
      <c r="A9" s="135" t="s">
        <v>94</v>
      </c>
      <c r="B9" s="136" t="s">
        <v>1793</v>
      </c>
      <c r="C9" s="130" t="s">
        <v>720</v>
      </c>
      <c r="D9" s="130" t="s">
        <v>721</v>
      </c>
    </row>
    <row r="10" spans="1:4" x14ac:dyDescent="0.2">
      <c r="A10">
        <v>1100</v>
      </c>
      <c r="B10" t="s">
        <v>702</v>
      </c>
      <c r="C10" s="128">
        <f>ROUND('DOE25'!L198+'DOE25'!L216+'DOE25'!L234+'DOE25'!L277+'DOE25'!L296+'DOE25'!L315,0)</f>
        <v>3061192</v>
      </c>
      <c r="D10" s="131">
        <f>ROUND((C10/$C$28)*100,1)</f>
        <v>39.1</v>
      </c>
    </row>
    <row r="11" spans="1:4" x14ac:dyDescent="0.2">
      <c r="A11">
        <v>1200</v>
      </c>
      <c r="B11" t="s">
        <v>703</v>
      </c>
      <c r="C11" s="128">
        <f>ROUND('DOE25'!L199+'DOE25'!L217+'DOE25'!L235+'DOE25'!L278+'DOE25'!L297+'DOE25'!L316,0)</f>
        <v>1402867</v>
      </c>
      <c r="D11" s="131">
        <f>ROUND((C11/$C$28)*100,1)</f>
        <v>17.899999999999999</v>
      </c>
    </row>
    <row r="12" spans="1:4" x14ac:dyDescent="0.2">
      <c r="A12">
        <v>1300</v>
      </c>
      <c r="B12" t="s">
        <v>704</v>
      </c>
      <c r="C12" s="128">
        <f>ROUND('DOE25'!L200+'DOE25'!L218+'DOE25'!L236+'DOE25'!L279+'DOE25'!L298+'DOE25'!L317,0)</f>
        <v>294147</v>
      </c>
      <c r="D12" s="131">
        <f>ROUND((C12/$C$28)*100,1)</f>
        <v>3.8</v>
      </c>
    </row>
    <row r="13" spans="1:4" x14ac:dyDescent="0.2">
      <c r="A13">
        <v>1400</v>
      </c>
      <c r="B13" t="s">
        <v>705</v>
      </c>
      <c r="C13" s="128">
        <f>ROUND('DOE25'!L201+'DOE25'!L219+'DOE25'!L237+'DOE25'!L280+'DOE25'!L299+'DOE25'!L318,0)</f>
        <v>155048</v>
      </c>
      <c r="D13" s="131">
        <f>ROUND((C13/$C$28)*100,1)</f>
        <v>2</v>
      </c>
    </row>
    <row r="14" spans="1:4" x14ac:dyDescent="0.2">
      <c r="D14" s="131"/>
    </row>
    <row r="15" spans="1:4" x14ac:dyDescent="0.2">
      <c r="A15">
        <v>2100</v>
      </c>
      <c r="B15" t="s">
        <v>706</v>
      </c>
      <c r="C15" s="128">
        <f>ROUND('DOE25'!L203+'DOE25'!L221+'DOE25'!L239+'DOE25'!L282+'DOE25'!L301+'DOE25'!L320,0)</f>
        <v>522040</v>
      </c>
      <c r="D15" s="131">
        <f t="shared" ref="D15:D27" si="0">ROUND((C15/$C$28)*100,1)</f>
        <v>6.7</v>
      </c>
    </row>
    <row r="16" spans="1:4" x14ac:dyDescent="0.2">
      <c r="A16">
        <v>2200</v>
      </c>
      <c r="B16" t="s">
        <v>707</v>
      </c>
      <c r="C16" s="128">
        <f>ROUND('DOE25'!L204+'DOE25'!L222+'DOE25'!L240+'DOE25'!L283+'DOE25'!L302+'DOE25'!L321,0)</f>
        <v>167489</v>
      </c>
      <c r="D16" s="131">
        <f t="shared" si="0"/>
        <v>2.1</v>
      </c>
    </row>
    <row r="17" spans="1:4" x14ac:dyDescent="0.2">
      <c r="A17" s="132" t="s">
        <v>723</v>
      </c>
      <c r="B17" t="s">
        <v>738</v>
      </c>
      <c r="C17" s="128">
        <f>ROUND('DOE25'!L205+'DOE25'!L210+'DOE25'!L223+'DOE25'!L228+'DOE25'!L241+'DOE25'!L246+'DOE25'!L284+'DOE25'!L289+'DOE25'!L303+'DOE25'!L308+'DOE25'!L322+'DOE25'!L327,0)</f>
        <v>792685</v>
      </c>
      <c r="D17" s="131">
        <f t="shared" si="0"/>
        <v>10.1</v>
      </c>
    </row>
    <row r="18" spans="1:4" x14ac:dyDescent="0.2">
      <c r="A18">
        <v>2400</v>
      </c>
      <c r="B18" t="s">
        <v>711</v>
      </c>
      <c r="C18" s="128">
        <f>ROUND('DOE25'!L206+'DOE25'!L224+'DOE25'!L242+'DOE25'!L285+'DOE25'!L304+'DOE25'!L323,0)</f>
        <v>397559</v>
      </c>
      <c r="D18" s="131">
        <f t="shared" si="0"/>
        <v>5.0999999999999996</v>
      </c>
    </row>
    <row r="19" spans="1:4" x14ac:dyDescent="0.2">
      <c r="A19">
        <v>2500</v>
      </c>
      <c r="B19" t="s">
        <v>708</v>
      </c>
      <c r="C19" s="128">
        <f>ROUND('DOE25'!L207+'DOE25'!L225+'DOE25'!L243+'DOE25'!L286+'DOE25'!L305+'DOE25'!L324,0)</f>
        <v>2375</v>
      </c>
      <c r="D19" s="131">
        <f t="shared" si="0"/>
        <v>0</v>
      </c>
    </row>
    <row r="20" spans="1:4" x14ac:dyDescent="0.2">
      <c r="A20">
        <v>2600</v>
      </c>
      <c r="B20" t="s">
        <v>709</v>
      </c>
      <c r="C20" s="128">
        <f>ROUND('DOE25'!L208+'DOE25'!L226+'DOE25'!L244+'DOE25'!L287+'DOE25'!L306+'DOE25'!L325,0)</f>
        <v>693283</v>
      </c>
      <c r="D20" s="131">
        <f t="shared" si="0"/>
        <v>8.8000000000000007</v>
      </c>
    </row>
    <row r="21" spans="1:4" x14ac:dyDescent="0.2">
      <c r="A21">
        <v>2700</v>
      </c>
      <c r="B21" t="s">
        <v>710</v>
      </c>
      <c r="C21" s="128">
        <f>ROUND('DOE25'!L209+'DOE25'!L227+'DOE25'!L245+'DOE25'!L288+'DOE25'!L307+'DOE25'!L326,0)</f>
        <v>204588</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14908</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127111.67999999999</v>
      </c>
      <c r="D27" s="131">
        <f t="shared" si="0"/>
        <v>1.6</v>
      </c>
    </row>
    <row r="28" spans="1:4" x14ac:dyDescent="0.2">
      <c r="B28" s="135" t="s">
        <v>719</v>
      </c>
      <c r="C28" s="129">
        <f>SUM(C10:C27)</f>
        <v>7835292.6799999997</v>
      </c>
      <c r="D28" s="133">
        <f>ROUND(SUM(D10:D27),0)</f>
        <v>100</v>
      </c>
    </row>
    <row r="29" spans="1:4" x14ac:dyDescent="0.2">
      <c r="A29">
        <v>4000</v>
      </c>
      <c r="B29" t="s">
        <v>724</v>
      </c>
      <c r="C29" s="128">
        <f>ROUND('DOE25'!L256+'DOE25'!L337+'DOE25'!L375+'DOE25'!L376+'DOE25'!L377+'DOE25'!L378+'DOE25'!L379+'DOE25'!L380+'DOE25'!L381,0)</f>
        <v>1174100</v>
      </c>
    </row>
    <row r="30" spans="1:4" x14ac:dyDescent="0.2">
      <c r="B30" s="135" t="s">
        <v>725</v>
      </c>
      <c r="C30" s="129">
        <f>SUM(C28:C29)</f>
        <v>9009392.6799999997</v>
      </c>
    </row>
    <row r="31" spans="1:4" x14ac:dyDescent="0.2">
      <c r="B31" s="32"/>
      <c r="C31" s="129"/>
    </row>
    <row r="32" spans="1:4" x14ac:dyDescent="0.2">
      <c r="A32">
        <v>5100</v>
      </c>
      <c r="B32" s="32" t="s">
        <v>726</v>
      </c>
      <c r="C32" s="129">
        <f>ROUND('DOE25'!L261+'DOE25'!L342,0)</f>
        <v>119687</v>
      </c>
    </row>
    <row r="34" spans="1:4" x14ac:dyDescent="0.2">
      <c r="A34" s="135" t="s">
        <v>94</v>
      </c>
      <c r="B34" s="136" t="s">
        <v>1794</v>
      </c>
      <c r="C34" s="130" t="s">
        <v>720</v>
      </c>
      <c r="D34" s="130" t="s">
        <v>721</v>
      </c>
    </row>
    <row r="35" spans="1:4" x14ac:dyDescent="0.2">
      <c r="A35">
        <v>1100</v>
      </c>
      <c r="B35" s="71" t="s">
        <v>727</v>
      </c>
      <c r="C35" s="128">
        <f>ROUND('DOE25'!F60+'DOE25'!G60+'DOE25'!H60+'DOE25'!I60+'DOE25'!J60,0)</f>
        <v>2990340</v>
      </c>
      <c r="D35" s="131">
        <f t="shared" ref="D35:D40" si="1">ROUND((C35/$C$41)*100,1)</f>
        <v>34.4</v>
      </c>
    </row>
    <row r="36" spans="1:4" x14ac:dyDescent="0.2">
      <c r="B36" s="71" t="s">
        <v>739</v>
      </c>
      <c r="C36" s="128">
        <f>SUM('DOE25'!F112:J112)-SUM('DOE25'!G97:G110)+('DOE25'!F175+'DOE25'!F176+'DOE25'!I175+'DOE25'!I176)-C35</f>
        <v>864524.87000000011</v>
      </c>
      <c r="D36" s="131">
        <f t="shared" si="1"/>
        <v>9.9</v>
      </c>
    </row>
    <row r="37" spans="1:4" x14ac:dyDescent="0.2">
      <c r="A37" s="132" t="s">
        <v>831</v>
      </c>
      <c r="B37" s="71" t="s">
        <v>728</v>
      </c>
      <c r="C37" s="128">
        <f>ROUND('DOE25'!F117+'DOE25'!F118,0)</f>
        <v>2303019</v>
      </c>
      <c r="D37" s="131">
        <f t="shared" si="1"/>
        <v>26.5</v>
      </c>
    </row>
    <row r="38" spans="1:4" x14ac:dyDescent="0.2">
      <c r="A38" s="132" t="s">
        <v>734</v>
      </c>
      <c r="B38" s="71" t="s">
        <v>729</v>
      </c>
      <c r="C38" s="128">
        <f>ROUND(SUM('DOE25'!F140:J140)-SUM('DOE25'!F117:F119),0)</f>
        <v>657393</v>
      </c>
      <c r="D38" s="131">
        <f t="shared" si="1"/>
        <v>7.6</v>
      </c>
    </row>
    <row r="39" spans="1:4" x14ac:dyDescent="0.2">
      <c r="A39">
        <v>4000</v>
      </c>
      <c r="B39" s="71" t="s">
        <v>730</v>
      </c>
      <c r="C39" s="128">
        <f>ROUND('DOE25'!F170+'DOE25'!G170+'DOE25'!H170+'DOE25'!I170,0)</f>
        <v>1885694</v>
      </c>
      <c r="D39" s="131">
        <f t="shared" si="1"/>
        <v>21.7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8700970.870000001</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9" sqref="C9:M9"/>
    </sheetView>
  </sheetViews>
  <sheetFormatPr defaultColWidth="8.6640625" defaultRowHeight="11.25" x14ac:dyDescent="0.2"/>
  <cols>
    <col min="1" max="1" width="10.16406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Lisbon Regional</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10</v>
      </c>
      <c r="B4" s="149">
        <v>9</v>
      </c>
      <c r="C4" s="332" t="s">
        <v>1848</v>
      </c>
      <c r="D4" s="332"/>
      <c r="E4" s="332"/>
      <c r="F4" s="332"/>
      <c r="G4" s="332"/>
      <c r="H4" s="332"/>
      <c r="I4" s="332"/>
      <c r="J4" s="332"/>
      <c r="K4" s="332"/>
      <c r="L4" s="332"/>
      <c r="M4" s="334"/>
    </row>
    <row r="5" spans="1:13" x14ac:dyDescent="0.2">
      <c r="A5" s="158">
        <v>10</v>
      </c>
      <c r="B5" s="149">
        <v>10</v>
      </c>
      <c r="C5" s="332" t="s">
        <v>1848</v>
      </c>
      <c r="D5" s="332"/>
      <c r="E5" s="332"/>
      <c r="F5" s="332"/>
      <c r="G5" s="332"/>
      <c r="H5" s="332"/>
      <c r="I5" s="332"/>
      <c r="J5" s="332"/>
      <c r="K5" s="332"/>
      <c r="L5" s="332"/>
      <c r="M5" s="334"/>
    </row>
    <row r="6" spans="1:13" x14ac:dyDescent="0.2">
      <c r="A6" s="158">
        <v>10</v>
      </c>
      <c r="B6" s="149">
        <v>15</v>
      </c>
      <c r="C6" s="332" t="s">
        <v>1849</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169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41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48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f>IF('School Level Expenditures'!$B$2='School Tables'!L44,'School Tables'!S44,"")</f>
        <v>41</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f>IF('School Level Expenditures'!$B$2='School Tables'!W51,'School Tables'!AD51,"")</f>
        <v>48</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f>IF('School Level Expenditures'!$B$2=A172,'School Tables'!H172,"")</f>
        <v>169</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2024-11-01T22:06:13Z</cp:lastPrinted>
  <dcterms:created xsi:type="dcterms:W3CDTF">1997-12-04T19:04:30Z</dcterms:created>
  <dcterms:modified xsi:type="dcterms:W3CDTF">2024-12-20T19:06:05Z</dcterms:modified>
</cp:coreProperties>
</file>