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07E13821-C203-45F8-B7CE-30A50A6BC02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9" i="1" l="1"/>
  <c r="Q40" i="14"/>
  <c r="Q27" i="14"/>
  <c r="Q6" i="14"/>
  <c r="F120" i="1"/>
  <c r="O6" i="14" l="1"/>
  <c r="O40" i="14"/>
  <c r="O27" i="14"/>
  <c r="P40" i="14"/>
  <c r="P27" i="14"/>
  <c r="K5" i="14"/>
  <c r="K39" i="14"/>
  <c r="D39" i="14"/>
  <c r="D5" i="14"/>
  <c r="C10" i="12" l="1"/>
  <c r="C11" i="12"/>
  <c r="C19" i="12"/>
  <c r="C20" i="12"/>
  <c r="C29" i="12"/>
  <c r="B11" i="12"/>
  <c r="J605" i="1"/>
  <c r="J321" i="1"/>
  <c r="I321" i="1"/>
  <c r="H605" i="1"/>
  <c r="I605" i="1"/>
  <c r="H245" i="1"/>
  <c r="H244" i="1"/>
  <c r="J593" i="1"/>
  <c r="I595" i="1"/>
  <c r="J598" i="1"/>
  <c r="I598" i="1"/>
  <c r="H598" i="1"/>
  <c r="H596" i="1"/>
  <c r="J595" i="1"/>
  <c r="J594" i="1"/>
  <c r="I593" i="1"/>
  <c r="H593" i="1"/>
  <c r="J592" i="1"/>
  <c r="I592" i="1"/>
  <c r="H592" i="1"/>
  <c r="H580" i="1"/>
  <c r="H583" i="1"/>
  <c r="H581" i="1"/>
  <c r="F583" i="1"/>
  <c r="F580" i="1"/>
  <c r="H585" i="1"/>
  <c r="K570" i="1"/>
  <c r="I568" i="1"/>
  <c r="I570" i="1"/>
  <c r="I569" i="1"/>
  <c r="H570" i="1"/>
  <c r="J565" i="1"/>
  <c r="J563" i="1"/>
  <c r="I565" i="1"/>
  <c r="I564" i="1"/>
  <c r="I563" i="1"/>
  <c r="G564" i="1"/>
  <c r="G563" i="1"/>
  <c r="G565" i="1"/>
  <c r="F565" i="1"/>
  <c r="F564" i="1"/>
  <c r="F563" i="1"/>
  <c r="H544" i="1"/>
  <c r="J522" i="1"/>
  <c r="H522" i="1"/>
  <c r="G522" i="1"/>
  <c r="F522" i="1"/>
  <c r="H542" i="1"/>
  <c r="K527" i="1"/>
  <c r="J527" i="1"/>
  <c r="I527" i="1"/>
  <c r="H527" i="1"/>
  <c r="G527" i="1"/>
  <c r="G529" i="1"/>
  <c r="F529" i="1"/>
  <c r="F527" i="1"/>
  <c r="K534" i="1"/>
  <c r="K533" i="1"/>
  <c r="K532" i="1"/>
  <c r="H532" i="1"/>
  <c r="H534" i="1"/>
  <c r="H533" i="1"/>
  <c r="G534" i="1"/>
  <c r="G533" i="1"/>
  <c r="G532" i="1"/>
  <c r="F534" i="1"/>
  <c r="F533" i="1"/>
  <c r="F532" i="1"/>
  <c r="H543" i="1"/>
  <c r="H529" i="1"/>
  <c r="H528" i="1"/>
  <c r="G528" i="1"/>
  <c r="F528" i="1"/>
  <c r="K524" i="1"/>
  <c r="J523" i="1"/>
  <c r="J524" i="1"/>
  <c r="H524" i="1"/>
  <c r="I524" i="1"/>
  <c r="I523" i="1"/>
  <c r="I522" i="1"/>
  <c r="G524" i="1"/>
  <c r="G523" i="1"/>
  <c r="F524" i="1"/>
  <c r="F523" i="1"/>
  <c r="K523" i="1"/>
  <c r="K522" i="1"/>
  <c r="H523" i="1"/>
  <c r="G316" i="1"/>
  <c r="K318" i="1"/>
  <c r="K315" i="1"/>
  <c r="J324" i="1"/>
  <c r="I320" i="1"/>
  <c r="I315" i="1"/>
  <c r="H318" i="1"/>
  <c r="H316" i="1"/>
  <c r="G315" i="1"/>
  <c r="F316" i="1"/>
  <c r="F315" i="1"/>
  <c r="G282" i="1"/>
  <c r="G283" i="1"/>
  <c r="G302" i="1"/>
  <c r="G320" i="1"/>
  <c r="G278" i="1"/>
  <c r="G286" i="1"/>
  <c r="F283" i="1"/>
  <c r="J287" i="1"/>
  <c r="J325" i="1"/>
  <c r="F282" i="1"/>
  <c r="F277" i="1"/>
  <c r="F286" i="1"/>
  <c r="K303" i="1"/>
  <c r="K322" i="1"/>
  <c r="K334" i="1"/>
  <c r="K317" i="1"/>
  <c r="K284" i="1"/>
  <c r="K283" i="1"/>
  <c r="K321" i="1"/>
  <c r="K316" i="1"/>
  <c r="J334" i="1"/>
  <c r="J282" i="1"/>
  <c r="J306" i="1"/>
  <c r="J317" i="1"/>
  <c r="J278" i="1"/>
  <c r="J277" i="1"/>
  <c r="J337" i="1"/>
  <c r="I325" i="1"/>
  <c r="I334" i="1"/>
  <c r="I317" i="1"/>
  <c r="I277" i="1"/>
  <c r="I302" i="1"/>
  <c r="I283" i="1"/>
  <c r="I278" i="1"/>
  <c r="H317" i="1"/>
  <c r="I318" i="1"/>
  <c r="H327" i="1"/>
  <c r="H283" i="1"/>
  <c r="H321" i="1"/>
  <c r="H334" i="1"/>
  <c r="H288" i="1"/>
  <c r="H277" i="1"/>
  <c r="H325" i="1"/>
  <c r="H287" i="1"/>
  <c r="G277" i="1"/>
  <c r="G334" i="1"/>
  <c r="G317" i="1"/>
  <c r="G321" i="1"/>
  <c r="F320" i="1"/>
  <c r="F321" i="1"/>
  <c r="F302" i="1"/>
  <c r="F278" i="1"/>
  <c r="F317" i="1"/>
  <c r="F334" i="1"/>
  <c r="B36" i="16"/>
  <c r="G97" i="1"/>
  <c r="J180" i="1"/>
  <c r="G393" i="1"/>
  <c r="H252" i="1"/>
  <c r="G252" i="1"/>
  <c r="F252" i="1"/>
  <c r="I245" i="1"/>
  <c r="G245" i="1"/>
  <c r="F245" i="1"/>
  <c r="K244" i="1"/>
  <c r="J244" i="1"/>
  <c r="I244" i="1"/>
  <c r="G244" i="1"/>
  <c r="F244" i="1"/>
  <c r="K243" i="1"/>
  <c r="J243" i="1"/>
  <c r="I243" i="1"/>
  <c r="H243" i="1"/>
  <c r="G243" i="1"/>
  <c r="F243" i="1"/>
  <c r="H242" i="1"/>
  <c r="K241" i="1"/>
  <c r="J241" i="1"/>
  <c r="I241" i="1"/>
  <c r="H241" i="1"/>
  <c r="G241" i="1"/>
  <c r="F241" i="1"/>
  <c r="I235" i="1"/>
  <c r="H235" i="1"/>
  <c r="G235" i="1"/>
  <c r="F235" i="1"/>
  <c r="G239" i="1"/>
  <c r="G242" i="1"/>
  <c r="K242" i="1"/>
  <c r="F242" i="1"/>
  <c r="J242" i="1"/>
  <c r="I242" i="1"/>
  <c r="K240" i="1"/>
  <c r="J240" i="1"/>
  <c r="I240" i="1"/>
  <c r="H240" i="1"/>
  <c r="G240" i="1"/>
  <c r="F240" i="1"/>
  <c r="H239" i="1"/>
  <c r="F239" i="1"/>
  <c r="J239" i="1"/>
  <c r="I239" i="1"/>
  <c r="K239" i="1"/>
  <c r="K237" i="1"/>
  <c r="J237" i="1"/>
  <c r="I237" i="1"/>
  <c r="H237" i="1"/>
  <c r="G237" i="1"/>
  <c r="F237" i="1"/>
  <c r="K236" i="1"/>
  <c r="J236" i="1"/>
  <c r="I236" i="1"/>
  <c r="H236" i="1"/>
  <c r="G236" i="1"/>
  <c r="F236" i="1"/>
  <c r="K235" i="1"/>
  <c r="J235" i="1"/>
  <c r="G234" i="1"/>
  <c r="I234" i="1"/>
  <c r="J234" i="1"/>
  <c r="H234" i="1"/>
  <c r="F234" i="1"/>
  <c r="I227" i="1"/>
  <c r="H227" i="1"/>
  <c r="G227" i="1"/>
  <c r="F227" i="1"/>
  <c r="K226" i="1"/>
  <c r="J226" i="1"/>
  <c r="I226" i="1"/>
  <c r="H226" i="1"/>
  <c r="G226" i="1"/>
  <c r="F226" i="1"/>
  <c r="K225" i="1"/>
  <c r="J225" i="1"/>
  <c r="I225" i="1"/>
  <c r="H225" i="1"/>
  <c r="G225" i="1"/>
  <c r="F225" i="1"/>
  <c r="H224" i="1"/>
  <c r="K223" i="1"/>
  <c r="J223" i="1"/>
  <c r="I223" i="1"/>
  <c r="H223" i="1"/>
  <c r="G223" i="1"/>
  <c r="F223" i="1"/>
  <c r="I217" i="1"/>
  <c r="H217" i="1"/>
  <c r="G217" i="1"/>
  <c r="F217" i="1"/>
  <c r="G221" i="1"/>
  <c r="G224" i="1"/>
  <c r="K224" i="1"/>
  <c r="F224" i="1"/>
  <c r="J224" i="1"/>
  <c r="I224" i="1"/>
  <c r="K222" i="1"/>
  <c r="J222" i="1"/>
  <c r="I222" i="1"/>
  <c r="G222" i="1"/>
  <c r="F222" i="1"/>
  <c r="H222" i="1"/>
  <c r="F221" i="1"/>
  <c r="H221" i="1"/>
  <c r="I221" i="1"/>
  <c r="K221" i="1"/>
  <c r="K219" i="1"/>
  <c r="J219" i="1"/>
  <c r="I219" i="1"/>
  <c r="H219" i="1"/>
  <c r="G219" i="1"/>
  <c r="F219" i="1"/>
  <c r="K217" i="1"/>
  <c r="J217" i="1"/>
  <c r="J216" i="1"/>
  <c r="I216" i="1"/>
  <c r="H216" i="1"/>
  <c r="G216" i="1"/>
  <c r="F216" i="1"/>
  <c r="K267" i="1" l="1"/>
  <c r="H256" i="1"/>
  <c r="I209" i="1"/>
  <c r="H209" i="1"/>
  <c r="G209" i="1"/>
  <c r="F209" i="1"/>
  <c r="K208" i="1"/>
  <c r="J208" i="1"/>
  <c r="I208" i="1"/>
  <c r="H208" i="1"/>
  <c r="G208" i="1"/>
  <c r="F208" i="1"/>
  <c r="K207" i="1"/>
  <c r="J207" i="1"/>
  <c r="I207" i="1"/>
  <c r="H207" i="1"/>
  <c r="G207" i="1"/>
  <c r="F207" i="1"/>
  <c r="H205" i="1"/>
  <c r="K205" i="1"/>
  <c r="J205" i="1"/>
  <c r="I205" i="1"/>
  <c r="G205" i="1"/>
  <c r="F205" i="1"/>
  <c r="I199" i="1"/>
  <c r="H199" i="1"/>
  <c r="G199" i="1"/>
  <c r="F199" i="1"/>
  <c r="K206" i="1"/>
  <c r="H206" i="1"/>
  <c r="G206" i="1"/>
  <c r="F206" i="1"/>
  <c r="J206" i="1"/>
  <c r="I206" i="1"/>
  <c r="G204" i="1"/>
  <c r="F204" i="1"/>
  <c r="K204" i="1"/>
  <c r="I204" i="1"/>
  <c r="H204" i="1"/>
  <c r="K203" i="1"/>
  <c r="J203" i="1"/>
  <c r="I203" i="1"/>
  <c r="H203" i="1"/>
  <c r="G203" i="1"/>
  <c r="F203" i="1"/>
  <c r="G201" i="1"/>
  <c r="F201" i="1"/>
  <c r="J199" i="1"/>
  <c r="K199" i="1"/>
  <c r="G198" i="1"/>
  <c r="J198" i="1"/>
  <c r="I198" i="1"/>
  <c r="H198" i="1"/>
  <c r="F198" i="1"/>
  <c r="J361" i="1" l="1"/>
  <c r="J360" i="1"/>
  <c r="J359" i="1"/>
  <c r="H359" i="1"/>
  <c r="H361" i="1"/>
  <c r="H360" i="1"/>
  <c r="H390" i="1" l="1"/>
  <c r="K416" i="1"/>
  <c r="J469" i="1" l="1"/>
  <c r="J473" i="1"/>
  <c r="G158" i="1"/>
  <c r="G132" i="1"/>
  <c r="H13" i="1" l="1"/>
  <c r="H12" i="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H140" i="1" s="1"/>
  <c r="I121" i="1"/>
  <c r="I136" i="1"/>
  <c r="J121" i="1"/>
  <c r="J136" i="1"/>
  <c r="F147" i="1"/>
  <c r="C85" i="2"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F85" i="2" l="1"/>
  <c r="F409" i="1"/>
  <c r="H644" i="1" s="1"/>
  <c r="E124" i="2"/>
  <c r="D18" i="13"/>
  <c r="C18" i="13" s="1"/>
  <c r="H87" i="2"/>
  <c r="G663" i="1"/>
  <c r="I112" i="1"/>
  <c r="E120" i="2"/>
  <c r="H135" i="2"/>
  <c r="H72" i="2"/>
  <c r="E125" i="2"/>
  <c r="C125" i="2"/>
  <c r="H125" i="2" s="1"/>
  <c r="E111" i="2"/>
  <c r="G646" i="1"/>
  <c r="C13" i="10"/>
  <c r="C119" i="2"/>
  <c r="G409" i="1"/>
  <c r="H646" i="1" s="1"/>
  <c r="J646" i="1" s="1"/>
  <c r="H477" i="1"/>
  <c r="H625" i="1" s="1"/>
  <c r="J625" i="1" s="1"/>
  <c r="H22" i="2"/>
  <c r="H80" i="2"/>
  <c r="H93" i="2"/>
  <c r="H112" i="2"/>
  <c r="H26" i="2"/>
  <c r="H34" i="2"/>
  <c r="H100" i="2"/>
  <c r="H79" i="2"/>
  <c r="H73" i="2"/>
  <c r="H47" i="2"/>
  <c r="H97" i="2"/>
  <c r="H61" i="2"/>
  <c r="F170" i="1"/>
  <c r="J112" i="1"/>
  <c r="H9" i="2"/>
  <c r="J652" i="1"/>
  <c r="G477" i="1"/>
  <c r="H624" i="1" s="1"/>
  <c r="J624" i="1" s="1"/>
  <c r="H30" i="2"/>
  <c r="H27" i="2"/>
  <c r="H12" i="2"/>
  <c r="J140" i="1"/>
  <c r="C32" i="10"/>
  <c r="C12" i="10"/>
  <c r="E13" i="13"/>
  <c r="C13" i="13" s="1"/>
  <c r="H89" i="2"/>
  <c r="H137" i="2"/>
  <c r="H102" i="2"/>
  <c r="H99" i="2"/>
  <c r="H23" i="2"/>
  <c r="H15" i="2"/>
  <c r="H143" i="2"/>
  <c r="H132" i="2"/>
  <c r="G662" i="1"/>
  <c r="H36" i="2"/>
  <c r="H43" i="2"/>
  <c r="H48" i="2"/>
  <c r="H28" i="2"/>
  <c r="H96" i="2"/>
  <c r="H77" i="2"/>
  <c r="H59" i="2"/>
  <c r="H35" i="2"/>
  <c r="I409" i="1"/>
  <c r="H94" i="2"/>
  <c r="H29" i="2"/>
  <c r="H25" i="2"/>
  <c r="H17" i="2"/>
  <c r="H8" i="2"/>
  <c r="K36" i="14"/>
  <c r="K37" i="14" s="1"/>
  <c r="K2" i="14"/>
  <c r="K3" i="14" s="1"/>
  <c r="D29" i="13"/>
  <c r="C29" i="13" s="1"/>
  <c r="D15" i="13"/>
  <c r="C15" i="13" s="1"/>
  <c r="C120" i="2"/>
  <c r="H120" i="2" s="1"/>
  <c r="D144" i="2"/>
  <c r="H24" i="2"/>
  <c r="H69" i="2"/>
  <c r="H101" i="2"/>
  <c r="H98" i="2"/>
  <c r="H76" i="2"/>
  <c r="H58" i="2"/>
  <c r="H11" i="2"/>
  <c r="H113" i="2"/>
  <c r="H38" i="2"/>
  <c r="H44" i="2"/>
  <c r="H13"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E51" i="2"/>
  <c r="H111" i="2"/>
  <c r="E144" i="2"/>
  <c r="H119" i="2"/>
  <c r="I662" i="1"/>
  <c r="H122" i="2"/>
  <c r="H42" i="2"/>
  <c r="F194" i="1"/>
  <c r="G628" i="1" s="1"/>
  <c r="J628" i="1" s="1"/>
  <c r="H16" i="2"/>
  <c r="H103" i="2"/>
  <c r="H134" i="2"/>
  <c r="D128" i="2"/>
  <c r="D145" i="2" s="1"/>
  <c r="H127" i="2"/>
  <c r="D51" i="2"/>
  <c r="H50" i="2"/>
  <c r="C81" i="2"/>
  <c r="H81" i="2" s="1"/>
  <c r="H78" i="2"/>
  <c r="B33" i="16"/>
  <c r="H21" i="2"/>
  <c r="H57" i="2"/>
  <c r="H91" i="2"/>
  <c r="H85" i="2"/>
  <c r="H123" i="2"/>
  <c r="H114" i="2"/>
  <c r="H31" i="2"/>
  <c r="H62"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<sst xmlns="http://schemas.openxmlformats.org/spreadsheetml/2006/main" count="6644" uniqueCount="1846">
  <si>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</si>
  <si>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</si>
  <si>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</si>
  <si>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</si>
  <si>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</si>
  <si>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</si>
  <si>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</si>
  <si>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</si>
  <si>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</si>
  <si>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</si>
  <si>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</si>
  <si>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</si>
  <si>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</si>
  <si>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</si>
  <si>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</si>
  <si>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</si>
  <si>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</si>
  <si>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</si>
  <si>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</si>
  <si>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</si>
  <si>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</si>
  <si>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</si>
  <si>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</si>
  <si>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</si>
  <si>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</si>
  <si>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</si>
  <si>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</si>
  <si>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</si>
  <si>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</si>
  <si>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</si>
  <si>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</si>
  <si>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</si>
  <si>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</si>
  <si>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</si>
  <si>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</si>
  <si>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</si>
  <si>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</si>
  <si>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</si>
  <si>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</si>
  <si>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</si>
  <si>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</si>
  <si>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</si>
  <si>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</si>
  <si>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</si>
  <si>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</si>
  <si>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</si>
  <si>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</si>
  <si>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</si>
  <si>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</si>
  <si>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</si>
  <si>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</si>
  <si>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</si>
  <si>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</si>
  <si>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</si>
  <si>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</si>
  <si>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</si>
  <si>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</si>
  <si>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</si>
  <si>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</si>
  <si>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</si>
  <si>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</si>
  <si>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</si>
  <si>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</si>
  <si>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</si>
  <si>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</si>
  <si>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</si>
  <si>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</si>
  <si>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</si>
  <si>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</si>
  <si>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</si>
  <si>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</si>
  <si>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</si>
  <si>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</si>
  <si>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</si>
  <si>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</si>
  <si>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</si>
  <si>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</si>
  <si>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</si>
  <si>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</si>
  <si>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</si>
  <si>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</si>
  <si>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</si>
  <si>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</si>
  <si>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</si>
  <si>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</si>
  <si>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</si>
  <si>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</si>
  <si>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</si>
  <si>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</si>
  <si>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</si>
  <si>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</si>
  <si>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</si>
  <si>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</si>
  <si>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</si>
  <si>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</si>
  <si>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</si>
  <si>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</si>
  <si>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</si>
  <si>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</si>
  <si>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</si>
  <si>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</si>
  <si>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</si>
  <si>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</si>
  <si>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</si>
  <si>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</si>
  <si>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</si>
  <si>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</si>
  <si>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</si>
  <si>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</si>
  <si>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</si>
  <si>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</si>
  <si>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</si>
  <si>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</si>
  <si>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</si>
  <si>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</si>
  <si>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</si>
  <si>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</si>
  <si>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</si>
  <si>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</si>
  <si>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</si>
  <si>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</si>
  <si>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</si>
  <si>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</si>
  <si>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</si>
  <si>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</si>
  <si>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</si>
  <si>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</si>
  <si>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</si>
  <si>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</si>
  <si>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</si>
  <si>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</si>
  <si>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</si>
  <si>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</si>
  <si>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</si>
  <si>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</si>
  <si>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</si>
  <si>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</si>
  <si>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</si>
  <si>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</si>
  <si>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</si>
  <si>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</si>
  <si>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</si>
  <si>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</si>
  <si>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</si>
  <si>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</si>
  <si>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</si>
  <si>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</si>
  <si>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</si>
  <si>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</si>
  <si>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</si>
  <si>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</si>
  <si>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</si>
  <si>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</si>
  <si>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</si>
  <si>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</si>
  <si>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</si>
  <si>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</si>
  <si>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</si>
  <si>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</si>
  <si>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</si>
  <si>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</si>
  <si>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</si>
  <si>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</si>
  <si>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</si>
  <si>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</si>
  <si>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</si>
  <si>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</si>
  <si>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</si>
  <si>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</si>
  <si>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</si>
  <si>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</si>
  <si>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</si>
  <si>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</si>
  <si>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</si>
  <si>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</si>
  <si>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</si>
  <si>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</si>
  <si>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</si>
  <si>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</si>
  <si>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</si>
  <si>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</si>
  <si>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</si>
  <si>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</si>
  <si>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</si>
  <si>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</si>
  <si>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</si>
  <si>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</si>
  <si>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</si>
  <si>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</si>
  <si>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</si>
  <si>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</si>
  <si>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</si>
  <si>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</si>
  <si>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</si>
  <si>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</si>
  <si>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</si>
  <si>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</si>
  <si>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</si>
  <si>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</si>
  <si>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</si>
  <si>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</si>
  <si>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</si>
  <si>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</si>
  <si>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</si>
  <si>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</si>
  <si>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</si>
  <si>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</si>
  <si>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</si>
  <si>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</si>
  <si>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</si>
  <si>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</si>
  <si>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</si>
  <si>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</si>
  <si>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</si>
  <si>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</si>
  <si>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</si>
  <si>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</si>
  <si>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</si>
  <si>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</si>
  <si>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</si>
  <si>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</si>
  <si>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</si>
  <si>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</si>
  <si>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</si>
  <si>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</si>
  <si>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</si>
  <si>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</si>
  <si>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</si>
  <si>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</si>
  <si>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</si>
  <si>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</si>
  <si>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</si>
  <si>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</si>
  <si>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</si>
  <si>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</si>
  <si>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</si>
  <si>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</si>
  <si>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</si>
  <si>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</si>
  <si>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</si>
  <si>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</si>
  <si>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</si>
  <si>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</si>
  <si>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</si>
  <si>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</si>
  <si>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</si>
  <si>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</si>
  <si>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</si>
  <si>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</si>
  <si>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</si>
  <si>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</si>
  <si>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</si>
  <si>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</si>
  <si>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</si>
  <si>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</si>
  <si>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</si>
  <si>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</si>
  <si>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</si>
  <si>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</si>
  <si>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</si>
  <si>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</si>
  <si>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</si>
  <si>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</si>
  <si>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</si>
  <si>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</si>
  <si>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</si>
  <si>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</si>
  <si>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</si>
  <si>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</si>
  <si>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</si>
  <si>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</si>
  <si>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</si>
  <si>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</si>
  <si>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</si>
  <si>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</si>
  <si>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</si>
  <si>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</si>
  <si>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</si>
  <si>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</si>
  <si>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</si>
  <si>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</si>
  <si>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</si>
  <si>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</si>
  <si>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</si>
  <si>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</si>
  <si>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</si>
  <si>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</si>
  <si>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</si>
  <si>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</si>
  <si>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</si>
  <si>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</si>
  <si>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</si>
  <si>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</si>
  <si>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</si>
  <si>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</si>
  <si>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</si>
  <si>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</si>
  <si>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</si>
  <si>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</si>
  <si>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</si>
  <si>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</si>
  <si>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</si>
  <si>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</si>
  <si>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</si>
  <si>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</si>
  <si>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</si>
  <si>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</si>
  <si>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</si>
  <si>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</si>
  <si>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</si>
  <si>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</si>
  <si>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</si>
  <si>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</si>
  <si>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</si>
  <si>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</si>
  <si>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</si>
  <si>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</si>
  <si>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</si>
  <si>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</si>
  <si>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</si>
  <si>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</si>
  <si>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</si>
  <si>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</si>
  <si>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</si>
  <si>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</si>
  <si>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</si>
  <si>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</si>
  <si>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</si>
  <si>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</si>
  <si>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</si>
  <si>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</si>
  <si>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</si>
  <si>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</si>
  <si>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</si>
  <si>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</si>
  <si>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</si>
  <si>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</si>
  <si>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</si>
  <si>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</si>
  <si>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</si>
  <si>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</si>
  <si>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</si>
  <si>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</si>
  <si>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</si>
  <si>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</si>
  <si>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</si>
  <si>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</si>
  <si>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</si>
  <si>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</si>
  <si>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</si>
  <si>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</si>
  <si>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</si>
  <si>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</si>
  <si>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</si>
  <si>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</si>
  <si>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</si>
  <si>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</si>
  <si>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</si>
  <si>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</si>
  <si>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</si>
  <si>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</si>
  <si>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</si>
  <si>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</si>
  <si>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</si>
  <si>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</si>
  <si>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</si>
  <si>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</si>
  <si>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</si>
  <si>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</si>
  <si>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</si>
  <si>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</si>
  <si>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</si>
  <si>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</si>
  <si>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</si>
  <si>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</si>
  <si>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</si>
  <si>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</si>
  <si>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</si>
  <si>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</si>
  <si>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</si>
  <si>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</si>
  <si>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</si>
  <si>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</si>
  <si>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</si>
  <si>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</si>
  <si>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</si>
  <si>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</si>
  <si>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</si>
  <si>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</si>
  <si>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</si>
  <si>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</si>
  <si>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</si>
  <si>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</si>
  <si>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</si>
  <si>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</si>
  <si>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</si>
  <si>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</si>
  <si>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</si>
  <si>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</si>
  <si>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</si>
  <si>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</si>
  <si>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</si>
  <si>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</si>
  <si>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</si>
  <si>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</si>
  <si>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</si>
  <si>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</si>
  <si>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</si>
  <si>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</si>
  <si>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</si>
  <si>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</si>
  <si>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</si>
  <si>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</si>
  <si>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</si>
  <si>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</si>
  <si>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</si>
  <si>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</si>
  <si>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</si>
  <si>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</si>
  <si>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</si>
  <si>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</si>
  <si>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</si>
  <si>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</si>
  <si>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</si>
  <si>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</si>
  <si>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</si>
  <si>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</si>
  <si>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</si>
  <si>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</si>
  <si>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</si>
  <si>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</si>
  <si>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</si>
  <si>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</si>
  <si>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</si>
  <si>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</si>
  <si>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</si>
  <si>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</si>
  <si>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</si>
  <si>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</si>
  <si>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</si>
  <si>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</si>
  <si>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</si>
  <si>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</si>
  <si>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</si>
  <si>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</si>
  <si>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</si>
  <si>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</si>
  <si>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</si>
  <si>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</si>
  <si>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</si>
  <si>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</si>
  <si>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</si>
  <si>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</si>
  <si>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</si>
  <si>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</si>
  <si>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</si>
  <si>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</si>
  <si>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</si>
  <si>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</si>
  <si>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</si>
  <si>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</si>
  <si>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</si>
  <si>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</si>
  <si>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</si>
  <si>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</si>
  <si>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</si>
  <si>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</si>
  <si>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</si>
  <si>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</si>
  <si>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</si>
  <si>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</si>
  <si>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</si>
  <si>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</si>
  <si>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</si>
  <si>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</si>
  <si>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</si>
  <si>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</si>
  <si>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</si>
  <si>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</si>
  <si>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</si>
  <si>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</si>
  <si>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</si>
  <si>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</si>
  <si>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</si>
  <si>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</si>
  <si>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</si>
  <si>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</si>
  <si>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</si>
  <si>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</si>
  <si>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</si>
  <si>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</si>
  <si>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</si>
  <si>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</si>
  <si>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</si>
  <si>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</si>
  <si>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</si>
  <si>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</si>
  <si>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</si>
  <si>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</si>
  <si>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</si>
  <si>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</si>
  <si>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</si>
  <si>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</si>
  <si>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</si>
  <si>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</si>
  <si>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</si>
  <si>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</si>
  <si>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</si>
  <si>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</si>
  <si>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</si>
  <si>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</si>
  <si>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</si>
  <si>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</si>
  <si>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</si>
  <si>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</si>
  <si>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</si>
  <si>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</si>
  <si>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</si>
  <si>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</si>
  <si>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</si>
  <si>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</si>
  <si>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</si>
  <si>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</si>
  <si>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</si>
  <si>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</si>
  <si>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</si>
  <si>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</si>
  <si>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</si>
  <si>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</si>
  <si>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</si>
  <si>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</si>
  <si>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</si>
  <si>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</si>
  <si>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</si>
  <si>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</si>
  <si>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</si>
  <si>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</si>
  <si>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</si>
  <si>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</si>
  <si>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</si>
  <si>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</si>
  <si>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</si>
  <si>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</si>
  <si>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</si>
  <si>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</si>
  <si>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</si>
  <si>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</si>
  <si>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</si>
  <si>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</si>
  <si>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</si>
  <si>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</si>
  <si>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</si>
  <si>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</si>
  <si>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</si>
  <si>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</si>
  <si>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</si>
  <si>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</si>
  <si>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</si>
  <si>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</si>
  <si>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</si>
  <si>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</si>
  <si>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</si>
  <si>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</si>
  <si>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</si>
  <si>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</si>
  <si>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</si>
  <si>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</si>
  <si>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</si>
  <si>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</si>
  <si>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</si>
  <si>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</si>
  <si>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</si>
  <si>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</si>
  <si>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</si>
  <si>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</si>
  <si>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</si>
  <si>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</si>
  <si>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</si>
  <si>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</si>
  <si>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</si>
  <si>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</si>
  <si>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</si>
  <si>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</si>
  <si>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</si>
  <si>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</si>
  <si>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</si>
  <si>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</si>
  <si>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</si>
  <si>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</si>
  <si>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</si>
  <si>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</si>
  <si>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</si>
  <si>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</si>
  <si>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</si>
  <si>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</si>
  <si>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</si>
  <si>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</si>
  <si>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</si>
  <si>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</si>
  <si>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</si>
  <si>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</si>
  <si>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</si>
  <si>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</si>
  <si>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</si>
  <si>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</si>
  <si>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</si>
  <si>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</si>
  <si>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</si>
  <si>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</si>
  <si>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</si>
  <si>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</si>
  <si>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</si>
  <si>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</si>
  <si>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</si>
  <si>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</si>
  <si>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</si>
  <si>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</si>
  <si>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</si>
  <si>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</si>
  <si>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</si>
  <si>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</si>
  <si>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</si>
  <si>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</si>
  <si>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</si>
  <si>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</si>
  <si>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</si>
  <si>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</si>
  <si>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</si>
  <si>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</si>
  <si>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</si>
  <si>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</si>
  <si>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</si>
  <si>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</si>
  <si>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</si>
  <si>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</si>
  <si>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</si>
  <si>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</si>
  <si>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</si>
  <si>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</si>
  <si>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</si>
  <si>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</si>
  <si>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</si>
  <si>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</si>
  <si>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</si>
  <si>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</si>
  <si>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</si>
  <si>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</si>
  <si>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</si>
  <si>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</si>
  <si>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</si>
  <si>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</si>
  <si>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</si>
  <si>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</si>
  <si>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</si>
  <si>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</si>
  <si>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</si>
  <si>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</si>
  <si>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</si>
  <si>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</si>
  <si>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</si>
  <si>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</si>
  <si>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</si>
  <si>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</si>
  <si>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</si>
  <si>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</si>
  <si>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</si>
  <si>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</si>
  <si>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</si>
  <si>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</si>
  <si>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</si>
  <si>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</si>
  <si>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</si>
  <si>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</si>
  <si>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</si>
  <si>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</si>
  <si>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</si>
  <si>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</si>
  <si>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</si>
  <si>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</si>
  <si>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</si>
  <si>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</si>
  <si>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</si>
  <si>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</si>
  <si>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</si>
  <si>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</si>
  <si>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</si>
  <si>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</si>
  <si>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</si>
  <si>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</si>
  <si>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</si>
  <si>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</si>
  <si>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</si>
  <si>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</si>
  <si>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</si>
  <si>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</si>
  <si>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</si>
  <si>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</si>
  <si>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</si>
  <si>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</si>
  <si>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</si>
  <si>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</si>
  <si>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</si>
  <si>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</si>
  <si>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</si>
  <si>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</si>
  <si>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</si>
  <si>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</si>
  <si>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</si>
  <si>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</si>
  <si>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</si>
  <si>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</si>
  <si>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</si>
  <si>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</si>
  <si>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</si>
  <si>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</si>
  <si>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</si>
  <si>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</si>
  <si>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</si>
  <si>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</si>
  <si>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</si>
  <si>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</si>
  <si>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</si>
  <si>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</si>
  <si>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</si>
  <si>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</si>
  <si>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</si>
  <si>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</si>
  <si>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</si>
  <si>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</si>
  <si>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</si>
  <si>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</si>
  <si>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</si>
  <si>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</si>
  <si>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</si>
  <si>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</si>
  <si>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</si>
  <si>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</si>
  <si>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</si>
  <si>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</si>
  <si>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</si>
  <si>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</si>
  <si>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</si>
  <si>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</si>
  <si>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</si>
  <si>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</si>
  <si>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</si>
  <si>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</si>
  <si>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</si>
  <si>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</si>
  <si>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</si>
  <si>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</si>
  <si>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</si>
  <si>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</si>
  <si>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</si>
  <si>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</si>
  <si>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</si>
  <si>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</si>
  <si>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</si>
  <si>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</si>
  <si>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</si>
  <si>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</si>
  <si>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</si>
  <si>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</si>
  <si>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</si>
  <si>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</si>
  <si>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</si>
  <si>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</si>
  <si>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</si>
  <si>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</si>
  <si>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</si>
  <si>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</si>
  <si>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</si>
  <si>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</si>
  <si>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</si>
  <si>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</si>
  <si>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</si>
  <si>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</si>
  <si>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</si>
  <si>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</si>
  <si>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</si>
  <si>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</si>
  <si>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</si>
  <si>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</si>
  <si>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</si>
  <si>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</si>
  <si>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</si>
  <si>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</si>
  <si>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</si>
  <si>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</si>
  <si>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</si>
  <si>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</si>
  <si>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</si>
  <si>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</si>
  <si>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</si>
  <si>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</si>
  <si>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</si>
  <si>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</si>
  <si>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</si>
  <si>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</si>
  <si>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</si>
  <si>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</si>
  <si>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</si>
  <si>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</si>
  <si>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</si>
  <si>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</si>
  <si>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</si>
  <si>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</si>
  <si>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</si>
  <si>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</si>
  <si>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</si>
  <si>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</si>
  <si>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</si>
  <si>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</si>
  <si>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</si>
  <si>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</si>
  <si>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</si>
  <si>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</si>
  <si>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</si>
  <si>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</si>
  <si>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</si>
  <si>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</si>
  <si>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</si>
  <si>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</si>
  <si>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</si>
  <si>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</si>
  <si>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</si>
  <si>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</si>
  <si>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</si>
  <si>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</si>
  <si>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</si>
  <si>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</si>
  <si>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</si>
  <si>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</si>
  <si>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</si>
  <si>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</si>
  <si>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</si>
  <si>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</si>
  <si>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</si>
  <si>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</si>
  <si>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</si>
  <si>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</si>
  <si>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</si>
  <si>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</si>
  <si>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</si>
  <si>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</si>
  <si>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</si>
  <si>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</si>
  <si>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</si>
  <si>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</si>
  <si>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</si>
  <si>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</si>
  <si>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</si>
  <si>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</si>
  <si>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</si>
  <si>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</si>
  <si>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</si>
  <si>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</si>
  <si>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</si>
  <si>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</si>
  <si>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</si>
  <si>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</si>
  <si>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</si>
  <si>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</si>
  <si>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</si>
  <si>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</si>
  <si>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</si>
  <si>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</si>
  <si>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</si>
  <si>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</si>
  <si>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</si>
  <si>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</si>
  <si>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</si>
  <si>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</si>
  <si>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</si>
  <si>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</si>
  <si>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</si>
  <si>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</si>
  <si>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</si>
  <si>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</si>
  <si>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</si>
  <si>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</si>
  <si>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</si>
  <si>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</si>
  <si>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</si>
  <si>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</si>
  <si>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</si>
  <si>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</si>
  <si>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</si>
  <si>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</si>
  <si>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</si>
  <si>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</si>
  <si>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</si>
  <si>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</si>
  <si>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</si>
  <si>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</si>
  <si>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</si>
  <si>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</si>
  <si>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</si>
  <si>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</si>
  <si>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</si>
  <si>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</si>
  <si>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</si>
  <si>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</si>
  <si>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</si>
  <si>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</si>
  <si>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</si>
  <si>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</si>
  <si>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</si>
  <si>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</si>
  <si>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</si>
  <si>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</si>
  <si>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</si>
  <si>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</si>
  <si>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</si>
  <si>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</si>
  <si>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</si>
  <si>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</si>
  <si>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</si>
  <si>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</si>
  <si>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</si>
  <si>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</si>
  <si>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</si>
  <si>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</si>
  <si>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</si>
  <si>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</si>
  <si>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</si>
  <si>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</si>
  <si>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</si>
  <si>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</si>
  <si>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</si>
  <si>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</si>
  <si>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</si>
  <si>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</si>
  <si>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</si>
  <si>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</si>
  <si>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</si>
  <si>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</si>
  <si>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</si>
  <si>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</si>
  <si>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</si>
  <si>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</si>
  <si>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</si>
  <si>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</si>
  <si>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</si>
  <si>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</si>
  <si>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</si>
  <si>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</si>
  <si>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</si>
  <si>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</si>
  <si>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</si>
  <si>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</si>
  <si>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</si>
  <si>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</si>
  <si>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</si>
  <si>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</si>
  <si>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</si>
  <si>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</si>
  <si>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</si>
  <si>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</si>
  <si>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</si>
  <si>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</si>
  <si>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</si>
  <si>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</si>
  <si>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</si>
  <si>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</si>
  <si>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</si>
  <si>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</si>
  <si>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</si>
  <si>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</si>
  <si>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</si>
  <si>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</si>
  <si>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</si>
  <si>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</si>
  <si>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</si>
  <si>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</si>
  <si>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</si>
  <si>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</si>
  <si>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</si>
  <si>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</si>
  <si>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</si>
  <si>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</si>
  <si>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</si>
  <si>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</si>
  <si>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</si>
  <si>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</si>
  <si>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</si>
  <si>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</si>
  <si>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</si>
  <si>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</si>
  <si>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</si>
  <si>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</si>
  <si>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</si>
  <si>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</si>
  <si>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</si>
  <si>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</si>
  <si>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</si>
  <si>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</si>
  <si>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</si>
  <si>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</si>
  <si>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</si>
  <si>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</si>
  <si>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</si>
  <si>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</si>
  <si>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</si>
  <si>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</si>
  <si>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</si>
  <si>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</si>
  <si>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</si>
  <si>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</si>
  <si>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</si>
  <si>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</si>
  <si>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</si>
  <si>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</si>
  <si>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</si>
  <si>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</si>
  <si>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</si>
  <si>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</si>
  <si>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</si>
  <si>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</si>
  <si>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</si>
  <si>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</si>
  <si>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</si>
  <si>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</si>
  <si>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</si>
  <si>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</si>
  <si>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</si>
  <si>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</si>
  <si>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</si>
  <si>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</si>
  <si>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</si>
  <si>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</si>
  <si>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</si>
  <si>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</si>
  <si>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</si>
  <si>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</si>
  <si>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</si>
  <si>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</si>
  <si>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</si>
  <si>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</si>
  <si>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</si>
  <si>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</si>
  <si>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</si>
  <si>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</si>
  <si>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</si>
  <si>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</si>
  <si>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</si>
  <si>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</si>
  <si>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</si>
  <si>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</si>
  <si>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</si>
  <si>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</si>
  <si>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</si>
  <si>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</si>
  <si>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</si>
  <si>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</si>
  <si>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</si>
  <si>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</si>
  <si>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</si>
  <si>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</si>
  <si>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</si>
  <si>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</si>
  <si>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</si>
  <si>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</si>
  <si>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</si>
  <si>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</si>
  <si>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</si>
  <si>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</si>
  <si>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</si>
  <si>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</si>
  <si>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</si>
  <si>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</si>
  <si>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</si>
  <si>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</si>
  <si>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</si>
  <si>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</si>
  <si>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</si>
  <si>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</si>
  <si>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</si>
  <si>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</si>
  <si>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</si>
  <si>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</si>
  <si>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</si>
  <si>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</si>
  <si>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</si>
  <si>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</si>
  <si>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</si>
  <si>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</si>
  <si>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</si>
  <si>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</si>
  <si>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</si>
  <si>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</si>
  <si>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</si>
  <si>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</si>
  <si>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</si>
  <si>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</si>
  <si>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</si>
  <si>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</si>
  <si>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</si>
  <si>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</si>
  <si>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</si>
  <si>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</si>
  <si>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</si>
  <si>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</si>
  <si>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</si>
  <si>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</si>
  <si>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</si>
  <si>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</si>
  <si>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</si>
  <si>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</si>
  <si>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</si>
  <si>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</si>
  <si>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</si>
  <si>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</si>
  <si>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</si>
  <si>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</si>
  <si>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</si>
  <si>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</si>
  <si>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</si>
  <si>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</si>
  <si>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</si>
  <si>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</si>
  <si>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</si>
  <si>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</si>
  <si>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</si>
  <si>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</si>
  <si>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</si>
  <si>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</si>
  <si>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</si>
  <si>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</si>
  <si>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</si>
  <si>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</si>
  <si>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</si>
  <si>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</si>
  <si>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</si>
  <si>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</si>
  <si>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</si>
  <si>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</si>
  <si>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</si>
  <si>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</si>
  <si>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</si>
  <si>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</si>
  <si>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</si>
  <si>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</si>
  <si>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</si>
  <si>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</si>
  <si>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</si>
  <si>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</si>
  <si>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</si>
  <si>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</si>
  <si>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</si>
  <si>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</si>
  <si>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</si>
  <si>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</si>
  <si>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</si>
  <si>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</si>
  <si>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</si>
  <si>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</si>
  <si>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</si>
  <si>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</si>
  <si>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</si>
  <si>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</si>
  <si>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</si>
  <si>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</si>
  <si>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</si>
  <si>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</si>
  <si>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</si>
  <si>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</si>
  <si>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</si>
  <si>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</si>
  <si>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</si>
  <si>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</si>
  <si>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</si>
  <si>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</si>
  <si>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</si>
  <si>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</si>
  <si>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</si>
  <si>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</si>
  <si>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</si>
  <si>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</si>
  <si>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</si>
  <si>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</si>
  <si>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</si>
  <si>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</si>
  <si>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</si>
  <si>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</si>
  <si>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</si>
  <si>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</si>
  <si>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</si>
  <si>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</si>
  <si>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</si>
  <si>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</si>
  <si>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</si>
  <si>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</si>
  <si>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</si>
  <si>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</si>
  <si>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</si>
  <si>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</si>
  <si>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</si>
  <si>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</si>
  <si>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</si>
  <si>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</si>
  <si>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</si>
  <si>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</si>
  <si>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</si>
  <si>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</si>
  <si>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</si>
  <si>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</si>
  <si>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</si>
  <si>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</si>
  <si>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</si>
  <si>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</si>
  <si>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</si>
  <si>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</si>
  <si>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</si>
  <si>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</si>
  <si>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</si>
  <si>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</si>
  <si>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</si>
  <si>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</si>
  <si>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</si>
  <si>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</si>
  <si>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</si>
  <si>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</si>
  <si>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</si>
  <si>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</si>
  <si>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</si>
  <si>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</si>
  <si>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</si>
  <si>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</si>
  <si>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</si>
  <si>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</si>
  <si>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</si>
  <si>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</si>
  <si>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</si>
  <si>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</si>
  <si>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</si>
  <si>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</si>
  <si>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</si>
  <si>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</si>
  <si>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</si>
  <si>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</si>
  <si>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</si>
  <si>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</si>
  <si>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</si>
  <si>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</si>
  <si>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</si>
  <si>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</si>
  <si>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</si>
  <si>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</si>
  <si>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</si>
  <si>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</si>
  <si>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</si>
  <si>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</si>
  <si>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</si>
  <si>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</si>
  <si>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</si>
  <si>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</si>
  <si>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</si>
  <si>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</si>
  <si>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</si>
  <si>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</si>
  <si>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</si>
  <si>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</si>
  <si>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</si>
  <si>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</si>
  <si>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</si>
  <si>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</si>
  <si>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</si>
  <si>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</si>
  <si>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</si>
  <si>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</si>
  <si>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</si>
  <si>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</si>
  <si>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</si>
  <si>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</si>
  <si>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</si>
  <si>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</si>
  <si>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</si>
  <si>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</si>
  <si>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</si>
  <si>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</si>
  <si>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</si>
  <si>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</si>
  <si>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</si>
  <si>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</si>
  <si>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</si>
  <si>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</si>
  <si>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</si>
  <si>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</si>
  <si>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</si>
  <si>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</si>
  <si>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</si>
  <si>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</si>
  <si>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</si>
  <si>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</si>
  <si>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</si>
  <si>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</si>
  <si>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</si>
  <si>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</si>
  <si>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</si>
  <si>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</si>
  <si>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</si>
  <si>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</si>
  <si>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</si>
  <si>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</si>
  <si>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</si>
  <si>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</si>
  <si>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</si>
  <si>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</si>
  <si>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</si>
  <si>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</si>
  <si>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</si>
  <si>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</si>
  <si>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</si>
  <si>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</si>
  <si>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</si>
  <si>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</si>
  <si>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</si>
  <si>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</si>
  <si>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</si>
  <si>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</si>
  <si>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</si>
  <si>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</si>
  <si>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</si>
  <si>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</si>
  <si>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</si>
  <si>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</si>
  <si>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</si>
  <si>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</si>
  <si>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</si>
  <si>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</si>
  <si>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</si>
  <si>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</si>
  <si>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</si>
  <si>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</si>
  <si>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</si>
  <si>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</si>
  <si>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</si>
  <si>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</si>
  <si>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</si>
  <si>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</si>
  <si>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</si>
  <si>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</si>
  <si>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</si>
  <si>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</si>
  <si>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</si>
  <si>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</si>
  <si>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</si>
  <si>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</si>
  <si>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</si>
  <si>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</si>
  <si>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</si>
  <si>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</si>
  <si>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</si>
  <si>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</si>
  <si>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</si>
  <si>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</si>
  <si>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</si>
  <si>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</si>
  <si>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</si>
  <si>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</si>
  <si>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</si>
  <si>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</si>
  <si>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</si>
  <si>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</si>
  <si>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</si>
  <si>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</si>
  <si>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</si>
  <si>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</si>
  <si>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</si>
  <si>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</si>
  <si>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</si>
  <si>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</si>
  <si>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</si>
  <si>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</si>
  <si>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</si>
  <si>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</si>
  <si>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</si>
  <si>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</si>
  <si>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</si>
  <si>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</si>
  <si>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</si>
  <si>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</si>
  <si>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</si>
  <si>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</si>
  <si>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</si>
  <si>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</si>
  <si>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</si>
  <si>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</si>
  <si>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</si>
  <si>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</si>
  <si>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</si>
  <si>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</si>
  <si>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</si>
  <si>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</si>
  <si>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</si>
  <si>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</si>
  <si>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</si>
  <si>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</si>
  <si>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</si>
  <si>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</si>
  <si>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</si>
  <si>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</si>
  <si>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</si>
  <si>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</si>
  <si>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</si>
  <si>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</si>
  <si>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</si>
  <si>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</si>
  <si>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</si>
  <si>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</si>
  <si>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</si>
  <si>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</si>
  <si>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</si>
  <si>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</si>
  <si>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</si>
  <si>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</si>
  <si>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</si>
  <si>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</si>
  <si>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</si>
  <si>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</si>
  <si>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</si>
  <si>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</si>
  <si>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</si>
  <si>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</si>
  <si>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</si>
  <si>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</si>
  <si>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</si>
  <si>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</si>
  <si>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</si>
  <si>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</si>
  <si>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</si>
  <si>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</si>
  <si>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</si>
  <si>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</si>
  <si>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</si>
  <si>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</si>
  <si>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</si>
  <si>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</si>
  <si>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</si>
  <si>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</si>
  <si>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</si>
  <si>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</si>
  <si>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</si>
  <si>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</si>
  <si>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</si>
  <si>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</si>
  <si>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</si>
  <si>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</si>
  <si>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</si>
  <si>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</si>
  <si>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</si>
  <si>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</si>
  <si>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</si>
  <si>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</si>
  <si>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</si>
  <si>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</si>
  <si>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</si>
  <si>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</si>
  <si>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</si>
  <si>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</si>
  <si>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</si>
  <si>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</si>
  <si>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</si>
  <si>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</si>
  <si>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</si>
  <si>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</si>
  <si>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</si>
  <si>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</si>
  <si>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</si>
  <si>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</si>
  <si>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</si>
  <si>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</si>
  <si>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</si>
  <si>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</si>
  <si>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</si>
  <si>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</si>
  <si>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</si>
  <si>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</si>
  <si>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</si>
  <si>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</si>
  <si>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</si>
  <si>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</si>
  <si>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</si>
  <si>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</si>
  <si>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</si>
  <si>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</si>
  <si>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</si>
  <si>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</si>
  <si>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</si>
  <si>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</si>
  <si>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</si>
  <si>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</si>
  <si>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</si>
  <si>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</si>
  <si>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</si>
  <si>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</si>
  <si>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</si>
  <si>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</si>
  <si>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</si>
  <si>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</si>
  <si>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</si>
  <si>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</si>
  <si>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</si>
  <si>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</si>
  <si>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</si>
  <si>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</si>
  <si>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</si>
  <si>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</si>
  <si>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</si>
  <si>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</si>
  <si>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</si>
  <si>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</si>
  <si>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</si>
  <si>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</si>
  <si>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</si>
  <si>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</si>
  <si>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</si>
  <si>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</si>
  <si>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</si>
  <si>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</si>
  <si>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</si>
  <si>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</si>
  <si>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</si>
  <si>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</si>
  <si>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</si>
  <si>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</si>
  <si>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</si>
  <si>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</si>
  <si>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</si>
  <si>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</si>
  <si>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</si>
  <si>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</si>
  <si>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</si>
  <si>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</si>
  <si>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</si>
  <si>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</si>
  <si>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</si>
  <si>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</si>
  <si>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</si>
  <si>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</si>
  <si>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</si>
  <si>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</si>
  <si>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</si>
  <si>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</si>
  <si>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</si>
  <si>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</si>
  <si>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</si>
  <si>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</si>
  <si>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</si>
  <si>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</si>
  <si>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</si>
  <si>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</si>
  <si>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</si>
  <si>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</si>
  <si>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</si>
  <si>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</si>
  <si>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</si>
  <si>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</si>
  <si>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</si>
  <si>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</si>
  <si>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</si>
  <si>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</si>
  <si>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</si>
  <si>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</si>
  <si>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</si>
  <si>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</si>
  <si>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</si>
  <si>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</si>
  <si>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</si>
  <si>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</si>
  <si>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</si>
  <si>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</si>
  <si>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</si>
  <si>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</si>
  <si>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</si>
  <si>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</si>
  <si>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</si>
  <si>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</si>
  <si>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</si>
  <si>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</si>
  <si>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</si>
  <si>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</si>
  <si>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</si>
  <si>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</si>
  <si>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</si>
  <si>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</si>
  <si>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</si>
  <si>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</si>
  <si>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</si>
  <si>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</si>
  <si>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</si>
  <si>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</si>
  <si>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</si>
  <si>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</si>
  <si>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</si>
  <si>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</si>
  <si>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</si>
  <si>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</si>
  <si>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</si>
  <si>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</si>
  <si>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</si>
  <si>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</si>
  <si>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</si>
  <si>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</si>
  <si>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</si>
  <si>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</si>
  <si>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</si>
  <si>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</si>
  <si>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</si>
  <si>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</si>
  <si>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</si>
  <si>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</si>
  <si>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</si>
  <si>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</si>
  <si>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</si>
  <si>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</si>
  <si>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</si>
  <si>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</si>
  <si>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</si>
  <si>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</si>
  <si>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</si>
  <si>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</si>
  <si>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</si>
  <si>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</si>
  <si>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</si>
  <si>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</si>
  <si>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</si>
  <si>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</si>
  <si>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</si>
  <si>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</si>
  <si>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</si>
  <si>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</si>
  <si>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</si>
  <si>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</si>
  <si>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</si>
  <si>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</si>
  <si>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</si>
  <si>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</si>
  <si>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</si>
  <si>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</si>
  <si>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</si>
  <si>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</si>
  <si>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</si>
  <si>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</si>
  <si>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</si>
  <si>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</si>
  <si>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</si>
  <si>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</si>
  <si>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</si>
  <si>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</si>
  <si>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</si>
  <si>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</si>
  <si>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</si>
  <si>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</si>
  <si>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</si>
  <si>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</si>
  <si>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</si>
  <si>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</si>
  <si>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</si>
  <si>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</si>
  <si>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</si>
  <si>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</si>
  <si>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</si>
  <si>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</si>
  <si>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</si>
  <si>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</si>
  <si>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</si>
  <si>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</si>
  <si>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</si>
  <si>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</si>
  <si>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</si>
  <si>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</si>
  <si>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</si>
  <si>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</si>
  <si>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</si>
  <si>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</si>
  <si>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</si>
  <si>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</si>
  <si>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</si>
  <si>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</si>
  <si>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</si>
  <si>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</si>
  <si>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</si>
  <si>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</si>
  <si>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</si>
  <si>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</si>
  <si>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</si>
  <si>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</si>
  <si>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</si>
  <si>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</si>
  <si>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</si>
  <si>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</si>
  <si>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</si>
  <si>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</si>
  <si>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</si>
  <si>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</si>
  <si>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</si>
  <si>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</si>
  <si>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</si>
  <si>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</si>
  <si>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</si>
  <si>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</si>
  <si>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</si>
  <si>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</si>
  <si>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</si>
  <si>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</si>
  <si>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</si>
  <si>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</si>
  <si>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</si>
  <si>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</si>
  <si>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</si>
  <si>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</si>
  <si>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</si>
  <si>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</si>
  <si>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</si>
  <si>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</si>
  <si>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</si>
  <si>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</si>
  <si>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</si>
  <si>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</si>
  <si>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</si>
  <si>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</si>
  <si>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</si>
  <si>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</si>
  <si>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</si>
  <si>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</si>
  <si>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</si>
  <si>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</si>
  <si>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</si>
  <si>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</si>
  <si>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</si>
  <si>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</si>
  <si>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</si>
  <si>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</si>
  <si>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</si>
  <si>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</si>
  <si>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</si>
  <si>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</si>
  <si>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</si>
  <si>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</si>
  <si>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</si>
  <si>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</si>
  <si>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</si>
  <si>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</si>
  <si>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</si>
  <si>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</si>
  <si>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</si>
  <si>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</si>
  <si>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</si>
  <si>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</si>
  <si>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</si>
  <si>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</si>
  <si>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</si>
  <si>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</si>
  <si>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</si>
  <si>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</si>
  <si>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</si>
  <si>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</si>
  <si>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</si>
  <si>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</si>
  <si>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</si>
  <si>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</si>
  <si>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</si>
  <si>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</si>
  <si>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</si>
  <si>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</si>
  <si>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</si>
  <si>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</si>
  <si>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</si>
  <si>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</si>
  <si>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</si>
  <si>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</si>
  <si>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</si>
  <si>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</si>
  <si>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</si>
  <si>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</si>
  <si>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</si>
  <si>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</si>
  <si>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</si>
  <si>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</si>
  <si>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</si>
  <si>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</si>
  <si>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</si>
  <si>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</si>
  <si>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</si>
  <si>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</si>
  <si>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</si>
  <si>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</si>
  <si>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</si>
  <si>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</si>
  <si>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</si>
  <si>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</si>
  <si>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</si>
  <si>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</si>
  <si>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</si>
  <si>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</si>
  <si>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</si>
  <si>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</si>
  <si>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</si>
  <si>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</si>
  <si>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</si>
  <si>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</si>
  <si>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</si>
  <si>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</si>
  <si>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</si>
  <si>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</si>
  <si>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</si>
  <si>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</si>
  <si>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</si>
  <si>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</si>
  <si>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</si>
  <si>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</si>
  <si>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</si>
  <si>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</si>
  <si>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</si>
  <si>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</si>
  <si>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</si>
  <si>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</si>
  <si>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</si>
  <si>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</si>
  <si>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</si>
  <si>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</si>
  <si>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</si>
  <si>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</si>
  <si>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</si>
  <si>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</si>
  <si>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</si>
  <si>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</si>
  <si>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</si>
  <si>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</si>
  <si>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</si>
  <si>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</si>
  <si>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</si>
  <si>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</si>
  <si>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</si>
  <si>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</si>
  <si>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</si>
  <si>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</si>
  <si>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</si>
  <si>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</si>
  <si>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t>
  </si>
  <si>
    <t xml:space="preserve">CTE Capital Reserve deposit/transfer of $13,220 from the differential charges (revenue) on the AV forms.  This was set up </t>
  </si>
  <si>
    <t xml:space="preserve">long before me when the CTE CRF was created.  My 5200 function code should be this differential expense amount, plus the </t>
  </si>
  <si>
    <t>approved annual amounts from the MS-22.</t>
  </si>
  <si>
    <t>General Fund and Food Fund Adjustments after Audit in 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</si>
</sst>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1180</v>
      </c>
      <c r="B2">
        <f>INDEX('School Tables'!$AH$3:$AH$213,MATCH('DOE25'!A2,'School Tables'!$AJ$3:$AJ$213,0))</f>
        <v>317</v>
      </c>
      <c r="C2">
        <f>INDEX('School Tables'!$AI$3:$AI$213,MATCH('DOE25'!A2,'School Tables'!$AJ$3:$AJ$213,0))</f>
        <v>317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600350.08+807737.16+191123.78</f>
        <v>1599211.02</v>
      </c>
      <c r="G9" s="18"/>
      <c r="H9" s="18"/>
      <c r="I9" s="18"/>
      <c r="J9" s="13">
        <f>SUM(I440)</f>
        <v>1122954.56</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-3085.79</v>
      </c>
      <c r="G12" s="18">
        <v>33871.760000000002</v>
      </c>
      <c r="H12" s="18">
        <f>171464.34+117.24</f>
        <v>171581.58</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69389.63</v>
      </c>
      <c r="G13" s="18">
        <v>37924.720000000001</v>
      </c>
      <c r="H13" s="18">
        <f>-171464.34+136625.41</f>
        <v>-34838.929999999993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4"/>
      <c r="G14" s="4"/>
      <c r="H14" s="4"/>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1665514.8599999999</v>
      </c>
      <c r="G19" s="38">
        <f>SUM(G9:G18)</f>
        <v>71796.48000000001</v>
      </c>
      <c r="H19" s="38">
        <f>SUM(H9:H18)</f>
        <v>136742.65</v>
      </c>
      <c r="I19" s="38">
        <f>SUM(I9:I18)</f>
        <v>0</v>
      </c>
      <c r="J19" s="38">
        <f>SUM(J9:J18)</f>
        <v>1122954.56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301929.12</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8626.31</v>
      </c>
      <c r="H30" s="18">
        <v>136742.65</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301929.12</v>
      </c>
      <c r="G32" s="38">
        <f>SUM(G22:G31)</f>
        <v>8626.31</v>
      </c>
      <c r="H32" s="38">
        <f>SUM(H22:H31)</f>
        <v>136742.65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63170.17</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1122954.56</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530557.55000000005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783028.19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1363585.74</v>
      </c>
      <c r="G51" s="38">
        <f>SUM(G35:G50)</f>
        <v>63170.17</v>
      </c>
      <c r="H51" s="38">
        <f>SUM(H35:H50)</f>
        <v>0</v>
      </c>
      <c r="I51" s="38">
        <f>SUM(I35:I50)</f>
        <v>0</v>
      </c>
      <c r="J51" s="38">
        <f>SUM(J35:J50)</f>
        <v>1122954.56</v>
      </c>
      <c r="K51" s="42" t="s">
        <v>288</v>
      </c>
      <c r="L51" s="42" t="s">
        <v>288</v>
      </c>
      <c r="N51" s="130"/>
    </row>
    <row r="52" spans="1:14" s="3" customFormat="1" ht="12.2" customHeight="1" thickTop="1" x14ac:dyDescent="0.15">
      <c r="A52" s="35" t="s">
        <v>455</v>
      </c>
      <c r="B52" s="36" t="s">
        <v>289</v>
      </c>
      <c r="C52" s="6">
        <v>37</v>
      </c>
      <c r="D52" s="36" t="s">
        <v>653</v>
      </c>
      <c r="E52" s="36"/>
      <c r="F52" s="38">
        <f>F51+F32</f>
        <v>1665514.8599999999</v>
      </c>
      <c r="G52" s="38">
        <f>G51+G32</f>
        <v>71796.479999999996</v>
      </c>
      <c r="H52" s="38">
        <f>H51+H32</f>
        <v>136742.65</v>
      </c>
      <c r="I52" s="38">
        <f>I51+I32</f>
        <v>0</v>
      </c>
      <c r="J52" s="38">
        <f>J51+J32</f>
        <v>1122954.56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9426029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9426029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6875</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55679.56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123388.76</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69961</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255904.32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91589.72</v>
      </c>
      <c r="G96" s="18"/>
      <c r="H96" s="18"/>
      <c r="I96" s="18"/>
      <c r="J96" s="18">
        <v>55361.81</v>
      </c>
      <c r="K96" s="23" t="s">
        <v>288</v>
      </c>
      <c r="L96" s="23" t="s">
        <v>288</v>
      </c>
      <c r="M96" s="8"/>
      <c r="N96" s="164"/>
    </row>
    <row r="97" spans="1:14" s="3" customFormat="1" ht="12.2" customHeight="1" x14ac:dyDescent="0.15">
      <c r="A97" s="1" t="s">
        <v>503</v>
      </c>
      <c r="B97" s="2" t="s">
        <v>315</v>
      </c>
      <c r="C97" s="6">
        <v>12</v>
      </c>
      <c r="D97" s="2" t="s">
        <v>430</v>
      </c>
      <c r="E97" s="6">
        <v>1600</v>
      </c>
      <c r="F97" s="23" t="s">
        <v>288</v>
      </c>
      <c r="G97" s="18">
        <f>88249.42+11812.6+5218.99+8170.17-7147.65</f>
        <v>106303.53000000001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97132.35</v>
      </c>
      <c r="G110" s="18"/>
      <c r="H110" s="18">
        <v>169755.14</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188722.07</v>
      </c>
      <c r="G111" s="38">
        <f>SUM(G96:G110)</f>
        <v>106303.53000000001</v>
      </c>
      <c r="H111" s="38">
        <f>SUM(H96:H110)</f>
        <v>169755.14</v>
      </c>
      <c r="I111" s="38">
        <f>SUM(I96:I110)</f>
        <v>0</v>
      </c>
      <c r="J111" s="38">
        <f>SUM(J96:J110)</f>
        <v>55361.81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9870655.3900000006</v>
      </c>
      <c r="G112" s="38">
        <f>G60+G111</f>
        <v>106303.53000000001</v>
      </c>
      <c r="H112" s="38">
        <f>H60+H79+H94+H111</f>
        <v>169755.14</v>
      </c>
      <c r="I112" s="38">
        <f>I60+I111</f>
        <v>0</v>
      </c>
      <c r="J112" s="38">
        <f>J60+J111</f>
        <v>55361.81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5022474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1185122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6179.17+10216.45</f>
        <v>16395.620000000003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6223991.6200000001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117000</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241462.64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3760.4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6428.19+2443.75+951.49+1492.28</f>
        <v>11315.71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362223.04000000004</v>
      </c>
      <c r="G136" s="38">
        <f>SUM(G123:G135)</f>
        <v>11315.71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6586214.6600000001</v>
      </c>
      <c r="G140" s="38">
        <f>G121+SUM(G136:G137)</f>
        <v>11315.71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46735.59</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46735.59</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494542.56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147219.98000000001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139752.9</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158419.51</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23916.02+34839.56+18107.34+12148.6+25687.8+77290.25+30994.75+37994.45+1805</f>
        <v>262783.77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232605.76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7436.21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78008.160000000003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2338543.87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7436.21</v>
      </c>
      <c r="G163" s="38">
        <f>SUM(G150:G162)</f>
        <v>262783.77</v>
      </c>
      <c r="H163" s="38">
        <f>SUM(H150:H162)</f>
        <v>3589092.74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1417.24</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55589.039999999994</v>
      </c>
      <c r="G170" s="38">
        <f>G147+G163+SUM(G164:G169)</f>
        <v>262783.77</v>
      </c>
      <c r="H170" s="38">
        <f>H147+H163+SUM(H164:H169)</f>
        <v>3589092.74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7147.65</v>
      </c>
      <c r="H180" s="18"/>
      <c r="I180" s="18"/>
      <c r="J180" s="18">
        <f>355000+13220.5</f>
        <v>368220.5</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7147.65</v>
      </c>
      <c r="H184" s="38">
        <f>SUM(H180:H183)</f>
        <v>0</v>
      </c>
      <c r="I184" s="38">
        <f>SUM(I180:I183)</f>
        <v>0</v>
      </c>
      <c r="J184" s="38">
        <f>SUM(J180:J183)</f>
        <v>368220.5</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163041.32</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163041.32</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163041.32</v>
      </c>
      <c r="G193" s="38">
        <f>G184+SUM(G189:G192)</f>
        <v>7147.65</v>
      </c>
      <c r="H193" s="38">
        <f>+H184+SUM(H189:H192)</f>
        <v>0</v>
      </c>
      <c r="I193" s="38">
        <f>I178+I184+SUM(I189:I192)</f>
        <v>0</v>
      </c>
      <c r="J193" s="38">
        <f>J184</f>
        <v>368220.5</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16675500.41</v>
      </c>
      <c r="G194" s="38">
        <f>G112+G140+G170+G193</f>
        <v>387550.66000000003</v>
      </c>
      <c r="H194" s="38">
        <f>H112+H140+H170+H193</f>
        <v>3758847.8800000004</v>
      </c>
      <c r="I194" s="38">
        <f>I112+I140+I170+I193</f>
        <v>0</v>
      </c>
      <c r="J194" s="38">
        <f>J112+J140+J193</f>
        <v>423582.31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1561935.43+13500+57335.26+26427.51+8326.93+30402.5</f>
        <v>1697927.63</v>
      </c>
      <c r="G198" s="18">
        <f>543733.33+13992+8365.7+125467.69+4598.55+301951.02+8315+1118.93+4383.47</f>
        <v>1011925.6900000001</v>
      </c>
      <c r="H198" s="18">
        <f>803+3040</f>
        <v>3843</v>
      </c>
      <c r="I198" s="18">
        <f>47183.46</f>
        <v>47183.46</v>
      </c>
      <c r="J198" s="18">
        <f>22028.52</f>
        <v>22028.52</v>
      </c>
      <c r="K198" s="18"/>
      <c r="L198" s="13">
        <f>SUM(F198:K198)</f>
        <v>2782908.3</v>
      </c>
      <c r="M198" s="8"/>
      <c r="N198" s="164"/>
    </row>
    <row r="199" spans="1:14" s="3" customFormat="1" ht="12.2" customHeight="1" x14ac:dyDescent="0.15">
      <c r="A199" s="1" t="s">
        <v>439</v>
      </c>
      <c r="B199" s="2" t="s">
        <v>341</v>
      </c>
      <c r="C199" s="2" t="s">
        <v>291</v>
      </c>
      <c r="D199" s="2" t="s">
        <v>431</v>
      </c>
      <c r="E199" s="6">
        <v>1200</v>
      </c>
      <c r="F199" s="18">
        <f>281094.12+504503.44+7730.77+60730+331437.28+8609.76+5064.3+47840.04+21389.4+478.32+309+2160</f>
        <v>1271346.4300000002</v>
      </c>
      <c r="G199" s="18">
        <f>64011.42+68227.14+53842.73+1047.12+2950.91+3499.06+9395.76+66.22+289.64+165</f>
        <v>203495.00000000003</v>
      </c>
      <c r="H199" s="18">
        <f>259760.47+4150.35+3627+104323.32+530</f>
        <v>372391.14</v>
      </c>
      <c r="I199" s="18">
        <f>3672.77+257.99+1362.21+2732.64+347.94+2046</f>
        <v>10419.550000000001</v>
      </c>
      <c r="J199" s="18">
        <f>2306.03+504.85</f>
        <v>2810.88</v>
      </c>
      <c r="K199" s="18">
        <f>1430.06</f>
        <v>1430.06</v>
      </c>
      <c r="L199" s="13">
        <f>SUM(F199:K199)</f>
        <v>1861893.0600000003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4157</f>
        <v>4157</v>
      </c>
      <c r="G201" s="18">
        <f>318.02+202.96+521.83</f>
        <v>1042.81</v>
      </c>
      <c r="H201" s="18"/>
      <c r="I201" s="18"/>
      <c r="J201" s="18"/>
      <c r="K201" s="18"/>
      <c r="L201" s="13">
        <f>SUM(F201:K201)</f>
        <v>5199.8099999999995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10345.32+134380.26+68220+65520+34594.56+91825.99+44928</f>
        <v>449814.13</v>
      </c>
      <c r="G203" s="18">
        <f>791.38+43.01+43.55+42778.8+956.64+738.84+10148.8+25514.35+86.02+487.12+26196+478.32+383.28+5128.3+13398.34+43.01+255.21+21389.4+478.32+371.76+4928.66+12868.17+43.01+245.08+15593.16+258.36+241.17+2385.21+7117.61+23.21+168.11+31186.24+516.79+490.79+6456.05+18034.63+46.43+344.33+15593.14+258.39+241.19+3243.49+8823.88+23.21+168.11</f>
        <v>279008.87</v>
      </c>
      <c r="H203" s="18">
        <f>46497.24</f>
        <v>46497.24</v>
      </c>
      <c r="I203" s="18">
        <f>1889.52+1997.28+2499.78+72.42+617.63</f>
        <v>7076.63</v>
      </c>
      <c r="J203" s="18">
        <f>180.5+1376.25+399.2</f>
        <v>1955.95</v>
      </c>
      <c r="K203" s="18">
        <f>279+499.19+848+225</f>
        <v>1851.19</v>
      </c>
      <c r="L203" s="13">
        <f t="shared" ref="L203:L209" si="0">SUM(F203:K203)</f>
        <v>786204.00999999989</v>
      </c>
      <c r="M203" s="8"/>
      <c r="N203" s="164"/>
    </row>
    <row r="204" spans="1:14" s="3" customFormat="1" ht="12.2" customHeight="1" x14ac:dyDescent="0.15">
      <c r="A204" s="1" t="s">
        <v>443</v>
      </c>
      <c r="B204" s="2" t="s">
        <v>341</v>
      </c>
      <c r="C204" s="2" t="s">
        <v>295</v>
      </c>
      <c r="D204" s="2" t="s">
        <v>431</v>
      </c>
      <c r="E204" s="6">
        <v>2200</v>
      </c>
      <c r="F204" s="18">
        <f>54347.54+8000+56070</f>
        <v>118417.54000000001</v>
      </c>
      <c r="G204" s="18">
        <f>258.39+394.52+4157.66+10673.78+2370.06+23.21+203.56+956.26+2455+28876.2+478.32+331.8+4013.97+11012.05+43.01+209.63</f>
        <v>66457.42</v>
      </c>
      <c r="H204" s="18">
        <f>10179</f>
        <v>10179</v>
      </c>
      <c r="I204" s="18">
        <f>7184.45</f>
        <v>7184.45</v>
      </c>
      <c r="J204" s="18"/>
      <c r="K204" s="18">
        <f>4878.57</f>
        <v>4878.57</v>
      </c>
      <c r="L204" s="13">
        <f t="shared" si="0"/>
        <v>207116.98000000004</v>
      </c>
      <c r="M204" s="8"/>
      <c r="N204" s="164"/>
    </row>
    <row r="205" spans="1:14" s="3" customFormat="1" ht="12.2" customHeight="1" x14ac:dyDescent="0.15">
      <c r="A205" s="1" t="s">
        <v>444</v>
      </c>
      <c r="B205" s="2" t="s">
        <v>341</v>
      </c>
      <c r="C205" s="2" t="s">
        <v>296</v>
      </c>
      <c r="D205" s="2" t="s">
        <v>431</v>
      </c>
      <c r="E205" s="6">
        <v>2300</v>
      </c>
      <c r="F205" s="18">
        <f>5670+1620+95579</f>
        <v>102869</v>
      </c>
      <c r="G205" s="18">
        <f>434+293+14+32798</f>
        <v>33539</v>
      </c>
      <c r="H205" s="18">
        <f>831+972+17938+3001+13500+49451+4224+12601+17813</f>
        <v>120331</v>
      </c>
      <c r="I205" s="18">
        <f>55+5586</f>
        <v>5641</v>
      </c>
      <c r="J205" s="18">
        <f>693</f>
        <v>693</v>
      </c>
      <c r="K205" s="18">
        <f>2507+14544</f>
        <v>17051</v>
      </c>
      <c r="L205" s="13">
        <f t="shared" si="0"/>
        <v>280124</v>
      </c>
      <c r="M205" s="8"/>
      <c r="N205" s="164"/>
    </row>
    <row r="206" spans="1:14" s="3" customFormat="1" ht="12.2" customHeight="1" x14ac:dyDescent="0.15">
      <c r="A206" s="1" t="s">
        <v>445</v>
      </c>
      <c r="B206" s="2" t="s">
        <v>341</v>
      </c>
      <c r="C206" s="2" t="s">
        <v>297</v>
      </c>
      <c r="D206" s="2" t="s">
        <v>431</v>
      </c>
      <c r="E206" s="6">
        <v>2400</v>
      </c>
      <c r="F206" s="18">
        <f>182988+93697.2+2000+64331.54</f>
        <v>343016.74</v>
      </c>
      <c r="G206" s="18">
        <f>50265.6+956.64+1371.68+13432.61+35938.76+86.02+685.62+10694.7+478.32+568.08+7295.88+12727.1+439.68+292.68+14330.92+320.52+448.9+4842.99+996.84+11187.54+28.67+241.03</f>
        <v>167630.78</v>
      </c>
      <c r="H206" s="18">
        <f>667.98+1800+26.2</f>
        <v>2494.1799999999998</v>
      </c>
      <c r="I206" s="18">
        <f>25403.46</f>
        <v>25403.46</v>
      </c>
      <c r="J206" s="18">
        <f>1679.37+1387.45</f>
        <v>3066.8199999999997</v>
      </c>
      <c r="K206" s="18">
        <f>2785.99+3137.34+160.92</f>
        <v>6084.25</v>
      </c>
      <c r="L206" s="13">
        <f t="shared" si="0"/>
        <v>547696.23</v>
      </c>
      <c r="M206" s="8"/>
      <c r="N206" s="164"/>
    </row>
    <row r="207" spans="1:14" s="3" customFormat="1" ht="12.2" customHeight="1" x14ac:dyDescent="0.15">
      <c r="A207" s="1" t="s">
        <v>446</v>
      </c>
      <c r="B207" s="2" t="s">
        <v>341</v>
      </c>
      <c r="C207" s="2" t="s">
        <v>298</v>
      </c>
      <c r="D207" s="2" t="s">
        <v>431</v>
      </c>
      <c r="E207" s="6">
        <v>2500</v>
      </c>
      <c r="F207" s="18">
        <f>71557.99+4000+115521</f>
        <v>191078.99</v>
      </c>
      <c r="G207" s="18">
        <f>5238.92+531.13+454.14+5769.1+9682.03+46.43+259.26+53478</f>
        <v>75459.009999999995</v>
      </c>
      <c r="H207" s="18">
        <f>984.61+30965.31+46331.04+614</f>
        <v>78894.960000000006</v>
      </c>
      <c r="I207" s="18">
        <f>434.88+39455.8+668</f>
        <v>40558.68</v>
      </c>
      <c r="J207" s="18">
        <f>6336.88+662</f>
        <v>6998.88</v>
      </c>
      <c r="K207" s="18">
        <f>664.56+1399</f>
        <v>2063.56</v>
      </c>
      <c r="L207" s="13">
        <f t="shared" si="0"/>
        <v>395054.08000000002</v>
      </c>
      <c r="M207" s="8"/>
      <c r="N207" s="164"/>
    </row>
    <row r="208" spans="1:14" s="3" customFormat="1" ht="12.2" customHeight="1" x14ac:dyDescent="0.15">
      <c r="A208" s="1" t="s">
        <v>447</v>
      </c>
      <c r="B208" s="2" t="s">
        <v>341</v>
      </c>
      <c r="C208" s="2" t="s">
        <v>299</v>
      </c>
      <c r="D208" s="2" t="s">
        <v>431</v>
      </c>
      <c r="E208" s="6">
        <v>2600</v>
      </c>
      <c r="F208" s="18">
        <f>208675.46+4418.61+2000+896.45+3888</f>
        <v>219878.52</v>
      </c>
      <c r="G208" s="18">
        <f>61185.32+1677.88+1335.35+16085.98+28698.88+234.86+5489.98+297</f>
        <v>115005.25</v>
      </c>
      <c r="H208" s="18">
        <f>22859.96+6077.73+28722.09+10004.6+9824.47+21000+32530.39+25509.11+1005.1+8561.24+8092</f>
        <v>174186.69</v>
      </c>
      <c r="I208" s="18">
        <f>36958.88+66863.22+4076.85+52914.52+18815</f>
        <v>179628.47</v>
      </c>
      <c r="J208" s="18">
        <f>1329.59+6644.15+665</f>
        <v>8638.74</v>
      </c>
      <c r="K208" s="18">
        <f>1360.53+469.91+108</f>
        <v>1938.44</v>
      </c>
      <c r="L208" s="13">
        <f t="shared" si="0"/>
        <v>699276.11</v>
      </c>
      <c r="M208" s="8"/>
      <c r="N208" s="164"/>
    </row>
    <row r="209" spans="1:14" s="3" customFormat="1" ht="12.2" customHeight="1" x14ac:dyDescent="0.15">
      <c r="A209" s="1" t="s">
        <v>448</v>
      </c>
      <c r="B209" s="2" t="s">
        <v>341</v>
      </c>
      <c r="C209" s="2" t="s">
        <v>300</v>
      </c>
      <c r="D209" s="2" t="s">
        <v>431</v>
      </c>
      <c r="E209" s="6">
        <v>2700</v>
      </c>
      <c r="F209" s="18">
        <f>25538</f>
        <v>25538</v>
      </c>
      <c r="G209" s="18">
        <f>1954</f>
        <v>1954</v>
      </c>
      <c r="H209" s="18">
        <f>1220.4+11317.35+50238+46022+2672</f>
        <v>111469.75</v>
      </c>
      <c r="I209" s="18">
        <f>2175</f>
        <v>2175</v>
      </c>
      <c r="J209" s="18"/>
      <c r="K209" s="18"/>
      <c r="L209" s="13">
        <f t="shared" si="0"/>
        <v>141136.75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4424043.9799999995</v>
      </c>
      <c r="G212" s="38">
        <f t="shared" si="1"/>
        <v>1955517.83</v>
      </c>
      <c r="H212" s="38">
        <f t="shared" si="1"/>
        <v>920286.96</v>
      </c>
      <c r="I212" s="38">
        <f t="shared" si="1"/>
        <v>325270.69999999995</v>
      </c>
      <c r="J212" s="38">
        <f t="shared" si="1"/>
        <v>46192.79</v>
      </c>
      <c r="K212" s="38">
        <f t="shared" si="1"/>
        <v>35297.07</v>
      </c>
      <c r="L212" s="38">
        <f t="shared" si="1"/>
        <v>7706609.330000001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414930.74+3000+4850+2400+8000</f>
        <v>433180.74</v>
      </c>
      <c r="G216" s="18">
        <f>120611.3+2630.84+2398.21+31791.1+82081.7+301.77+1611.25</f>
        <v>241426.17</v>
      </c>
      <c r="H216" s="18">
        <f>300.5+1867.56</f>
        <v>2168.06</v>
      </c>
      <c r="I216" s="18">
        <f>5508.51+1842.47+924.81</f>
        <v>8275.7900000000009</v>
      </c>
      <c r="J216" s="18">
        <f>590.55+873.92</f>
        <v>1464.4699999999998</v>
      </c>
      <c r="K216" s="18"/>
      <c r="L216" s="13">
        <f>SUM(F216:K216)</f>
        <v>686515.2300000001</v>
      </c>
      <c r="M216" s="8"/>
      <c r="N216" s="164"/>
    </row>
    <row r="217" spans="1:14" s="3" customFormat="1" ht="12.2" customHeight="1" x14ac:dyDescent="0.15">
      <c r="A217" s="1" t="s">
        <v>439</v>
      </c>
      <c r="B217" s="2" t="s">
        <v>346</v>
      </c>
      <c r="C217" s="2" t="s">
        <v>291</v>
      </c>
      <c r="D217" s="2" t="s">
        <v>431</v>
      </c>
      <c r="E217" s="6">
        <v>1200</v>
      </c>
      <c r="F217" s="18">
        <f>76025.23+1500+55260.53+2857.5+65834.53+19835.02+37831.4+640</f>
        <v>259784.21</v>
      </c>
      <c r="G217" s="18">
        <f>42778.8+1434.96+802.68+9820.43+7476.77+15225.91+139.96+489.15+17593.09+669.44+520.42+6334.51+2683.78+12929.91+75.1+320.02+11229.37+334.72+226.05+2832.26+7430.06+21.85+106.34+49</f>
        <v>141524.58000000002</v>
      </c>
      <c r="H217" s="18">
        <f>4047.76+157</f>
        <v>4204.76</v>
      </c>
      <c r="I217" s="18">
        <f>1263.47+263.3+113.66+300+606</f>
        <v>2546.4300000000003</v>
      </c>
      <c r="J217" s="18">
        <f>96.49</f>
        <v>96.49</v>
      </c>
      <c r="K217" s="18">
        <f>783.87</f>
        <v>783.87</v>
      </c>
      <c r="L217" s="13">
        <f>SUM(F217:K217)</f>
        <v>408940.34</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12081.5</f>
        <v>12081.5</v>
      </c>
      <c r="G219" s="18">
        <f>924.25+52.7+1006.28</f>
        <v>1983.23</v>
      </c>
      <c r="H219" s="18">
        <f>3767.5</f>
        <v>3767.5</v>
      </c>
      <c r="I219" s="18">
        <f>1772.45</f>
        <v>1772.45</v>
      </c>
      <c r="J219" s="18">
        <f>243.29</f>
        <v>243.29</v>
      </c>
      <c r="K219" s="18">
        <f>1040+500+700</f>
        <v>2240</v>
      </c>
      <c r="L219" s="13">
        <f>SUM(F219:K219)</f>
        <v>22087.97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9170.56+28839.5+33794.11+2000+30126+22872.11+10250.24+27207.69+13312</f>
        <v>177572.21</v>
      </c>
      <c r="G221" s="18">
        <f>701.49+15.02+33.42+10106.75+167.36+137.63+2068.47+5224.98+15.02+92.16+3108.56+139.02+212.52+2732.1+1561.34+4370.87+100.36+148.87+961.06+20.6+141.32+2304.7+643.5+4370.68-40.15-89.61+10106.54+167.36+128.91+1611.22+4491.96+15.02+85.07+4620.16+76.48+71.47+706.72+2013.21+0.83+49.62+9240.37+152.96+145.1+1912.85+5343.52+13.65+102.29+4620.17+76.43+71.47+960.72+2614.56+6.83+49.62+6</f>
        <v>88709.150000000009</v>
      </c>
      <c r="H221" s="18">
        <f>3750+1267.4+13776.96</f>
        <v>18794.36</v>
      </c>
      <c r="I221" s="18">
        <f>564.09+238.28+598.3</f>
        <v>1400.67</v>
      </c>
      <c r="J221" s="18"/>
      <c r="K221" s="18">
        <f>806.13+499.98</f>
        <v>1306.1100000000001</v>
      </c>
      <c r="L221" s="13">
        <f t="shared" ref="L221:L227" si="2">SUM(F221:K221)</f>
        <v>287782.49999999994</v>
      </c>
      <c r="M221" s="8"/>
      <c r="N221" s="164"/>
    </row>
    <row r="222" spans="1:14" s="3" customFormat="1" ht="12.2" customHeight="1" x14ac:dyDescent="0.15">
      <c r="A222" s="1" t="s">
        <v>443</v>
      </c>
      <c r="B222" s="2" t="s">
        <v>346</v>
      </c>
      <c r="C222" s="2" t="s">
        <v>295</v>
      </c>
      <c r="D222" s="2" t="s">
        <v>431</v>
      </c>
      <c r="E222" s="6">
        <v>2200</v>
      </c>
      <c r="F222" s="18">
        <f>16102.84+15371.99</f>
        <v>31474.83</v>
      </c>
      <c r="G222" s="18">
        <f>76.43+116.95+1231.88+3162.64+702.24+6.83+60.76+7486.34+167.36+98.1+1069.54+3019.12+15.02+56.71</f>
        <v>17269.919999999998</v>
      </c>
      <c r="H222" s="18">
        <f>3016</f>
        <v>3016</v>
      </c>
      <c r="I222" s="18">
        <f>197.96+973.3+1110.45</f>
        <v>2281.71</v>
      </c>
      <c r="J222" s="18">
        <f>4132.95</f>
        <v>4132.95</v>
      </c>
      <c r="K222" s="18">
        <f>2276.02+900</f>
        <v>3176.02</v>
      </c>
      <c r="L222" s="13">
        <f t="shared" si="2"/>
        <v>61351.429999999993</v>
      </c>
      <c r="M222" s="8"/>
      <c r="N222" s="164"/>
    </row>
    <row r="223" spans="1:14" s="3" customFormat="1" ht="12.2" customHeight="1" x14ac:dyDescent="0.15">
      <c r="A223" s="1" t="s">
        <v>444</v>
      </c>
      <c r="B223" s="2" t="s">
        <v>346</v>
      </c>
      <c r="C223" s="2" t="s">
        <v>296</v>
      </c>
      <c r="D223" s="2" t="s">
        <v>431</v>
      </c>
      <c r="E223" s="6">
        <v>2300</v>
      </c>
      <c r="F223" s="18">
        <f>1680+480+246+28320</f>
        <v>30726</v>
      </c>
      <c r="G223" s="18">
        <f>129+87+4+9718</f>
        <v>9938</v>
      </c>
      <c r="H223" s="18">
        <f>288+5315+889+4000+14652+1251+3734</f>
        <v>30129</v>
      </c>
      <c r="I223" s="18">
        <f>16+1655</f>
        <v>1671</v>
      </c>
      <c r="J223" s="18">
        <f>205</f>
        <v>205</v>
      </c>
      <c r="K223" s="18">
        <f>743+4309</f>
        <v>5052</v>
      </c>
      <c r="L223" s="13">
        <f t="shared" si="2"/>
        <v>77721</v>
      </c>
      <c r="M223" s="8"/>
      <c r="N223" s="164"/>
    </row>
    <row r="224" spans="1:14" s="3" customFormat="1" ht="12.2" customHeight="1" x14ac:dyDescent="0.15">
      <c r="A224" s="1" t="s">
        <v>445</v>
      </c>
      <c r="B224" s="2" t="s">
        <v>346</v>
      </c>
      <c r="C224" s="2" t="s">
        <v>297</v>
      </c>
      <c r="D224" s="2" t="s">
        <v>431</v>
      </c>
      <c r="E224" s="6">
        <v>2400</v>
      </c>
      <c r="F224" s="18">
        <f>72936.32+27406.98+19145.1</f>
        <v>119488.4</v>
      </c>
      <c r="G224" s="18">
        <f>11505.75+362.76+503.47+5458.77+14324.68+530.1+30.04+235.97+17592.8+167.36+173.84+1964.29+3708.2+30.04+119.5+4278.03+95.66+133.85+1441.17+306.8+3314.74+8.88+67.85</f>
        <v>66354.55</v>
      </c>
      <c r="H224" s="18">
        <f>900+5278</f>
        <v>6178</v>
      </c>
      <c r="I224" s="18">
        <f>2283.2</f>
        <v>2283.1999999999998</v>
      </c>
      <c r="J224" s="18">
        <f>600</f>
        <v>600</v>
      </c>
      <c r="K224" s="18">
        <f>2288.41+1720.17+47.68</f>
        <v>4056.2599999999998</v>
      </c>
      <c r="L224" s="13">
        <f t="shared" si="2"/>
        <v>198960.41000000003</v>
      </c>
      <c r="M224" s="8"/>
      <c r="N224" s="164"/>
    </row>
    <row r="225" spans="1:14" s="3" customFormat="1" ht="12.2" customHeight="1" x14ac:dyDescent="0.15">
      <c r="A225" s="1" t="s">
        <v>446</v>
      </c>
      <c r="B225" s="2" t="s">
        <v>346</v>
      </c>
      <c r="C225" s="2" t="s">
        <v>298</v>
      </c>
      <c r="D225" s="2" t="s">
        <v>431</v>
      </c>
      <c r="E225" s="6">
        <v>2500</v>
      </c>
      <c r="F225" s="18">
        <f>21364.25+34228</f>
        <v>55592.25</v>
      </c>
      <c r="G225" s="18">
        <f>1552.43+157.28+134.98+1631.07+2890.54+13.65+76.97+15845</f>
        <v>22301.919999999998</v>
      </c>
      <c r="H225" s="18">
        <f>153.5+9429.47+14441.68+182</f>
        <v>24206.65</v>
      </c>
      <c r="I225" s="18">
        <f>87.62+12044.76+198</f>
        <v>12330.380000000001</v>
      </c>
      <c r="J225" s="18">
        <f>1520.3+196</f>
        <v>1716.3</v>
      </c>
      <c r="K225" s="18">
        <f>415</f>
        <v>415</v>
      </c>
      <c r="L225" s="13">
        <f t="shared" si="2"/>
        <v>116562.50000000001</v>
      </c>
      <c r="M225" s="8"/>
      <c r="N225" s="164"/>
    </row>
    <row r="226" spans="1:14" s="3" customFormat="1" ht="12.2" customHeight="1" x14ac:dyDescent="0.15">
      <c r="A226" s="1" t="s">
        <v>447</v>
      </c>
      <c r="B226" s="2" t="s">
        <v>346</v>
      </c>
      <c r="C226" s="2" t="s">
        <v>299</v>
      </c>
      <c r="D226" s="2" t="s">
        <v>431</v>
      </c>
      <c r="E226" s="6">
        <v>2600</v>
      </c>
      <c r="F226" s="18">
        <f>105228.03+1309.22+1152</f>
        <v>107689.25</v>
      </c>
      <c r="G226" s="18">
        <f>21834.75+825.39+541.14+7974.36+11723.14+120.16+2942.98+88</f>
        <v>46049.920000000006</v>
      </c>
      <c r="H226" s="18">
        <f>12621.29+1498.08+14209.3+4904.13+6655.08+9638.63+5196.29+1708.54+1033.82+2398</f>
        <v>59863.159999999996</v>
      </c>
      <c r="I226" s="18">
        <f>15059.62+31571.48+8446.74+49894.83+5575</f>
        <v>110547.67</v>
      </c>
      <c r="J226" s="18">
        <f>1413.34+476.89+197</f>
        <v>2087.23</v>
      </c>
      <c r="K226" s="18">
        <f>86.71+139.23+32</f>
        <v>257.94</v>
      </c>
      <c r="L226" s="13">
        <f t="shared" si="2"/>
        <v>326495.17</v>
      </c>
      <c r="M226" s="8"/>
      <c r="N226" s="164"/>
    </row>
    <row r="227" spans="1:14" s="3" customFormat="1" ht="12.2" customHeight="1" x14ac:dyDescent="0.15">
      <c r="A227" s="1" t="s">
        <v>448</v>
      </c>
      <c r="B227" s="2" t="s">
        <v>346</v>
      </c>
      <c r="C227" s="2" t="s">
        <v>300</v>
      </c>
      <c r="D227" s="2" t="s">
        <v>431</v>
      </c>
      <c r="E227" s="6">
        <v>2700</v>
      </c>
      <c r="F227" s="18">
        <f>7567</f>
        <v>7567</v>
      </c>
      <c r="G227" s="18">
        <f>579</f>
        <v>579</v>
      </c>
      <c r="H227" s="18">
        <f>8832.2+14885+13636+792</f>
        <v>38145.199999999997</v>
      </c>
      <c r="I227" s="18">
        <f>645</f>
        <v>645</v>
      </c>
      <c r="J227" s="18"/>
      <c r="K227" s="18"/>
      <c r="L227" s="13">
        <f t="shared" si="2"/>
        <v>46936.2</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1235156.3899999999</v>
      </c>
      <c r="G230" s="38">
        <f>SUM(G216:G229)</f>
        <v>636136.44000000006</v>
      </c>
      <c r="H230" s="38">
        <f>SUM(H216:H229)</f>
        <v>190472.69</v>
      </c>
      <c r="I230" s="38">
        <f>SUM(I216:I229)</f>
        <v>143754.29999999999</v>
      </c>
      <c r="J230" s="38">
        <f>SUM(J216:J229)</f>
        <v>10545.73</v>
      </c>
      <c r="K230" s="38">
        <f t="shared" si="3"/>
        <v>17287.199999999997</v>
      </c>
      <c r="L230" s="38">
        <f t="shared" si="3"/>
        <v>2233352.75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663361.84+6000+2500+16104+4000+51826</f>
        <v>743791.84</v>
      </c>
      <c r="G234" s="18">
        <f>229702.8+5181.8+3560.22+55605.25+425.65+123593.25+25521.49+299+865.02+3289.34</f>
        <v>448043.82</v>
      </c>
      <c r="H234" s="18">
        <f>35968+456.02+5372+26512.52</f>
        <v>68308.539999999994</v>
      </c>
      <c r="I234" s="18">
        <f>15200.4+5227.83+2876.71</f>
        <v>23304.94</v>
      </c>
      <c r="J234" s="18">
        <f>8377.21+660.87</f>
        <v>9038.08</v>
      </c>
      <c r="K234" s="18"/>
      <c r="L234" s="13">
        <f>SUM(F234:K234)</f>
        <v>1292487.22</v>
      </c>
      <c r="M234" s="8"/>
      <c r="N234" s="164"/>
    </row>
    <row r="235" spans="1:14" s="3" customFormat="1" ht="12.2" customHeight="1" x14ac:dyDescent="0.15">
      <c r="A235" s="1" t="s">
        <v>439</v>
      </c>
      <c r="B235" s="2" t="s">
        <v>350</v>
      </c>
      <c r="C235" s="2" t="s">
        <v>291</v>
      </c>
      <c r="D235" s="2" t="s">
        <v>431</v>
      </c>
      <c r="E235" s="6">
        <v>1200</v>
      </c>
      <c r="F235" s="18">
        <f>54720+1232.4+106965.16+2416.67+3932.5+122263.82+36836.65+70258.6+1200</f>
        <v>399825.80000000005</v>
      </c>
      <c r="G235" s="18">
        <f>64168.2+1913.28+1114.92+12049.26+14472.42+10989.12+161.62+318.9+32672.51+1243.84+965.66+11764.84+4983.9+24012.86+139.96+595.48+20854.73+621.92+420.39+5259.98+13798.75+40.96+195.46+92</f>
        <v>222850.96</v>
      </c>
      <c r="H235" s="18">
        <f>19254.5+41.97+885+11455.6+125822.87+3000+295.3</f>
        <v>160755.24</v>
      </c>
      <c r="I235" s="18">
        <f>1600.5+707.45+64.99+232.23+188.26+400+1136.89</f>
        <v>4330.32</v>
      </c>
      <c r="J235" s="18">
        <f>487.01</f>
        <v>487.01</v>
      </c>
      <c r="K235" s="18">
        <f>1614.53+685</f>
        <v>2299.5299999999997</v>
      </c>
      <c r="L235" s="13">
        <f>SUM(F235:K235)</f>
        <v>790548.86</v>
      </c>
      <c r="M235" s="8"/>
      <c r="N235" s="164"/>
    </row>
    <row r="236" spans="1:14" s="3" customFormat="1" ht="12.2" customHeight="1" x14ac:dyDescent="0.15">
      <c r="A236" s="1" t="s">
        <v>440</v>
      </c>
      <c r="B236" s="2" t="s">
        <v>350</v>
      </c>
      <c r="C236" s="2" t="s">
        <v>292</v>
      </c>
      <c r="D236" s="2" t="s">
        <v>431</v>
      </c>
      <c r="E236" s="6">
        <v>1300</v>
      </c>
      <c r="F236" s="18">
        <f>460819.52+132714.88</f>
        <v>593534.4</v>
      </c>
      <c r="G236" s="18">
        <f>159474.82+3577.88+2928.82+44382.4+17201.48+71903.55+528.43+2565.24</f>
        <v>302562.62</v>
      </c>
      <c r="H236" s="18">
        <f>2716.14+20482.96+8000</f>
        <v>31199.1</v>
      </c>
      <c r="I236" s="18">
        <f>15891.83+1205.95+567.53</f>
        <v>17665.309999999998</v>
      </c>
      <c r="J236" s="18">
        <f>24973.84</f>
        <v>24973.84</v>
      </c>
      <c r="K236" s="18">
        <f>4200.11</f>
        <v>4200.1099999999997</v>
      </c>
      <c r="L236" s="13">
        <f>SUM(F236:K236)</f>
        <v>974135.37999999989</v>
      </c>
      <c r="M236" s="8"/>
      <c r="N236" s="164"/>
    </row>
    <row r="237" spans="1:14" s="3" customFormat="1" ht="12.2" customHeight="1" x14ac:dyDescent="0.15">
      <c r="A237" s="1" t="s">
        <v>441</v>
      </c>
      <c r="B237" s="2" t="s">
        <v>350</v>
      </c>
      <c r="C237" s="2" t="s">
        <v>293</v>
      </c>
      <c r="D237" s="2" t="s">
        <v>431</v>
      </c>
      <c r="E237" s="6">
        <v>1400</v>
      </c>
      <c r="F237" s="18">
        <f>110422.5</f>
        <v>110422.5</v>
      </c>
      <c r="G237" s="18">
        <f>8390.71+1518.89+9525.29</f>
        <v>19434.89</v>
      </c>
      <c r="H237" s="18">
        <f>1300+21590.5</f>
        <v>22890.5</v>
      </c>
      <c r="I237" s="18">
        <f>12743.63+3121.87</f>
        <v>15865.5</v>
      </c>
      <c r="J237" s="18">
        <f>6407.92</f>
        <v>6407.92</v>
      </c>
      <c r="K237" s="18">
        <f>9675.28+866.91+1400</f>
        <v>11942.19</v>
      </c>
      <c r="L237" s="13">
        <f>SUM(F237:K237)</f>
        <v>186963.50000000003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17031.12+51643.08+92297.54+42145.87+19219.2+51014.57+24960</f>
        <v>298311.38</v>
      </c>
      <c r="G239" s="18">
        <f>1302.98+27.99+61.78+18769.45+310.96+255.49+3695.15+9703.84+27.99+172.16+15607.27+698.04+526.64+6873.72+2915.71+13894.93+183.65+262.3+18769.66+310.96+239.97+2969.36+8277.61+27.99+157.99+8662.88+143.48+133.88+1325.22+3774.57+12.97+93.17+17325.79+286.89+272.53+3586.48+10019.35+25.94+191.41+8662.89+143.5+133.86+1801.56+4902.04+12.97+93.17</f>
        <v>167648.1400000001</v>
      </c>
      <c r="H239" s="18">
        <f>8199.62+4000+1112.46+25831.8</f>
        <v>39143.880000000005</v>
      </c>
      <c r="I239" s="18">
        <f>589.12+200+397.92+1204.96</f>
        <v>2392</v>
      </c>
      <c r="J239" s="18">
        <f>2147.42+149.92</f>
        <v>2297.34</v>
      </c>
      <c r="K239" s="18">
        <f>1894.69+423.21</f>
        <v>2317.9</v>
      </c>
      <c r="L239" s="13">
        <f t="shared" ref="L239:L245" si="4">SUM(F239:K239)</f>
        <v>512110.64000000019</v>
      </c>
      <c r="M239" s="8"/>
      <c r="N239" s="164"/>
    </row>
    <row r="240" spans="1:14" s="3" customFormat="1" ht="12.2" customHeight="1" x14ac:dyDescent="0.15">
      <c r="A240" s="1" t="s">
        <v>443</v>
      </c>
      <c r="B240" s="2" t="s">
        <v>350</v>
      </c>
      <c r="C240" s="2" t="s">
        <v>295</v>
      </c>
      <c r="D240" s="2" t="s">
        <v>431</v>
      </c>
      <c r="E240" s="6">
        <v>2200</v>
      </c>
      <c r="F240" s="18">
        <f>30193.02+28548.01</f>
        <v>58741.03</v>
      </c>
      <c r="G240" s="18">
        <f>143.5+218.85+2309.84+5929.82+1316.7+12.97+113.43+13903.06+310.96+182.34+1986.22+5606.77+27.99+107.35</f>
        <v>32169.8</v>
      </c>
      <c r="H240" s="18">
        <f>5655+724</f>
        <v>6379</v>
      </c>
      <c r="I240" s="18">
        <f>1448.21+1927.21+2109.1</f>
        <v>5484.52</v>
      </c>
      <c r="J240" s="18">
        <f>7637.2</f>
        <v>7637.2</v>
      </c>
      <c r="K240" s="18">
        <f>5128.28+1577.68</f>
        <v>6705.96</v>
      </c>
      <c r="L240" s="13">
        <f t="shared" si="4"/>
        <v>117117.51000000001</v>
      </c>
      <c r="M240" s="8"/>
      <c r="N240" s="164"/>
    </row>
    <row r="241" spans="1:14" s="3" customFormat="1" ht="12.2" customHeight="1" x14ac:dyDescent="0.15">
      <c r="A241" s="1" t="s">
        <v>444</v>
      </c>
      <c r="B241" s="2" t="s">
        <v>350</v>
      </c>
      <c r="C241" s="2" t="s">
        <v>296</v>
      </c>
      <c r="D241" s="2" t="s">
        <v>431</v>
      </c>
      <c r="E241" s="6">
        <v>2300</v>
      </c>
      <c r="F241" s="18">
        <f>3150+900+53099.25</f>
        <v>57149.25</v>
      </c>
      <c r="G241" s="18">
        <f>240.25+162+8.1+18220.67</f>
        <v>18631.019999999997</v>
      </c>
      <c r="H241" s="18">
        <f>462.65+540+9965.51+1667.6+7500+27472.99+2346.53+7000.28</f>
        <v>56955.56</v>
      </c>
      <c r="I241" s="18">
        <f>31.4+3104.27</f>
        <v>3135.67</v>
      </c>
      <c r="J241" s="18">
        <f>385.01</f>
        <v>385.01</v>
      </c>
      <c r="K241" s="18">
        <f>1393.13+8080.08</f>
        <v>9473.2099999999991</v>
      </c>
      <c r="L241" s="13">
        <f t="shared" si="4"/>
        <v>145729.72</v>
      </c>
      <c r="M241" s="8"/>
      <c r="N241" s="164"/>
    </row>
    <row r="242" spans="1:14" s="3" customFormat="1" ht="12.2" customHeight="1" x14ac:dyDescent="0.15">
      <c r="A242" s="1" t="s">
        <v>445</v>
      </c>
      <c r="B242" s="2" t="s">
        <v>350</v>
      </c>
      <c r="C242" s="2" t="s">
        <v>297</v>
      </c>
      <c r="D242" s="2" t="s">
        <v>431</v>
      </c>
      <c r="E242" s="6">
        <v>2400</v>
      </c>
      <c r="F242" s="18">
        <f>135453.46+50666.37+36180.56</f>
        <v>222300.38999999998</v>
      </c>
      <c r="G242" s="18">
        <f>21368.11+673.6+934.81+10137.68+26603.08+1179.9+55.98+439.52+32672.8+310.96+323.18+3631.63+6855.2+55.98+119.5+8127.86+181.72+251.88+2721.93+613.6+6215.3+16.39+131.65</f>
        <v>123622.26</v>
      </c>
      <c r="H242" s="18">
        <f>1111.51+407.95+9896.31</f>
        <v>11415.77</v>
      </c>
      <c r="I242" s="18">
        <f>3499.88</f>
        <v>3499.88</v>
      </c>
      <c r="J242" s="18">
        <f>1055.52+467</f>
        <v>1522.52</v>
      </c>
      <c r="K242" s="18">
        <f>4608.93+4786.54+89.4+3829.97</f>
        <v>13314.84</v>
      </c>
      <c r="L242" s="13">
        <f t="shared" si="4"/>
        <v>375675.66000000003</v>
      </c>
      <c r="M242" s="8"/>
      <c r="N242" s="164"/>
    </row>
    <row r="243" spans="1:14" s="3" customFormat="1" ht="12.2" customHeight="1" x14ac:dyDescent="0.15">
      <c r="A243" s="1" t="s">
        <v>446</v>
      </c>
      <c r="B243" s="2" t="s">
        <v>350</v>
      </c>
      <c r="C243" s="2" t="s">
        <v>298</v>
      </c>
      <c r="D243" s="2" t="s">
        <v>431</v>
      </c>
      <c r="E243" s="6">
        <v>2500</v>
      </c>
      <c r="F243" s="18">
        <f>40146.23+64178.2</f>
        <v>104324.43</v>
      </c>
      <c r="G243" s="18">
        <f>2910.65+295.82+253.93+3065.29+5431.71+25.94+143.81+29710.99</f>
        <v>41838.14</v>
      </c>
      <c r="H243" s="18">
        <f>287.82+17724.39+30235.58+341.29</f>
        <v>48589.08</v>
      </c>
      <c r="I243" s="18">
        <f>552.52+25354.38+370.21</f>
        <v>26277.11</v>
      </c>
      <c r="J243" s="18">
        <f>3235.32+367</f>
        <v>3602.32</v>
      </c>
      <c r="K243" s="18">
        <f>69.32+777</f>
        <v>846.31999999999994</v>
      </c>
      <c r="L243" s="13">
        <f t="shared" si="4"/>
        <v>225477.40000000002</v>
      </c>
      <c r="M243" s="8"/>
      <c r="N243" s="164"/>
    </row>
    <row r="244" spans="1:14" s="3" customFormat="1" ht="12.2" customHeight="1" x14ac:dyDescent="0.15">
      <c r="A244" s="1" t="s">
        <v>447</v>
      </c>
      <c r="B244" s="2" t="s">
        <v>350</v>
      </c>
      <c r="C244" s="2" t="s">
        <v>299</v>
      </c>
      <c r="D244" s="2" t="s">
        <v>431</v>
      </c>
      <c r="E244" s="6">
        <v>2600</v>
      </c>
      <c r="F244" s="18">
        <f>196186.45+2454.78+823.08+10030.25+2345+2160</f>
        <v>213999.56</v>
      </c>
      <c r="G244" s="18">
        <f>41472.99+1534.8+1010.43+15876.18+22198.29+223.26+5468.72+165.83</f>
        <v>87950.5</v>
      </c>
      <c r="H244" s="18">
        <f>47123+3756.78+24490.24+9114.27+17154.18+18072.44+19847.52+3200.34+1875.91+4495.24+0.6</f>
        <v>149130.51999999999</v>
      </c>
      <c r="I244" s="18">
        <f>28342.78+58632.72+15686.73+80298.35+10452.93</f>
        <v>193413.51</v>
      </c>
      <c r="J244" s="18">
        <f>4430.34+3387.49+368.59</f>
        <v>8186.42</v>
      </c>
      <c r="K244" s="18">
        <f>162.58+455.31+60</f>
        <v>677.89</v>
      </c>
      <c r="L244" s="13">
        <f t="shared" si="4"/>
        <v>653358.4</v>
      </c>
      <c r="M244" s="8"/>
      <c r="N244" s="164"/>
    </row>
    <row r="245" spans="1:14" s="3" customFormat="1" ht="12.2" customHeight="1" x14ac:dyDescent="0.15">
      <c r="A245" s="1" t="s">
        <v>448</v>
      </c>
      <c r="B245" s="2" t="s">
        <v>350</v>
      </c>
      <c r="C245" s="2" t="s">
        <v>300</v>
      </c>
      <c r="D245" s="2" t="s">
        <v>431</v>
      </c>
      <c r="E245" s="6">
        <v>2700</v>
      </c>
      <c r="F245" s="18">
        <f>15765+14187.5</f>
        <v>29952.5</v>
      </c>
      <c r="G245" s="18">
        <f>1206.02+1084.78</f>
        <v>2290.8000000000002</v>
      </c>
      <c r="H245" s="18">
        <f>44584.2+39581.98+27910.54+25567.7+1484.28</f>
        <v>139128.70000000001</v>
      </c>
      <c r="I245" s="18">
        <f>1208.48</f>
        <v>1208.48</v>
      </c>
      <c r="J245" s="18"/>
      <c r="K245" s="18"/>
      <c r="L245" s="13">
        <f t="shared" si="4"/>
        <v>172580.48000000001</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2832353.08</v>
      </c>
      <c r="G248" s="38">
        <f t="shared" si="5"/>
        <v>1467042.9500000002</v>
      </c>
      <c r="H248" s="38">
        <f t="shared" si="5"/>
        <v>733895.89000000013</v>
      </c>
      <c r="I248" s="38">
        <f t="shared" si="5"/>
        <v>296577.24</v>
      </c>
      <c r="J248" s="38">
        <f t="shared" si="5"/>
        <v>64537.659999999996</v>
      </c>
      <c r="K248" s="38">
        <f t="shared" si="5"/>
        <v>51777.950000000004</v>
      </c>
      <c r="L248" s="38">
        <f t="shared" si="5"/>
        <v>5446184.7700000014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f>56917.5</f>
        <v>56917.5</v>
      </c>
      <c r="G252" s="18">
        <f>11106.16+248.36+367.21+4307.72+11178.49+43.01+302.81</f>
        <v>27553.760000000002</v>
      </c>
      <c r="H252" s="18">
        <f>554</f>
        <v>554</v>
      </c>
      <c r="I252" s="18"/>
      <c r="J252" s="18"/>
      <c r="K252" s="18"/>
      <c r="L252" s="13">
        <f t="shared" si="6"/>
        <v>85025.260000000009</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243702.25+21269+144314.94</f>
        <v>409286.19</v>
      </c>
      <c r="I256" s="18"/>
      <c r="J256" s="18"/>
      <c r="K256" s="18"/>
      <c r="L256" s="13">
        <f t="shared" si="6"/>
        <v>409286.19</v>
      </c>
      <c r="M256" s="8"/>
      <c r="N256" s="164"/>
    </row>
    <row r="257" spans="1:14" s="3" customFormat="1" ht="12.2" customHeight="1" thickTop="1" thickBot="1" x14ac:dyDescent="0.2">
      <c r="A257" s="35" t="s">
        <v>461</v>
      </c>
      <c r="B257" s="37">
        <v>10</v>
      </c>
      <c r="C257" s="37">
        <v>7</v>
      </c>
      <c r="D257" s="36" t="s">
        <v>431</v>
      </c>
      <c r="E257" s="37"/>
      <c r="F257" s="38">
        <f t="shared" ref="F257:K257" si="7">SUM(F251:F256)</f>
        <v>56917.5</v>
      </c>
      <c r="G257" s="38">
        <f t="shared" si="7"/>
        <v>27553.760000000002</v>
      </c>
      <c r="H257" s="38">
        <f t="shared" si="7"/>
        <v>409840.19</v>
      </c>
      <c r="I257" s="38">
        <f t="shared" si="7"/>
        <v>0</v>
      </c>
      <c r="J257" s="38">
        <f t="shared" si="7"/>
        <v>0</v>
      </c>
      <c r="K257" s="38">
        <f t="shared" si="7"/>
        <v>0</v>
      </c>
      <c r="L257" s="38">
        <f>SUM(F257:K257)</f>
        <v>494311.45</v>
      </c>
      <c r="M257" s="8"/>
      <c r="N257" s="164"/>
    </row>
    <row r="258" spans="1:14" s="3" customFormat="1" ht="12.2" customHeight="1" thickTop="1" x14ac:dyDescent="0.15">
      <c r="A258" s="35" t="s">
        <v>462</v>
      </c>
      <c r="B258" s="37">
        <v>10</v>
      </c>
      <c r="C258" s="37">
        <v>8</v>
      </c>
      <c r="D258" s="36" t="s">
        <v>431</v>
      </c>
      <c r="E258" s="37"/>
      <c r="F258" s="38">
        <f t="shared" ref="F258:L258" si="8">F212+F230+F248+F257</f>
        <v>8548470.9499999993</v>
      </c>
      <c r="G258" s="38">
        <f t="shared" si="8"/>
        <v>4086250.98</v>
      </c>
      <c r="H258" s="38">
        <f t="shared" si="8"/>
        <v>2254495.73</v>
      </c>
      <c r="I258" s="38">
        <f t="shared" si="8"/>
        <v>765602.24</v>
      </c>
      <c r="J258" s="38">
        <f t="shared" si="8"/>
        <v>121276.18</v>
      </c>
      <c r="K258" s="38">
        <f t="shared" si="8"/>
        <v>104362.22</v>
      </c>
      <c r="L258" s="38">
        <f t="shared" si="8"/>
        <v>15880458.300000003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260000</v>
      </c>
      <c r="L261" s="13">
        <f>SUM(F261:K261)</f>
        <v>260000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49049</v>
      </c>
      <c r="L262" s="13">
        <f>SUM(F262:K262)</f>
        <v>49049</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7147.65</v>
      </c>
      <c r="L264" s="13">
        <f>SUM(F264:K264)</f>
        <v>7147.65</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355000+13220.5</f>
        <v>368220.5</v>
      </c>
      <c r="L267" s="13">
        <f t="shared" si="9"/>
        <v>368220.5</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684417.15</v>
      </c>
      <c r="L271" s="38">
        <f t="shared" si="9"/>
        <v>684417.15</v>
      </c>
      <c r="M271" s="8"/>
      <c r="N271" s="164"/>
    </row>
    <row r="272" spans="1:14" s="33" customFormat="1" ht="12.2" customHeight="1" thickTop="1" x14ac:dyDescent="0.2">
      <c r="A272" s="40" t="s">
        <v>464</v>
      </c>
      <c r="B272" s="37">
        <v>10</v>
      </c>
      <c r="C272" s="37">
        <v>18</v>
      </c>
      <c r="D272" s="36" t="s">
        <v>431</v>
      </c>
      <c r="E272" s="37"/>
      <c r="F272" s="39">
        <f t="shared" ref="F272:L272" si="11">F258+F271</f>
        <v>8548470.9499999993</v>
      </c>
      <c r="G272" s="39">
        <f t="shared" si="11"/>
        <v>4086250.98</v>
      </c>
      <c r="H272" s="39">
        <f t="shared" si="11"/>
        <v>2254495.73</v>
      </c>
      <c r="I272" s="39">
        <f t="shared" si="11"/>
        <v>765602.24</v>
      </c>
      <c r="J272" s="39">
        <f t="shared" si="11"/>
        <v>121276.18</v>
      </c>
      <c r="K272" s="39">
        <f t="shared" si="11"/>
        <v>788779.37</v>
      </c>
      <c r="L272" s="39">
        <f t="shared" si="11"/>
        <v>16564875.450000003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107738+1789.26+255512.58</f>
        <v>365039.83999999997</v>
      </c>
      <c r="G277" s="18">
        <f>3799.5+67855.5+67.29+1845.99+8145.29+2044.52+17078.23+9797.52+582.61+49951.52+252+954.6</f>
        <v>162374.57</v>
      </c>
      <c r="H277" s="18">
        <f>300</f>
        <v>300</v>
      </c>
      <c r="I277" s="18">
        <f>38994+848.92</f>
        <v>39842.92</v>
      </c>
      <c r="J277" s="18">
        <f>2321.05</f>
        <v>2321.0500000000002</v>
      </c>
      <c r="K277" s="18"/>
      <c r="L277" s="13">
        <f>SUM(F277:K277)</f>
        <v>569878.38</v>
      </c>
      <c r="M277" s="8"/>
      <c r="N277" s="164"/>
    </row>
    <row r="278" spans="1:14" s="3" customFormat="1" ht="12.2" customHeight="1" x14ac:dyDescent="0.15">
      <c r="A278" s="1" t="s">
        <v>439</v>
      </c>
      <c r="B278" s="2" t="s">
        <v>357</v>
      </c>
      <c r="C278" s="2" t="s">
        <v>291</v>
      </c>
      <c r="D278" s="2" t="s">
        <v>431</v>
      </c>
      <c r="E278" s="6">
        <v>1200</v>
      </c>
      <c r="F278" s="18">
        <f>17494.38+49335.4</f>
        <v>66829.78</v>
      </c>
      <c r="G278" s="18">
        <f>9310.78+3311.22+184+291.86+478+1843.64+1565.38+3522.15+3677.32+9448.01+63+247.27</f>
        <v>33942.629999999997</v>
      </c>
      <c r="H278" s="18"/>
      <c r="I278" s="18">
        <f>13977.61</f>
        <v>13977.61</v>
      </c>
      <c r="J278" s="18">
        <f>11682.96+481.92</f>
        <v>12164.88</v>
      </c>
      <c r="K278" s="18"/>
      <c r="L278" s="13">
        <f>SUM(F278:K278)</f>
        <v>126914.90000000001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19665.16</f>
        <v>19665.16</v>
      </c>
      <c r="G282" s="18">
        <f>5436.97+8264.23</f>
        <v>13701.2</v>
      </c>
      <c r="H282" s="18"/>
      <c r="I282" s="18"/>
      <c r="J282" s="18">
        <f>54781.95</f>
        <v>54781.95</v>
      </c>
      <c r="K282" s="18"/>
      <c r="L282" s="13">
        <f t="shared" ref="L282:L288" si="12">SUM(F282:K282)</f>
        <v>88148.31</v>
      </c>
      <c r="M282" s="8"/>
      <c r="N282" s="164"/>
    </row>
    <row r="283" spans="1:14" s="3" customFormat="1" ht="12.2" customHeight="1" x14ac:dyDescent="0.15">
      <c r="A283" s="1" t="s">
        <v>443</v>
      </c>
      <c r="B283" s="2" t="s">
        <v>357</v>
      </c>
      <c r="C283" s="2" t="s">
        <v>295</v>
      </c>
      <c r="D283" s="2" t="s">
        <v>431</v>
      </c>
      <c r="E283" s="6">
        <v>2200</v>
      </c>
      <c r="F283" s="18">
        <f>31742.93</f>
        <v>31742.93</v>
      </c>
      <c r="G283" s="18">
        <f>9547+9128.29</f>
        <v>18675.29</v>
      </c>
      <c r="H283" s="18">
        <f>1719.12+70400+331688+595</f>
        <v>404402.12</v>
      </c>
      <c r="I283" s="18">
        <f>5571.42</f>
        <v>5571.42</v>
      </c>
      <c r="J283" s="18"/>
      <c r="K283" s="18">
        <f>5049.06</f>
        <v>5049.0600000000004</v>
      </c>
      <c r="L283" s="13">
        <f t="shared" si="12"/>
        <v>465440.81999999995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f>3210.08+19431.86</f>
        <v>22641.940000000002</v>
      </c>
      <c r="L284" s="13">
        <f t="shared" si="12"/>
        <v>22641.940000000002</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f>20969.57</f>
        <v>20969.57</v>
      </c>
      <c r="G286" s="18">
        <f>1502.42</f>
        <v>1502.42</v>
      </c>
      <c r="H286" s="18"/>
      <c r="I286" s="18"/>
      <c r="J286" s="18"/>
      <c r="K286" s="18"/>
      <c r="L286" s="13">
        <f t="shared" si="12"/>
        <v>22471.989999999998</v>
      </c>
      <c r="M286" s="8"/>
      <c r="N286" s="164"/>
    </row>
    <row r="287" spans="1:14" s="3" customFormat="1" ht="12.2" customHeight="1" x14ac:dyDescent="0.15">
      <c r="A287" s="1" t="s">
        <v>447</v>
      </c>
      <c r="B287" s="2" t="s">
        <v>357</v>
      </c>
      <c r="C287" s="2" t="s">
        <v>299</v>
      </c>
      <c r="D287" s="2" t="s">
        <v>431</v>
      </c>
      <c r="E287" s="6">
        <v>2600</v>
      </c>
      <c r="F287" s="18"/>
      <c r="G287" s="18"/>
      <c r="H287" s="18">
        <f>9673.46</f>
        <v>9673.4599999999991</v>
      </c>
      <c r="I287" s="18"/>
      <c r="J287" s="18">
        <f>749814+21434</f>
        <v>771248</v>
      </c>
      <c r="K287" s="18"/>
      <c r="L287" s="13">
        <f t="shared" si="12"/>
        <v>780921.46</v>
      </c>
      <c r="M287" s="8"/>
      <c r="N287" s="164"/>
    </row>
    <row r="288" spans="1:14" s="3" customFormat="1" ht="12.2" customHeight="1" x14ac:dyDescent="0.15">
      <c r="A288" s="1" t="s">
        <v>448</v>
      </c>
      <c r="B288" s="2" t="s">
        <v>357</v>
      </c>
      <c r="C288" s="2" t="s">
        <v>300</v>
      </c>
      <c r="D288" s="2" t="s">
        <v>431</v>
      </c>
      <c r="E288" s="6">
        <v>2700</v>
      </c>
      <c r="F288" s="18"/>
      <c r="G288" s="18"/>
      <c r="H288" s="18">
        <f>6400+733.25</f>
        <v>7133.25</v>
      </c>
      <c r="I288" s="18"/>
      <c r="J288" s="18"/>
      <c r="K288" s="18"/>
      <c r="L288" s="13">
        <f t="shared" si="12"/>
        <v>7133.25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504247.27999999997</v>
      </c>
      <c r="G291" s="39">
        <f t="shared" si="13"/>
        <v>230196.11000000004</v>
      </c>
      <c r="H291" s="39">
        <f t="shared" si="13"/>
        <v>421508.83</v>
      </c>
      <c r="I291" s="39">
        <f t="shared" si="13"/>
        <v>59391.95</v>
      </c>
      <c r="J291" s="39">
        <f t="shared" si="13"/>
        <v>840515.88</v>
      </c>
      <c r="K291" s="39">
        <f t="shared" si="13"/>
        <v>27691.000000000004</v>
      </c>
      <c r="L291" s="38">
        <f t="shared" si="13"/>
        <v>2083551.05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4"/>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f>7855</f>
        <v>7855</v>
      </c>
      <c r="G302" s="18">
        <f>240.44+147.3+1898.24</f>
        <v>2285.98</v>
      </c>
      <c r="H302" s="18"/>
      <c r="I302" s="18">
        <f>498.75</f>
        <v>498.75</v>
      </c>
      <c r="J302" s="18"/>
      <c r="K302" s="18"/>
      <c r="L302" s="13">
        <f>SUM(F302:K302)</f>
        <v>10639.73</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f>7791.86</f>
        <v>7791.86</v>
      </c>
      <c r="L303" s="13">
        <f t="shared" si="14"/>
        <v>7791.86</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f>222167</f>
        <v>222167</v>
      </c>
      <c r="K306" s="18"/>
      <c r="L306" s="13">
        <f t="shared" si="14"/>
        <v>222167</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SUM(F297:F309)</f>
        <v>7855</v>
      </c>
      <c r="G310" s="39">
        <f t="shared" ref="G310:L310" si="15">SUM(G296:G309)</f>
        <v>2285.98</v>
      </c>
      <c r="H310" s="39">
        <f t="shared" si="15"/>
        <v>0</v>
      </c>
      <c r="I310" s="39">
        <f t="shared" si="15"/>
        <v>498.75</v>
      </c>
      <c r="J310" s="39">
        <f t="shared" si="15"/>
        <v>222167</v>
      </c>
      <c r="K310" s="39">
        <f t="shared" si="15"/>
        <v>7791.86</v>
      </c>
      <c r="L310" s="38">
        <f t="shared" si="15"/>
        <v>240598.59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4">
        <f>34070.62+15468</f>
        <v>49538.62</v>
      </c>
      <c r="G315" s="18">
        <f>156.15+3477.18+262+7986.19+369+50+1251.71+1931.1+236</f>
        <v>15719.33</v>
      </c>
      <c r="H315" s="18"/>
      <c r="I315" s="18">
        <f>4553.52+3315.64</f>
        <v>7869.16</v>
      </c>
      <c r="J315" s="18"/>
      <c r="K315" s="18">
        <f>15895</f>
        <v>15895</v>
      </c>
      <c r="L315" s="13">
        <f>SUM(F315:K315)</f>
        <v>89022.11</v>
      </c>
      <c r="M315" s="8"/>
      <c r="N315" s="164"/>
    </row>
    <row r="316" spans="1:14" s="3" customFormat="1" ht="12.2" customHeight="1" x14ac:dyDescent="0.15">
      <c r="A316" s="1" t="s">
        <v>439</v>
      </c>
      <c r="B316" s="2" t="s">
        <v>359</v>
      </c>
      <c r="C316" s="2" t="s">
        <v>291</v>
      </c>
      <c r="D316" s="2" t="s">
        <v>431</v>
      </c>
      <c r="E316" s="6">
        <v>1200</v>
      </c>
      <c r="F316" s="18">
        <f>46429.03+10000</f>
        <v>56429.03</v>
      </c>
      <c r="G316" s="18">
        <f>7876.23+478.32+401.64+2737.89+7161.68+8648.4+63+297.85-0.28+765-0.6</f>
        <v>28429.129999999997</v>
      </c>
      <c r="H316" s="18">
        <f>1845+6000+500.04</f>
        <v>8345.0400000000009</v>
      </c>
      <c r="I316" s="18"/>
      <c r="J316" s="4"/>
      <c r="K316" s="18">
        <f>511.21</f>
        <v>511.21</v>
      </c>
      <c r="L316" s="13">
        <f>SUM(F316:K316)</f>
        <v>93714.410000000018</v>
      </c>
      <c r="M316" s="8"/>
      <c r="N316" s="164"/>
    </row>
    <row r="317" spans="1:14" s="3" customFormat="1" ht="12.2" customHeight="1" x14ac:dyDescent="0.15">
      <c r="A317" s="1" t="s">
        <v>440</v>
      </c>
      <c r="B317" s="2" t="s">
        <v>359</v>
      </c>
      <c r="C317" s="2" t="s">
        <v>292</v>
      </c>
      <c r="D317" s="2" t="s">
        <v>431</v>
      </c>
      <c r="E317" s="6">
        <v>1300</v>
      </c>
      <c r="F317" s="18">
        <f>10770+1112</f>
        <v>11882</v>
      </c>
      <c r="G317" s="18">
        <f>820.1+85.06+942.12+218.4</f>
        <v>2065.6800000000003</v>
      </c>
      <c r="H317" s="18">
        <f>20500+3000+2582.5+1871.76+88</f>
        <v>28042.26</v>
      </c>
      <c r="I317" s="18">
        <f>318.5+17694</f>
        <v>18012.5</v>
      </c>
      <c r="J317" s="18">
        <f>53398.65</f>
        <v>53398.65</v>
      </c>
      <c r="K317" s="18">
        <f>9846.12+2310.88</f>
        <v>12157</v>
      </c>
      <c r="L317" s="13">
        <f>SUM(F317:K317)</f>
        <v>125558.09</v>
      </c>
      <c r="M317" s="8"/>
      <c r="N317" s="164"/>
    </row>
    <row r="318" spans="1:14" s="3" customFormat="1" ht="12.2" customHeight="1" x14ac:dyDescent="0.15">
      <c r="A318" s="1" t="s">
        <v>441</v>
      </c>
      <c r="B318" s="2" t="s">
        <v>359</v>
      </c>
      <c r="C318" s="2" t="s">
        <v>293</v>
      </c>
      <c r="D318" s="2" t="s">
        <v>431</v>
      </c>
      <c r="E318" s="6">
        <v>1400</v>
      </c>
      <c r="F318" s="18"/>
      <c r="G318" s="18"/>
      <c r="H318" s="18">
        <f>368.19+3321.37</f>
        <v>3689.56</v>
      </c>
      <c r="I318" s="18">
        <f>7826.62</f>
        <v>7826.62</v>
      </c>
      <c r="J318" s="18"/>
      <c r="K318" s="18">
        <f>6000+3818.69</f>
        <v>9818.69</v>
      </c>
      <c r="L318" s="13">
        <f>SUM(F318:K318)</f>
        <v>21334.870000000003</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36920</f>
        <v>36920</v>
      </c>
      <c r="G320" s="18">
        <f>3275.91</f>
        <v>3275.91</v>
      </c>
      <c r="H320" s="18"/>
      <c r="I320" s="18">
        <f>30286.94</f>
        <v>30286.94</v>
      </c>
      <c r="J320" s="18"/>
      <c r="K320" s="18"/>
      <c r="L320" s="13">
        <f>SUM(F320:K320)</f>
        <v>70482.850000000006</v>
      </c>
      <c r="M320" s="8"/>
      <c r="N320" s="164"/>
    </row>
    <row r="321" spans="1:14" s="3" customFormat="1" ht="12.2" customHeight="1" x14ac:dyDescent="0.15">
      <c r="A321" s="1" t="s">
        <v>443</v>
      </c>
      <c r="B321" s="2" t="s">
        <v>359</v>
      </c>
      <c r="C321" s="2" t="s">
        <v>295</v>
      </c>
      <c r="D321" s="2" t="s">
        <v>431</v>
      </c>
      <c r="E321" s="6">
        <v>2200</v>
      </c>
      <c r="F321" s="18">
        <f>13250</f>
        <v>13250</v>
      </c>
      <c r="G321" s="18">
        <f>2856.94</f>
        <v>2856.94</v>
      </c>
      <c r="H321" s="18">
        <f>38870+14396.68</f>
        <v>53266.68</v>
      </c>
      <c r="I321" s="18">
        <f>77.91</f>
        <v>77.91</v>
      </c>
      <c r="J321" s="18">
        <f>47242.22+19438.12</f>
        <v>66680.34</v>
      </c>
      <c r="K321" s="18">
        <f>19430</f>
        <v>19430</v>
      </c>
      <c r="L321" s="13">
        <f t="shared" ref="L321:L326" si="16">SUM(F321:K321)</f>
        <v>155561.87</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f>32377.42</f>
        <v>32377.42</v>
      </c>
      <c r="L322" s="13">
        <f t="shared" si="16"/>
        <v>32377.42</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4"/>
      <c r="J324" s="18">
        <f>1880.72</f>
        <v>1880.72</v>
      </c>
      <c r="K324" s="18"/>
      <c r="L324" s="13">
        <f t="shared" si="16"/>
        <v>1880.72</v>
      </c>
      <c r="M324" s="8"/>
      <c r="N324" s="164"/>
    </row>
    <row r="325" spans="1:14" s="3" customFormat="1" ht="12.2" customHeight="1" x14ac:dyDescent="0.15">
      <c r="A325" s="1" t="s">
        <v>447</v>
      </c>
      <c r="B325" s="2" t="s">
        <v>359</v>
      </c>
      <c r="C325" s="2" t="s">
        <v>299</v>
      </c>
      <c r="D325" s="2" t="s">
        <v>431</v>
      </c>
      <c r="E325" s="6">
        <v>2600</v>
      </c>
      <c r="F325" s="18"/>
      <c r="G325" s="18"/>
      <c r="H325" s="18">
        <f>2965</f>
        <v>2965</v>
      </c>
      <c r="I325" s="18">
        <f>20000</f>
        <v>20000</v>
      </c>
      <c r="J325" s="18">
        <f>27816.33+416563+16716.6+56574.16</f>
        <v>517670.08999999997</v>
      </c>
      <c r="K325" s="18"/>
      <c r="L325" s="13">
        <f t="shared" si="16"/>
        <v>540635.09</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f>898.8</f>
        <v>898.8</v>
      </c>
      <c r="I327" s="18"/>
      <c r="J327" s="18"/>
      <c r="K327" s="18"/>
      <c r="L327" s="13">
        <f>SUM(F327:K327)</f>
        <v>898.8</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SUM(F316:F328)</f>
        <v>118481.03</v>
      </c>
      <c r="G329" s="39">
        <f t="shared" ref="G329:L329" si="17">SUM(G315:G328)</f>
        <v>52346.990000000005</v>
      </c>
      <c r="H329" s="39">
        <f t="shared" si="17"/>
        <v>97207.340000000011</v>
      </c>
      <c r="I329" s="39">
        <f t="shared" si="17"/>
        <v>84073.13</v>
      </c>
      <c r="J329" s="39">
        <f t="shared" si="17"/>
        <v>639629.79999999993</v>
      </c>
      <c r="K329" s="39">
        <f t="shared" si="17"/>
        <v>90189.32</v>
      </c>
      <c r="L329" s="38">
        <f t="shared" si="17"/>
        <v>1131466.23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f>70818.14</f>
        <v>70818.14</v>
      </c>
      <c r="G334" s="18">
        <f>5246.39+7329.48</f>
        <v>12575.869999999999</v>
      </c>
      <c r="H334" s="18">
        <f>5404.71+1992+2197.4</f>
        <v>9594.11</v>
      </c>
      <c r="I334" s="18">
        <f>35599.05+1977.77+450+2750</f>
        <v>40776.82</v>
      </c>
      <c r="J334" s="18">
        <f>3000+11015.3</f>
        <v>14015.3</v>
      </c>
      <c r="K334" s="18">
        <f>3398+7241.27</f>
        <v>10639.27</v>
      </c>
      <c r="L334" s="13">
        <f t="shared" si="18"/>
        <v>158419.50999999998</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f>144812.5</f>
        <v>144812.5</v>
      </c>
      <c r="K337" s="18"/>
      <c r="L337" s="13">
        <f t="shared" si="18"/>
        <v>144812.5</v>
      </c>
      <c r="M337" s="8"/>
      <c r="N337" s="164"/>
    </row>
    <row r="338" spans="1:43" s="3" customFormat="1" ht="12.2" customHeight="1" thickTop="1" thickBot="1" x14ac:dyDescent="0.2">
      <c r="A338" s="46" t="s">
        <v>467</v>
      </c>
      <c r="B338" s="37">
        <v>14</v>
      </c>
      <c r="C338" s="47">
        <v>6</v>
      </c>
      <c r="D338" s="44" t="s">
        <v>431</v>
      </c>
      <c r="E338" s="47"/>
      <c r="F338" s="38">
        <f t="shared" ref="F338:K338" si="19">SUM(F333:F337)</f>
        <v>70818.14</v>
      </c>
      <c r="G338" s="38">
        <f t="shared" si="19"/>
        <v>12575.869999999999</v>
      </c>
      <c r="H338" s="38">
        <f t="shared" si="19"/>
        <v>9594.11</v>
      </c>
      <c r="I338" s="38">
        <f t="shared" si="19"/>
        <v>40776.82</v>
      </c>
      <c r="J338" s="38">
        <f t="shared" si="19"/>
        <v>158827.79999999999</v>
      </c>
      <c r="K338" s="38">
        <f t="shared" si="19"/>
        <v>10639.27</v>
      </c>
      <c r="L338" s="38">
        <f t="shared" si="18"/>
        <v>303232.01</v>
      </c>
      <c r="M338" s="8"/>
      <c r="N338" s="164"/>
    </row>
    <row r="339" spans="1:43" s="3" customFormat="1" ht="12.2" customHeight="1" thickTop="1" x14ac:dyDescent="0.15">
      <c r="A339" s="35" t="s">
        <v>468</v>
      </c>
      <c r="B339" s="37">
        <v>14</v>
      </c>
      <c r="C339" s="37">
        <v>7</v>
      </c>
      <c r="D339" s="36" t="s">
        <v>431</v>
      </c>
      <c r="E339" s="37"/>
      <c r="F339" s="38">
        <f t="shared" ref="F339:L339" si="20">F291+F310+F329+F338</f>
        <v>701401.45</v>
      </c>
      <c r="G339" s="38">
        <f t="shared" si="20"/>
        <v>297404.95000000007</v>
      </c>
      <c r="H339" s="38">
        <f t="shared" si="20"/>
        <v>528310.28</v>
      </c>
      <c r="I339" s="38">
        <f t="shared" si="20"/>
        <v>184740.65000000002</v>
      </c>
      <c r="J339" s="38">
        <f t="shared" si="20"/>
        <v>1861140.4799999997</v>
      </c>
      <c r="K339" s="38">
        <f t="shared" si="20"/>
        <v>136311.45000000001</v>
      </c>
      <c r="L339" s="38">
        <f t="shared" si="20"/>
        <v>3758847.88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701401.45</v>
      </c>
      <c r="G353" s="38">
        <f>G339</f>
        <v>297404.95000000007</v>
      </c>
      <c r="H353" s="38">
        <f>H339</f>
        <v>528310.28</v>
      </c>
      <c r="I353" s="38">
        <f>I339</f>
        <v>184740.65000000002</v>
      </c>
      <c r="J353" s="38">
        <f>J339</f>
        <v>1861140.4799999997</v>
      </c>
      <c r="K353" s="38">
        <f>K339+K352</f>
        <v>136311.45000000001</v>
      </c>
      <c r="L353" s="38">
        <f>L339+L352</f>
        <v>3758847.88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295+152133.93+23916.02</f>
        <v>176344.94999999998</v>
      </c>
      <c r="I359" s="18">
        <v>4626.41</v>
      </c>
      <c r="J359" s="18">
        <f>53619.57</f>
        <v>53619.57</v>
      </c>
      <c r="K359" s="18"/>
      <c r="L359" s="13">
        <f>SUM(F359:K359)</f>
        <v>234590.93</v>
      </c>
      <c r="M359" s="8"/>
      <c r="N359" s="164"/>
    </row>
    <row r="360" spans="1:22" s="3" customFormat="1" ht="12.2" customHeight="1" x14ac:dyDescent="0.15">
      <c r="A360" s="1" t="s">
        <v>542</v>
      </c>
      <c r="B360" s="2" t="s">
        <v>366</v>
      </c>
      <c r="C360" s="6">
        <v>2</v>
      </c>
      <c r="D360" s="2" t="s">
        <v>431</v>
      </c>
      <c r="E360" s="6"/>
      <c r="F360" s="18"/>
      <c r="G360" s="18"/>
      <c r="H360" s="18">
        <f>57539.56</f>
        <v>57539.56</v>
      </c>
      <c r="I360" s="18">
        <v>2691.76</v>
      </c>
      <c r="J360" s="18">
        <f>8031.15</f>
        <v>8031.15</v>
      </c>
      <c r="K360" s="18"/>
      <c r="L360" s="13">
        <f>SUM(F360:K360)</f>
        <v>68262.47</v>
      </c>
      <c r="M360" s="8"/>
      <c r="N360" s="164"/>
    </row>
    <row r="361" spans="1:22" s="3" customFormat="1" ht="12.2" customHeight="1" x14ac:dyDescent="0.15">
      <c r="A361" s="3" t="s">
        <v>543</v>
      </c>
      <c r="B361" s="2" t="s">
        <v>366</v>
      </c>
      <c r="C361" s="6">
        <v>3</v>
      </c>
      <c r="D361" s="2" t="s">
        <v>431</v>
      </c>
      <c r="E361" s="6"/>
      <c r="F361" s="18"/>
      <c r="G361" s="18"/>
      <c r="H361" s="18">
        <f>106859.2</f>
        <v>106859.2</v>
      </c>
      <c r="I361" s="18">
        <v>5046.2700000000004</v>
      </c>
      <c r="J361" s="18">
        <f>14917.93</f>
        <v>14917.93</v>
      </c>
      <c r="K361" s="18"/>
      <c r="L361" s="13">
        <f>SUM(F361:K361)</f>
        <v>126823.4</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340743.70999999996</v>
      </c>
      <c r="I363" s="38">
        <f t="shared" si="22"/>
        <v>12364.44</v>
      </c>
      <c r="J363" s="38">
        <f t="shared" si="22"/>
        <v>76568.649999999994</v>
      </c>
      <c r="K363" s="38">
        <f t="shared" si="22"/>
        <v>0</v>
      </c>
      <c r="L363" s="38">
        <f t="shared" si="22"/>
        <v>429676.80000000005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3456</v>
      </c>
      <c r="G368" s="18">
        <v>1024</v>
      </c>
      <c r="H368" s="18">
        <v>1920.42</v>
      </c>
      <c r="I368" s="13">
        <f>SUM(F368:H368)</f>
        <v>6400.42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158.32+1012.09</f>
        <v>1170.4100000000001</v>
      </c>
      <c r="G369" s="53">
        <v>1667.76</v>
      </c>
      <c r="H369" s="53">
        <v>3125.85</v>
      </c>
      <c r="I369" s="13">
        <f>SUM(F369:H369)</f>
        <v>5964.02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4626.41</v>
      </c>
      <c r="G370" s="38">
        <f>SUM(G368:G369)</f>
        <v>2691.76</v>
      </c>
      <c r="H370" s="38">
        <f>SUM(H368:H369)</f>
        <v>5046.2700000000004</v>
      </c>
      <c r="I370" s="38">
        <f>SUM(I368:I369)</f>
        <v>12364.44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355000</v>
      </c>
      <c r="H390" s="18">
        <f>55361.81-27466.39</f>
        <v>27895.42</v>
      </c>
      <c r="I390" s="18"/>
      <c r="J390" s="23" t="s">
        <v>288</v>
      </c>
      <c r="K390" s="23" t="s">
        <v>288</v>
      </c>
      <c r="L390" s="13">
        <f t="shared" si="25"/>
        <v>382895.42</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f>13220.5</f>
        <v>13220.5</v>
      </c>
      <c r="H393" s="18">
        <v>27466.39</v>
      </c>
      <c r="I393" s="18"/>
      <c r="J393" s="23" t="s">
        <v>288</v>
      </c>
      <c r="K393" s="23" t="s">
        <v>288</v>
      </c>
      <c r="L393" s="13">
        <f t="shared" si="25"/>
        <v>40686.89</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368220.5</v>
      </c>
      <c r="H394" s="97">
        <f>SUM(H388:H393)</f>
        <v>55361.81</v>
      </c>
      <c r="I394" s="54">
        <f>SUM(I388:I393)</f>
        <v>0</v>
      </c>
      <c r="J394" s="42" t="s">
        <v>288</v>
      </c>
      <c r="K394" s="42" t="s">
        <v>288</v>
      </c>
      <c r="L394" s="38">
        <f>SUM(L388:L393)</f>
        <v>423582.31</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368220.5</v>
      </c>
      <c r="H409" s="38">
        <f>H394+H402+H408</f>
        <v>55361.81</v>
      </c>
      <c r="I409" s="38">
        <f>I394+I402+I408</f>
        <v>0</v>
      </c>
      <c r="J409" s="23" t="s">
        <v>288</v>
      </c>
      <c r="K409" s="23" t="s">
        <v>288</v>
      </c>
      <c r="L409" s="38">
        <f>L394+L402+L408</f>
        <v>423582.31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f>11850.83+122065.04</f>
        <v>133915.87</v>
      </c>
      <c r="L416" s="13">
        <f t="shared" si="27"/>
        <v>133915.87</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v>31028.62</v>
      </c>
      <c r="L419" s="13">
        <f t="shared" si="27"/>
        <v>31028.62</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164944.49</v>
      </c>
      <c r="L420" s="38">
        <f t="shared" si="28"/>
        <v>164944.49</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164944.49</v>
      </c>
      <c r="L435" s="38">
        <f t="shared" si="32"/>
        <v>164944.49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1122954.56</v>
      </c>
      <c r="G440" s="18"/>
      <c r="H440" s="18"/>
      <c r="I440" s="13">
        <f t="shared" ref="I440:I446" si="33">SUM(F440:H440)</f>
        <v>1122954.56</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1122954.56</v>
      </c>
      <c r="G447" s="13">
        <f>SUM(G440:G446)</f>
        <v>0</v>
      </c>
      <c r="H447" s="13">
        <f>SUM(H440:H446)</f>
        <v>0</v>
      </c>
      <c r="I447" s="13">
        <f>SUM(I440:I446)</f>
        <v>1122954.56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1122954.56</v>
      </c>
      <c r="G457" s="18"/>
      <c r="H457" s="18"/>
      <c r="I457" s="13">
        <f t="shared" si="34"/>
        <v>1122954.56</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1122954.56</v>
      </c>
      <c r="G461" s="65">
        <f>SUM(G455:G460)</f>
        <v>0</v>
      </c>
      <c r="H461" s="65">
        <f>SUM(H455:H460)</f>
        <v>0</v>
      </c>
      <c r="I461" s="65">
        <f>SUM(I455:I460)</f>
        <v>1122954.56</v>
      </c>
      <c r="J461" s="23" t="s">
        <v>288</v>
      </c>
      <c r="K461" s="23" t="s">
        <v>288</v>
      </c>
      <c r="L461" s="23" t="s">
        <v>288</v>
      </c>
      <c r="N461" s="130"/>
    </row>
    <row r="462" spans="1:86" ht="12.2" customHeight="1" thickTop="1" x14ac:dyDescent="0.2">
      <c r="A462" s="40" t="s">
        <v>424</v>
      </c>
      <c r="B462" s="41">
        <v>18</v>
      </c>
      <c r="C462" s="64">
        <v>21</v>
      </c>
      <c r="D462" s="114" t="s">
        <v>432</v>
      </c>
      <c r="E462" s="64"/>
      <c r="F462" s="39">
        <f>F453+F461</f>
        <v>1122954.56</v>
      </c>
      <c r="G462" s="39">
        <f>G453+G461</f>
        <v>0</v>
      </c>
      <c r="H462" s="39">
        <f>H453+H461</f>
        <v>0</v>
      </c>
      <c r="I462" s="39">
        <f>I453+I461</f>
        <v>1122954.56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1265017.78</v>
      </c>
      <c r="G466" s="18">
        <v>106874.31</v>
      </c>
      <c r="H466" s="18"/>
      <c r="I466" s="18"/>
      <c r="J466" s="18">
        <v>864316.74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16675500.41</v>
      </c>
      <c r="G469" s="18">
        <v>387550.66</v>
      </c>
      <c r="H469" s="18">
        <v>3758847.88</v>
      </c>
      <c r="I469" s="18"/>
      <c r="J469" s="18">
        <f>13220.5+55361.81+355000</f>
        <v>423582.31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16675500.41</v>
      </c>
      <c r="G471" s="19">
        <f>SUM(G469:G470)</f>
        <v>387550.66</v>
      </c>
      <c r="H471" s="19">
        <f>SUM(H469:H470)</f>
        <v>3758847.88</v>
      </c>
      <c r="I471" s="19">
        <f>SUM(I469:I470)</f>
        <v>0</v>
      </c>
      <c r="J471" s="19">
        <f>SUM(J469:J470)</f>
        <v>423582.31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16564875.449999999</v>
      </c>
      <c r="G473" s="18">
        <v>429676.79999999999</v>
      </c>
      <c r="H473" s="18">
        <v>3758847.88</v>
      </c>
      <c r="I473" s="18"/>
      <c r="J473" s="18">
        <f>153093.66+11850.83</f>
        <v>164944.49</v>
      </c>
      <c r="K473" s="23" t="s">
        <v>288</v>
      </c>
      <c r="L473" s="23" t="s">
        <v>288</v>
      </c>
      <c r="N473" s="130"/>
    </row>
    <row r="474" spans="1:14" ht="12.2" customHeight="1" x14ac:dyDescent="0.2">
      <c r="A474" s="71" t="s">
        <v>613</v>
      </c>
      <c r="B474" s="22">
        <v>19</v>
      </c>
      <c r="C474" s="31">
        <v>6</v>
      </c>
      <c r="D474" s="2" t="s">
        <v>432</v>
      </c>
      <c r="E474" s="31"/>
      <c r="F474" s="18">
        <v>12057</v>
      </c>
      <c r="G474" s="18">
        <v>1578</v>
      </c>
      <c r="H474" s="18"/>
      <c r="I474" s="18"/>
      <c r="J474" s="18"/>
      <c r="K474" s="23" t="s">
        <v>288</v>
      </c>
      <c r="L474" s="23" t="s">
        <v>288</v>
      </c>
      <c r="N474" s="130"/>
    </row>
    <row r="475" spans="1:14" ht="12.2" customHeight="1" x14ac:dyDescent="0.2">
      <c r="A475" s="32" t="s">
        <v>426</v>
      </c>
      <c r="B475" s="22">
        <v>19</v>
      </c>
      <c r="C475" s="31">
        <v>7</v>
      </c>
      <c r="D475" s="2" t="s">
        <v>432</v>
      </c>
      <c r="E475" s="31"/>
      <c r="F475" s="19">
        <f>SUM(F473:F474)</f>
        <v>16576932.449999999</v>
      </c>
      <c r="G475" s="19">
        <f>SUM(G473:G474)</f>
        <v>431254.8</v>
      </c>
      <c r="H475" s="19">
        <f>SUM(H473:H474)</f>
        <v>3758847.88</v>
      </c>
      <c r="I475" s="19">
        <f>SUM(I473:I474)</f>
        <v>0</v>
      </c>
      <c r="J475" s="19">
        <f>SUM(J473:J474)</f>
        <v>164944.49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1363585.7400000021</v>
      </c>
      <c r="G477" s="19">
        <f>(G466+G471)- G475</f>
        <v>63170.169999999984</v>
      </c>
      <c r="H477" s="19">
        <f>(H466+H471)- H475</f>
        <v>0</v>
      </c>
      <c r="I477" s="19">
        <f>(I466+I471)- I475</f>
        <v>0</v>
      </c>
      <c r="J477" s="19">
        <f>(J466+J471)- J475</f>
        <v>1122954.56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281094.12+504503.44+7730.77+60730+47840.04+10000</f>
        <v>911898.37000000011</v>
      </c>
      <c r="G522" s="18">
        <f>309+3499.06+331437.28+8609.76+5064.3+64011.42+68227.14+53842.73+1047.12+2950.91+21389.4+478.32+9395.76+66.22+289.64+765</f>
        <v>571383.06000000006</v>
      </c>
      <c r="H522" s="18">
        <f>259760.47+4150.35+3627+104323.32+6000</f>
        <v>377861.14</v>
      </c>
      <c r="I522" s="18">
        <f>3672.77+257.99+1362.21</f>
        <v>5292.97</v>
      </c>
      <c r="J522" s="18">
        <f>2306.03+504.85+2732.64+347.94+47242.22+19438.12</f>
        <v>72571.8</v>
      </c>
      <c r="K522" s="18">
        <f>1430.06</f>
        <v>1430.06</v>
      </c>
      <c r="L522" s="69">
        <f>SUM(F522:K522)</f>
        <v>1940437.4000000004</v>
      </c>
      <c r="N522" s="130"/>
    </row>
    <row r="523" spans="1:14" ht="12.2" customHeight="1" x14ac:dyDescent="0.2">
      <c r="A523" s="21" t="s">
        <v>634</v>
      </c>
      <c r="B523" s="22">
        <v>21</v>
      </c>
      <c r="C523" s="22">
        <v>2</v>
      </c>
      <c r="D523" s="2" t="s">
        <v>432</v>
      </c>
      <c r="E523" s="22"/>
      <c r="F523" s="18">
        <f>76025.23+1500+55260.53+2857.5+65834.53+19835.02+37831.4</f>
        <v>259144.21</v>
      </c>
      <c r="G523" s="18">
        <f>42778.8+1434.96+802.68+9820.43+7476.77+15225.91+139.96+489.15+17593.09+669.44+520.42+6334.51+2683.78+12929.91+75.1+320.02+11229.37+334.72+226.05+2832.26+7430.06+21.85+106.34</f>
        <v>141475.58000000002</v>
      </c>
      <c r="H523" s="18">
        <f>4047.76</f>
        <v>4047.76</v>
      </c>
      <c r="I523" s="18">
        <f>1263.47+263.3+113.66</f>
        <v>1640.43</v>
      </c>
      <c r="J523" s="18">
        <f>96.49+300</f>
        <v>396.49</v>
      </c>
      <c r="K523" s="18">
        <f>783.87</f>
        <v>783.87</v>
      </c>
      <c r="L523" s="69">
        <f>SUM(F523:K523)</f>
        <v>407488.34</v>
      </c>
      <c r="N523" s="130"/>
    </row>
    <row r="524" spans="1:14" ht="12.2" customHeight="1" thickBot="1" x14ac:dyDescent="0.25">
      <c r="A524" s="21" t="s">
        <v>635</v>
      </c>
      <c r="B524" s="22">
        <v>21</v>
      </c>
      <c r="C524" s="22">
        <v>3</v>
      </c>
      <c r="D524" s="2" t="s">
        <v>432</v>
      </c>
      <c r="E524" s="22"/>
      <c r="F524" s="18">
        <f>54720+1232.4+106965.16+2416.67+3932.5+122263.82+36836.65+4000+70258.6</f>
        <v>402625.80000000005</v>
      </c>
      <c r="G524" s="18">
        <f>64168.2+1913.28+1114.92+12049.26+14472.42+10989.12+161.62+318.9+32672.51+1243.84+965.66+306+11764.84+4983.9+24012.86+139.96+595.48+20854.73+621.93+420.39+5259.98+13798.75+40.96+195.46</f>
        <v>223064.96999999997</v>
      </c>
      <c r="H524" s="18">
        <f>19254.5+41.97+885+11455.6+125822.87+982.3-0.01</f>
        <v>158442.22999999998</v>
      </c>
      <c r="I524" s="18">
        <f>1600.5+707.45+64.99+1618.53+2071.86+98.5+420.49</f>
        <v>6582.32</v>
      </c>
      <c r="J524" s="18">
        <f>487.01+3000+400</f>
        <v>3887.01</v>
      </c>
      <c r="K524" s="18">
        <f>1614.53+685</f>
        <v>2299.5299999999997</v>
      </c>
      <c r="L524" s="69">
        <f>SUM(F524:K524)</f>
        <v>796901.86</v>
      </c>
      <c r="N524" s="130"/>
    </row>
    <row r="525" spans="1:14" ht="12.2" customHeight="1" thickTop="1" x14ac:dyDescent="0.2">
      <c r="A525" s="97" t="s">
        <v>63</v>
      </c>
      <c r="B525" s="41">
        <v>21</v>
      </c>
      <c r="C525" s="41">
        <v>4</v>
      </c>
      <c r="D525" s="115" t="s">
        <v>432</v>
      </c>
      <c r="E525" s="41"/>
      <c r="F525" s="81">
        <f>SUM(F522:F524)</f>
        <v>1573668.3800000001</v>
      </c>
      <c r="G525" s="81">
        <f t="shared" ref="G525:L525" si="36">SUM(G522:G524)</f>
        <v>935923.6100000001</v>
      </c>
      <c r="H525" s="81">
        <f t="shared" si="36"/>
        <v>540351.13</v>
      </c>
      <c r="I525" s="81">
        <f t="shared" si="36"/>
        <v>13515.720000000001</v>
      </c>
      <c r="J525" s="81">
        <f t="shared" si="36"/>
        <v>76855.3</v>
      </c>
      <c r="K525" s="81">
        <f t="shared" si="36"/>
        <v>4513.4599999999991</v>
      </c>
      <c r="L525" s="70">
        <f t="shared" si="36"/>
        <v>3144827.6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34594.56+91825.99+44928+66829.78</f>
        <v>238178.33</v>
      </c>
      <c r="G527" s="18">
        <f>15593.16+258.36+241.17+2385.21+7117.61+23.21+168.11+31186.24+516.79+490.79+6456.05+18034.63+46.43+344.33+15593.14+258.39+241.19+3243.49+8823.88+23.21+168.11+12622+475.58+373.64+5087.53+13125.33+63+247.27</f>
        <v>143207.85</v>
      </c>
      <c r="H527" s="18">
        <f>46497.24+1845</f>
        <v>48342.239999999998</v>
      </c>
      <c r="I527" s="18">
        <f>2499.78+72.42+617.63+13977.61</f>
        <v>17167.440000000002</v>
      </c>
      <c r="J527" s="18">
        <f>1376.25+399.2+7135.86+780.7+1917.4+1849+481.92</f>
        <v>13940.33</v>
      </c>
      <c r="K527" s="18">
        <f>499.19+848+225+511.21</f>
        <v>2083.4</v>
      </c>
      <c r="L527" s="69">
        <f>SUM(F527:K527)</f>
        <v>462919.59</v>
      </c>
      <c r="M527" s="8"/>
      <c r="N527" s="164"/>
    </row>
    <row r="528" spans="1:14" s="3" customFormat="1" ht="12.2" customHeight="1" x14ac:dyDescent="0.15">
      <c r="A528" s="21" t="s">
        <v>634</v>
      </c>
      <c r="B528" s="22">
        <v>21</v>
      </c>
      <c r="C528" s="22">
        <v>6</v>
      </c>
      <c r="D528" s="2" t="s">
        <v>432</v>
      </c>
      <c r="E528" s="22"/>
      <c r="F528" s="18">
        <f>10250.24+27207.69+13312</f>
        <v>50769.93</v>
      </c>
      <c r="G528" s="18">
        <f>4620.16+76.48+71.47+706.72+2013.21+6.83+49.62+9240.37+152.96+145.1+1912.85+5343.52+13.65+102.29+4620.17+76.43+71.47+960.72+2614.56+6.83+49.62</f>
        <v>32855.030000000006</v>
      </c>
      <c r="H528" s="18">
        <f>13776.96</f>
        <v>13776.96</v>
      </c>
      <c r="I528" s="18"/>
      <c r="J528" s="18"/>
      <c r="K528" s="18"/>
      <c r="L528" s="69">
        <f>SUM(F528:K528)</f>
        <v>97401.920000000013</v>
      </c>
      <c r="M528" s="8"/>
      <c r="N528" s="164"/>
    </row>
    <row r="529" spans="1:14" s="3" customFormat="1" ht="12.2" customHeight="1" thickBot="1" x14ac:dyDescent="0.2">
      <c r="A529" s="21" t="s">
        <v>635</v>
      </c>
      <c r="B529" s="22">
        <v>21</v>
      </c>
      <c r="C529" s="22">
        <v>7</v>
      </c>
      <c r="D529" s="2" t="s">
        <v>432</v>
      </c>
      <c r="E529" s="22"/>
      <c r="F529" s="18">
        <f>19219.2+51014.57+24960+80499.65</f>
        <v>175693.41999999998</v>
      </c>
      <c r="G529" s="18">
        <f>143.48+8662.88+133.88+1325.22+3774.57+12.97+93.17+17325.79+286.89+272.53+3586.48+10019.35+25.94+191.41+8662.89+143.5+133.86+1801.56+4902.04+12.97+93.17+7876.23+478.32+401.64+6013.8+15810.08+63+297.85</f>
        <v>92545.470000000016</v>
      </c>
      <c r="H529" s="18">
        <f>25831.8</f>
        <v>25831.8</v>
      </c>
      <c r="I529" s="18"/>
      <c r="J529" s="18"/>
      <c r="K529" s="18"/>
      <c r="L529" s="69">
        <f>SUM(F529:K529)</f>
        <v>294070.69</v>
      </c>
      <c r="M529" s="8"/>
      <c r="N529" s="164"/>
    </row>
    <row r="530" spans="1:14" s="3" customFormat="1" ht="12.2" customHeight="1" thickTop="1" x14ac:dyDescent="0.15">
      <c r="A530" s="97" t="s">
        <v>65</v>
      </c>
      <c r="B530" s="41">
        <v>21</v>
      </c>
      <c r="C530" s="41">
        <v>8</v>
      </c>
      <c r="D530" s="115" t="s">
        <v>432</v>
      </c>
      <c r="E530" s="41"/>
      <c r="F530" s="70">
        <f>SUM(F527:F529)</f>
        <v>464641.68</v>
      </c>
      <c r="G530" s="70">
        <f t="shared" ref="G530:L530" si="37">SUM(G527:G529)</f>
        <v>268608.35000000003</v>
      </c>
      <c r="H530" s="70">
        <f t="shared" si="37"/>
        <v>87951</v>
      </c>
      <c r="I530" s="70">
        <f t="shared" si="37"/>
        <v>17167.440000000002</v>
      </c>
      <c r="J530" s="70">
        <f t="shared" si="37"/>
        <v>13940.33</v>
      </c>
      <c r="K530" s="70">
        <f t="shared" si="37"/>
        <v>2083.4</v>
      </c>
      <c r="L530" s="70">
        <f t="shared" si="37"/>
        <v>854392.2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64331.54</f>
        <v>64331.54</v>
      </c>
      <c r="G532" s="18">
        <f>14330.92+320.52+448.9+4842.99+996.84+11187.54+28.67+241.03</f>
        <v>32397.41</v>
      </c>
      <c r="H532" s="18">
        <f>17813+26.2</f>
        <v>17839.2</v>
      </c>
      <c r="I532" s="18"/>
      <c r="J532" s="18"/>
      <c r="K532" s="18">
        <f>160.92</f>
        <v>160.91999999999999</v>
      </c>
      <c r="L532" s="69">
        <f>SUM(F532:K532)</f>
        <v>114729.06999999999</v>
      </c>
      <c r="M532" s="8"/>
      <c r="N532" s="164"/>
    </row>
    <row r="533" spans="1:14" s="3" customFormat="1" ht="12.2" customHeight="1" x14ac:dyDescent="0.15">
      <c r="A533" s="21" t="s">
        <v>634</v>
      </c>
      <c r="B533" s="22">
        <v>21</v>
      </c>
      <c r="C533" s="22">
        <v>10</v>
      </c>
      <c r="D533" s="2" t="s">
        <v>432</v>
      </c>
      <c r="E533" s="22"/>
      <c r="F533" s="18">
        <f>19145.1</f>
        <v>19145.099999999999</v>
      </c>
      <c r="G533" s="18">
        <f>4278.03+95.66+133.85+1441.17+306.8+3314.74+8.88+67.85</f>
        <v>9646.98</v>
      </c>
      <c r="H533" s="18">
        <f>5278</f>
        <v>5278</v>
      </c>
      <c r="I533" s="18"/>
      <c r="J533" s="18"/>
      <c r="K533" s="18">
        <f>47.68</f>
        <v>47.68</v>
      </c>
      <c r="L533" s="69">
        <f>SUM(F533:K533)</f>
        <v>34117.760000000002</v>
      </c>
      <c r="M533" s="8"/>
      <c r="N533" s="164"/>
    </row>
    <row r="534" spans="1:14" s="3" customFormat="1" ht="12.2" customHeight="1" thickBot="1" x14ac:dyDescent="0.2">
      <c r="A534" s="21" t="s">
        <v>635</v>
      </c>
      <c r="B534" s="22">
        <v>21</v>
      </c>
      <c r="C534" s="22">
        <v>11</v>
      </c>
      <c r="D534" s="2" t="s">
        <v>432</v>
      </c>
      <c r="E534" s="22"/>
      <c r="F534" s="18">
        <f>36180.56</f>
        <v>36180.559999999998</v>
      </c>
      <c r="G534" s="18">
        <f>8127.86+181.72+251.88+2721.93+613.6+6215.3+16.39+131.65</f>
        <v>18260.330000000002</v>
      </c>
      <c r="H534" s="18">
        <f>9896.31</f>
        <v>9896.31</v>
      </c>
      <c r="I534" s="18"/>
      <c r="J534" s="18"/>
      <c r="K534" s="18">
        <f>89.4</f>
        <v>89.4</v>
      </c>
      <c r="L534" s="69">
        <f>SUM(F534:K534)</f>
        <v>64426.6</v>
      </c>
      <c r="M534" s="8"/>
      <c r="N534" s="164"/>
    </row>
    <row r="535" spans="1:14" s="3" customFormat="1" ht="12.2" customHeight="1" thickTop="1" x14ac:dyDescent="0.15">
      <c r="A535" s="97" t="s">
        <v>67</v>
      </c>
      <c r="B535" s="41">
        <v>21</v>
      </c>
      <c r="C535" s="41">
        <v>12</v>
      </c>
      <c r="D535" s="115" t="s">
        <v>432</v>
      </c>
      <c r="E535" s="41"/>
      <c r="F535" s="70">
        <f>SUM(F532:F534)</f>
        <v>119657.2</v>
      </c>
      <c r="G535" s="70">
        <f t="shared" ref="G535:L535" si="38">SUM(G532:G534)</f>
        <v>60304.72</v>
      </c>
      <c r="H535" s="70">
        <f t="shared" si="38"/>
        <v>33013.51</v>
      </c>
      <c r="I535" s="70">
        <f t="shared" si="38"/>
        <v>0</v>
      </c>
      <c r="J535" s="70">
        <f t="shared" si="38"/>
        <v>0</v>
      </c>
      <c r="K535" s="70">
        <f t="shared" si="38"/>
        <v>298</v>
      </c>
      <c r="L535" s="70">
        <f t="shared" si="38"/>
        <v>213273.43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46022+6400</f>
        <v>52422</v>
      </c>
      <c r="I542" s="18"/>
      <c r="J542" s="18"/>
      <c r="K542" s="18"/>
      <c r="L542" s="69">
        <f>SUM(F542:K542)</f>
        <v>52422</v>
      </c>
      <c r="M542" s="8"/>
      <c r="N542" s="164"/>
    </row>
    <row r="543" spans="1:14" s="3" customFormat="1" ht="12.2" customHeight="1" x14ac:dyDescent="0.15">
      <c r="A543" s="21" t="s">
        <v>634</v>
      </c>
      <c r="B543" s="22">
        <v>21</v>
      </c>
      <c r="C543" s="22">
        <v>18</v>
      </c>
      <c r="D543" s="2" t="s">
        <v>432</v>
      </c>
      <c r="E543" s="22"/>
      <c r="F543" s="18"/>
      <c r="G543" s="18"/>
      <c r="H543" s="18">
        <f>13636</f>
        <v>13636</v>
      </c>
      <c r="I543" s="18"/>
      <c r="J543" s="18"/>
      <c r="K543" s="18"/>
      <c r="L543" s="69">
        <f>SUM(F543:K543)</f>
        <v>13636</v>
      </c>
      <c r="M543" s="8"/>
      <c r="N543" s="164"/>
    </row>
    <row r="544" spans="1:14" s="3" customFormat="1" ht="12.2" customHeight="1" thickBot="1" x14ac:dyDescent="0.2">
      <c r="A544" s="21" t="s">
        <v>635</v>
      </c>
      <c r="B544" s="22">
        <v>21</v>
      </c>
      <c r="C544" s="22">
        <v>19</v>
      </c>
      <c r="D544" s="2" t="s">
        <v>432</v>
      </c>
      <c r="E544" s="22"/>
      <c r="F544" s="18"/>
      <c r="G544" s="18"/>
      <c r="H544" s="18">
        <f>25567.7+500.04</f>
        <v>26067.74</v>
      </c>
      <c r="I544" s="18"/>
      <c r="J544" s="18"/>
      <c r="K544" s="18"/>
      <c r="L544" s="69">
        <f>SUM(F544:K544)</f>
        <v>26067.74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92125.74</v>
      </c>
      <c r="I545" s="140">
        <f t="shared" si="40"/>
        <v>0</v>
      </c>
      <c r="J545" s="140">
        <f t="shared" si="40"/>
        <v>0</v>
      </c>
      <c r="K545" s="140">
        <f t="shared" si="40"/>
        <v>0</v>
      </c>
      <c r="L545" s="140">
        <f t="shared" si="40"/>
        <v>92125.74</v>
      </c>
      <c r="M545" s="8"/>
      <c r="N545" s="164"/>
    </row>
    <row r="546" spans="1:14" s="3" customFormat="1" ht="12.2" customHeight="1" thickTop="1" x14ac:dyDescent="0.15">
      <c r="A546" s="75" t="s">
        <v>72</v>
      </c>
      <c r="B546" s="41">
        <v>21</v>
      </c>
      <c r="C546" s="41">
        <v>21</v>
      </c>
      <c r="D546" s="115" t="s">
        <v>432</v>
      </c>
      <c r="E546" s="41"/>
      <c r="F546" s="70">
        <f>F525+F530+F535+F540+F545</f>
        <v>2157967.2600000002</v>
      </c>
      <c r="G546" s="70">
        <f t="shared" ref="G546:L546" si="41">G525+G530+G535+G540+G545</f>
        <v>1264836.6800000002</v>
      </c>
      <c r="H546" s="70">
        <f t="shared" si="41"/>
        <v>753441.38</v>
      </c>
      <c r="I546" s="70">
        <f t="shared" si="41"/>
        <v>30683.160000000003</v>
      </c>
      <c r="J546" s="70">
        <f t="shared" si="41"/>
        <v>90795.63</v>
      </c>
      <c r="K546" s="70">
        <f t="shared" si="41"/>
        <v>6894.8599999999988</v>
      </c>
      <c r="L546" s="70">
        <f t="shared" si="41"/>
        <v>4304618.97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1940437.4000000004</v>
      </c>
      <c r="G550" s="69">
        <f>L527</f>
        <v>462919.59</v>
      </c>
      <c r="H550" s="69">
        <f>L532</f>
        <v>114729.06999999999</v>
      </c>
      <c r="I550" s="69">
        <f>L537</f>
        <v>0</v>
      </c>
      <c r="J550" s="69">
        <f>L542</f>
        <v>52422</v>
      </c>
      <c r="K550" s="69">
        <f>SUM(F550:J550)</f>
        <v>2570508.06</v>
      </c>
      <c r="L550" s="23" t="s">
        <v>288</v>
      </c>
      <c r="M550" s="8"/>
      <c r="N550" s="164"/>
    </row>
    <row r="551" spans="1:14" s="3" customFormat="1" ht="12.2" customHeight="1" x14ac:dyDescent="0.15">
      <c r="A551" s="21" t="s">
        <v>634</v>
      </c>
      <c r="B551" s="22">
        <v>21</v>
      </c>
      <c r="C551" s="22">
        <v>23</v>
      </c>
      <c r="D551" s="2" t="s">
        <v>432</v>
      </c>
      <c r="E551" s="22"/>
      <c r="F551" s="69">
        <f>L523</f>
        <v>407488.34</v>
      </c>
      <c r="G551" s="69">
        <f>L528</f>
        <v>97401.920000000013</v>
      </c>
      <c r="H551" s="69">
        <f>L533</f>
        <v>34117.760000000002</v>
      </c>
      <c r="I551" s="69">
        <f>L538</f>
        <v>0</v>
      </c>
      <c r="J551" s="69">
        <f>L543</f>
        <v>13636</v>
      </c>
      <c r="K551" s="69">
        <f>SUM(F551:J551)</f>
        <v>552644.02</v>
      </c>
      <c r="L551" s="23" t="s">
        <v>288</v>
      </c>
      <c r="M551" s="8"/>
      <c r="N551" s="164"/>
    </row>
    <row r="552" spans="1:14" s="3" customFormat="1" ht="12.2" customHeight="1" thickBot="1" x14ac:dyDescent="0.2">
      <c r="A552" s="21" t="s">
        <v>635</v>
      </c>
      <c r="B552" s="22">
        <v>21</v>
      </c>
      <c r="C552" s="22">
        <v>24</v>
      </c>
      <c r="D552" s="2" t="s">
        <v>432</v>
      </c>
      <c r="E552" s="22"/>
      <c r="F552" s="69">
        <f>L524</f>
        <v>796901.86</v>
      </c>
      <c r="G552" s="69">
        <f>L529</f>
        <v>294070.69</v>
      </c>
      <c r="H552" s="69">
        <f>L534</f>
        <v>64426.6</v>
      </c>
      <c r="I552" s="69">
        <f>L539</f>
        <v>0</v>
      </c>
      <c r="J552" s="69">
        <f>L544</f>
        <v>26067.74</v>
      </c>
      <c r="K552" s="69">
        <f>SUM(F552:J552)</f>
        <v>1181466.8900000001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3144827.6</v>
      </c>
      <c r="G553" s="70">
        <f t="shared" si="42"/>
        <v>854392.2</v>
      </c>
      <c r="H553" s="70">
        <f t="shared" si="42"/>
        <v>213273.43</v>
      </c>
      <c r="I553" s="70">
        <f t="shared" si="42"/>
        <v>0</v>
      </c>
      <c r="J553" s="70">
        <f t="shared" si="42"/>
        <v>92125.74</v>
      </c>
      <c r="K553" s="70">
        <f t="shared" si="42"/>
        <v>4304618.9700000007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f>47840.04</f>
        <v>47840.04</v>
      </c>
      <c r="G563" s="18">
        <f>21389.4+478.32+309+3499.06+9395.76+66.22+289.64</f>
        <v>35427.4</v>
      </c>
      <c r="H563" s="18"/>
      <c r="I563" s="18">
        <f>1362.21</f>
        <v>1362.21</v>
      </c>
      <c r="J563" s="18">
        <f>504.85</f>
        <v>504.85</v>
      </c>
      <c r="K563" s="18"/>
      <c r="L563" s="69">
        <f>SUM(F563:K563)</f>
        <v>85134.500000000015</v>
      </c>
      <c r="M563" s="8"/>
      <c r="N563" s="164"/>
    </row>
    <row r="564" spans="1:14" s="3" customFormat="1" ht="12.2" customHeight="1" x14ac:dyDescent="0.15">
      <c r="A564" s="21" t="s">
        <v>634</v>
      </c>
      <c r="B564" s="22">
        <v>22</v>
      </c>
      <c r="C564" s="22">
        <v>6</v>
      </c>
      <c r="D564" s="2" t="s">
        <v>432</v>
      </c>
      <c r="E564" s="22"/>
      <c r="F564" s="18">
        <f>37831.4</f>
        <v>37831.4</v>
      </c>
      <c r="G564" s="18">
        <f>11229.37+334.72+226.05+2832.26+7430.06+21.85+106.34</f>
        <v>22180.649999999998</v>
      </c>
      <c r="H564" s="18"/>
      <c r="I564" s="18">
        <f>113.66</f>
        <v>113.66</v>
      </c>
      <c r="J564" s="18"/>
      <c r="K564" s="18"/>
      <c r="L564" s="69">
        <f>SUM(F564:K564)</f>
        <v>60125.710000000006</v>
      </c>
      <c r="M564" s="8"/>
      <c r="N564" s="164"/>
    </row>
    <row r="565" spans="1:14" s="3" customFormat="1" ht="12.2" customHeight="1" thickBot="1" x14ac:dyDescent="0.2">
      <c r="A565" s="21" t="s">
        <v>635</v>
      </c>
      <c r="B565" s="22">
        <v>22</v>
      </c>
      <c r="C565" s="22">
        <v>7</v>
      </c>
      <c r="D565" s="2" t="s">
        <v>432</v>
      </c>
      <c r="E565" s="22"/>
      <c r="F565" s="18">
        <f>70258.6</f>
        <v>70258.600000000006</v>
      </c>
      <c r="G565" s="18">
        <f>20854.73+621.92+420.39+5259.98+13798.75+40.96+195.46</f>
        <v>41192.189999999995</v>
      </c>
      <c r="H565" s="18"/>
      <c r="I565" s="18">
        <f>420.49</f>
        <v>420.49</v>
      </c>
      <c r="J565" s="18">
        <f>487.01</f>
        <v>487.01</v>
      </c>
      <c r="K565" s="18"/>
      <c r="L565" s="69">
        <f>SUM(F565:K565)</f>
        <v>112358.29000000001</v>
      </c>
      <c r="M565" s="8"/>
      <c r="N565" s="164"/>
    </row>
    <row r="566" spans="1:14" s="3" customFormat="1" ht="12.2" customHeight="1" thickTop="1" x14ac:dyDescent="0.15">
      <c r="A566" s="97" t="s">
        <v>65</v>
      </c>
      <c r="B566" s="41">
        <v>22</v>
      </c>
      <c r="C566" s="41">
        <v>8</v>
      </c>
      <c r="D566" s="115" t="s">
        <v>432</v>
      </c>
      <c r="E566" s="41"/>
      <c r="F566" s="70">
        <f t="shared" ref="F566:L566" si="44">SUM(F563:F565)</f>
        <v>155930.04</v>
      </c>
      <c r="G566" s="70">
        <f t="shared" si="44"/>
        <v>98800.239999999991</v>
      </c>
      <c r="H566" s="70">
        <f t="shared" si="44"/>
        <v>0</v>
      </c>
      <c r="I566" s="70">
        <f t="shared" si="44"/>
        <v>1896.3600000000001</v>
      </c>
      <c r="J566" s="70">
        <f t="shared" si="44"/>
        <v>991.86</v>
      </c>
      <c r="K566" s="70">
        <f t="shared" si="44"/>
        <v>0</v>
      </c>
      <c r="L566" s="70">
        <f t="shared" si="44"/>
        <v>257618.50000000003</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f>2732.64+347.94</f>
        <v>3080.58</v>
      </c>
      <c r="J568" s="18"/>
      <c r="K568" s="18"/>
      <c r="L568" s="69">
        <f>SUM(F568:K568)</f>
        <v>3080.58</v>
      </c>
      <c r="M568" s="8"/>
      <c r="N568" s="164"/>
    </row>
    <row r="569" spans="1:14" s="3" customFormat="1" ht="12.2" customHeight="1" x14ac:dyDescent="0.15">
      <c r="A569" s="21" t="s">
        <v>634</v>
      </c>
      <c r="B569" s="22">
        <v>22</v>
      </c>
      <c r="C569" s="22">
        <v>10</v>
      </c>
      <c r="D569" s="2" t="s">
        <v>432</v>
      </c>
      <c r="E569" s="22"/>
      <c r="F569" s="18"/>
      <c r="G569" s="18"/>
      <c r="H569" s="18"/>
      <c r="I569" s="18">
        <f>300</f>
        <v>300</v>
      </c>
      <c r="J569" s="18"/>
      <c r="K569" s="18"/>
      <c r="L569" s="69">
        <f>SUM(F569:K569)</f>
        <v>300</v>
      </c>
      <c r="M569" s="8"/>
      <c r="N569" s="164"/>
    </row>
    <row r="570" spans="1:14" s="3" customFormat="1" ht="12.2" customHeight="1" thickBot="1" x14ac:dyDescent="0.2">
      <c r="A570" s="21" t="s">
        <v>635</v>
      </c>
      <c r="B570" s="22">
        <v>22</v>
      </c>
      <c r="C570" s="22">
        <v>11</v>
      </c>
      <c r="D570" s="2" t="s">
        <v>432</v>
      </c>
      <c r="E570" s="22"/>
      <c r="F570" s="18"/>
      <c r="G570" s="18"/>
      <c r="H570" s="18">
        <f>3000</f>
        <v>3000</v>
      </c>
      <c r="I570" s="18">
        <f>400</f>
        <v>400</v>
      </c>
      <c r="J570" s="18"/>
      <c r="K570" s="18">
        <f>685</f>
        <v>685</v>
      </c>
      <c r="L570" s="69">
        <f>SUM(F570:K570)</f>
        <v>4085</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3000</v>
      </c>
      <c r="I571" s="140">
        <f t="shared" si="45"/>
        <v>3780.58</v>
      </c>
      <c r="J571" s="140">
        <f t="shared" si="45"/>
        <v>0</v>
      </c>
      <c r="K571" s="140">
        <f t="shared" si="45"/>
        <v>685</v>
      </c>
      <c r="L571" s="140">
        <f t="shared" si="45"/>
        <v>7465.58</v>
      </c>
      <c r="M571" s="8"/>
      <c r="N571" s="164"/>
    </row>
    <row r="572" spans="1:14" s="3" customFormat="1" ht="12.2" customHeight="1" thickTop="1" x14ac:dyDescent="0.15">
      <c r="A572" s="75" t="s">
        <v>88</v>
      </c>
      <c r="B572" s="41">
        <v>22</v>
      </c>
      <c r="C572" s="41">
        <v>13</v>
      </c>
      <c r="D572" s="115" t="s">
        <v>432</v>
      </c>
      <c r="E572" s="41"/>
      <c r="F572" s="70">
        <f>F561+F566+F571</f>
        <v>155930.04</v>
      </c>
      <c r="G572" s="70">
        <f t="shared" ref="G572:L572" si="46">G561+G566+G571</f>
        <v>98800.239999999991</v>
      </c>
      <c r="H572" s="70">
        <f t="shared" si="46"/>
        <v>3000</v>
      </c>
      <c r="I572" s="70">
        <f t="shared" si="46"/>
        <v>5676.9400000000005</v>
      </c>
      <c r="J572" s="70">
        <f t="shared" si="46"/>
        <v>991.86</v>
      </c>
      <c r="K572" s="70">
        <f t="shared" si="46"/>
        <v>685</v>
      </c>
      <c r="L572" s="70">
        <f t="shared" si="46"/>
        <v>265084.08</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26512.52</v>
      </c>
      <c r="I576" s="69">
        <f>SUM(F576:H576)</f>
        <v>26512.52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3627</f>
        <v>3627</v>
      </c>
      <c r="G580" s="18"/>
      <c r="H580" s="18">
        <f>3000+500.04</f>
        <v>3500.04</v>
      </c>
      <c r="I580" s="69">
        <f t="shared" si="47"/>
        <v>7127.04</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f>11455.6</f>
        <v>11455.6</v>
      </c>
      <c r="I581" s="69">
        <f t="shared" si="47"/>
        <v>11455.6</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104323.32</f>
        <v>104323.32</v>
      </c>
      <c r="G583" s="18"/>
      <c r="H583" s="18">
        <f>125822.87</f>
        <v>125822.87</v>
      </c>
      <c r="I583" s="69">
        <f t="shared" si="47"/>
        <v>230146.19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f>20482.96</f>
        <v>20482.96</v>
      </c>
      <c r="I585" s="69">
        <f t="shared" si="47"/>
        <v>20482.96</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107950.32</v>
      </c>
      <c r="G589" s="79">
        <f t="shared" ref="G589:I589" si="48">SUM(G576:G588)</f>
        <v>0</v>
      </c>
      <c r="H589" s="79">
        <f t="shared" si="48"/>
        <v>187773.99</v>
      </c>
      <c r="I589" s="79">
        <f t="shared" si="48"/>
        <v>295724.31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1220.4+50238</f>
        <v>51458.400000000001</v>
      </c>
      <c r="I592" s="18">
        <f>14885</f>
        <v>14885</v>
      </c>
      <c r="J592" s="18">
        <f>16971.02+27910.54</f>
        <v>44881.56</v>
      </c>
      <c r="K592" s="80">
        <f t="shared" ref="K592:K598" si="49">SUM(H592:J592)</f>
        <v>111224.95999999999</v>
      </c>
      <c r="L592" s="23" t="s">
        <v>288</v>
      </c>
      <c r="M592" s="8"/>
      <c r="N592" s="164"/>
    </row>
    <row r="593" spans="1:14" s="3" customFormat="1" ht="12.2" customHeight="1" x14ac:dyDescent="0.15">
      <c r="A593" s="3" t="s">
        <v>638</v>
      </c>
      <c r="B593" s="22">
        <v>23</v>
      </c>
      <c r="C593" s="22">
        <v>2</v>
      </c>
      <c r="D593" s="2" t="s">
        <v>432</v>
      </c>
      <c r="E593" s="22"/>
      <c r="F593" s="78">
        <v>2722</v>
      </c>
      <c r="G593" s="79" t="s">
        <v>97</v>
      </c>
      <c r="H593" s="18">
        <f>46022</f>
        <v>46022</v>
      </c>
      <c r="I593" s="18">
        <f>13636</f>
        <v>13636</v>
      </c>
      <c r="J593" s="18">
        <f>25567.7</f>
        <v>25567.7</v>
      </c>
      <c r="K593" s="80">
        <f t="shared" si="49"/>
        <v>85225.7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f>44584.2</f>
        <v>44584.2</v>
      </c>
      <c r="K594" s="80">
        <f t="shared" si="49"/>
        <v>44584.2</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f>8832.2</f>
        <v>8832.2000000000007</v>
      </c>
      <c r="J595" s="18">
        <f>39581.98</f>
        <v>39581.980000000003</v>
      </c>
      <c r="K595" s="80">
        <f t="shared" si="49"/>
        <v>48414.180000000008</v>
      </c>
      <c r="L595" s="23" t="s">
        <v>288</v>
      </c>
      <c r="M595" s="8"/>
      <c r="N595" s="164"/>
    </row>
    <row r="596" spans="1:14" s="3" customFormat="1" ht="12.2" customHeight="1" x14ac:dyDescent="0.15">
      <c r="A596" s="103" t="s">
        <v>652</v>
      </c>
      <c r="B596" s="22">
        <v>23</v>
      </c>
      <c r="C596" s="22">
        <v>5</v>
      </c>
      <c r="D596" s="2" t="s">
        <v>432</v>
      </c>
      <c r="E596" s="22"/>
      <c r="F596" s="78">
        <v>2725</v>
      </c>
      <c r="G596" s="79" t="s">
        <v>97</v>
      </c>
      <c r="H596" s="18">
        <f>11317.35</f>
        <v>11317.35</v>
      </c>
      <c r="I596" s="18"/>
      <c r="J596" s="18"/>
      <c r="K596" s="80">
        <f t="shared" si="49"/>
        <v>11317.35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f>25538+1954+2672+2175</f>
        <v>32339</v>
      </c>
      <c r="I598" s="18">
        <f>7567+579+792+645</f>
        <v>9583</v>
      </c>
      <c r="J598" s="18">
        <f>14187.5+1084.78+1484.28+1208.48</f>
        <v>17965.04</v>
      </c>
      <c r="K598" s="80">
        <f t="shared" si="49"/>
        <v>59887.040000000001</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141136.75</v>
      </c>
      <c r="I599" s="81">
        <f>SUM(I592:I598)</f>
        <v>46936.2</v>
      </c>
      <c r="J599" s="81">
        <f>SUM(J592:J598)</f>
        <v>172580.48000000001</v>
      </c>
      <c r="K599" s="81">
        <f>SUM(K592:K598)</f>
        <v>360653.42999999993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3738.6+44172.79+644354.34+2802.97-144812.5</f>
        <v>550256.19999999995</v>
      </c>
      <c r="I605" s="18">
        <f>9947.73</f>
        <v>9947.73</v>
      </c>
      <c r="J605" s="18">
        <f>63417.06+1000000+131406.81+14015.3+68561.06</f>
        <v>1277400.2300000002</v>
      </c>
      <c r="K605" s="80">
        <f>SUM(H605:J605)</f>
        <v>1837604.1600000001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550256.19999999995</v>
      </c>
      <c r="I606" s="81">
        <f>SUM(I603:I605)</f>
        <v>9947.73</v>
      </c>
      <c r="J606" s="81">
        <f>SUM(J603:J605)</f>
        <v>1277400.2300000002</v>
      </c>
      <c r="K606" s="81">
        <f>SUM(K603:K605)</f>
        <v>1837604.1600000001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1665514.8599999999</v>
      </c>
      <c r="H618" s="80">
        <f>SUM(F52)</f>
        <v>1665514.8599999999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71796.48000000001</v>
      </c>
      <c r="H619" s="80">
        <f>SUM(G52)</f>
        <v>71796.479999999996</v>
      </c>
      <c r="I619" s="87" t="s">
        <v>872</v>
      </c>
      <c r="J619" s="80">
        <f>G619-H619</f>
        <v>0</v>
      </c>
      <c r="K619" s="80"/>
      <c r="L619" s="80"/>
      <c r="M619" s="8"/>
    </row>
    <row r="620" spans="1:14" s="3" customFormat="1" ht="12.2" customHeight="1" x14ac:dyDescent="0.15">
      <c r="A620" s="74"/>
      <c r="B620" s="22"/>
      <c r="C620" s="22"/>
      <c r="D620" s="22"/>
      <c r="E620" s="22"/>
      <c r="F620" s="87" t="s">
        <v>685</v>
      </c>
      <c r="G620" s="80">
        <f>SUM(H19)</f>
        <v>136742.65</v>
      </c>
      <c r="H620" s="80">
        <f>SUM(H52)</f>
        <v>136742.65</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1122954.56</v>
      </c>
      <c r="H622" s="80">
        <f>SUM(J52)</f>
        <v>1122954.56</v>
      </c>
      <c r="I622" s="87" t="s">
        <v>875</v>
      </c>
      <c r="J622" s="80">
        <f>G622-H622</f>
        <v>0</v>
      </c>
      <c r="K622" s="80"/>
      <c r="L622" s="80"/>
      <c r="M622" s="8"/>
    </row>
    <row r="623" spans="1:14" s="3" customFormat="1" ht="12.2" customHeight="1" x14ac:dyDescent="0.15">
      <c r="A623" s="74"/>
      <c r="B623" s="22"/>
      <c r="C623" s="22"/>
      <c r="D623" s="22"/>
      <c r="E623" s="22"/>
      <c r="F623" s="87" t="s">
        <v>861</v>
      </c>
      <c r="G623" s="80">
        <f>F51</f>
        <v>1363585.74</v>
      </c>
      <c r="H623" s="80">
        <f>F477</f>
        <v>1363585.7400000021</v>
      </c>
      <c r="I623" s="87" t="s">
        <v>101</v>
      </c>
      <c r="J623" s="80">
        <f t="shared" ref="J623:J656" si="51">G623-H623</f>
        <v>-2.0954757928848267E-9</v>
      </c>
      <c r="K623" s="80"/>
      <c r="L623" s="80"/>
      <c r="M623" s="8"/>
    </row>
    <row r="624" spans="1:14" s="3" customFormat="1" ht="12.2" customHeight="1" x14ac:dyDescent="0.15">
      <c r="A624" s="74"/>
      <c r="B624" s="22"/>
      <c r="C624" s="85"/>
      <c r="D624" s="85"/>
      <c r="E624" s="85"/>
      <c r="F624" s="85" t="s">
        <v>862</v>
      </c>
      <c r="G624" s="80">
        <f>G51</f>
        <v>63170.17</v>
      </c>
      <c r="H624" s="80">
        <f>G477</f>
        <v>63170.169999999984</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1122954.56</v>
      </c>
      <c r="H627" s="80">
        <f>J477</f>
        <v>1122954.56</v>
      </c>
      <c r="I627" s="87" t="s">
        <v>105</v>
      </c>
      <c r="J627" s="80">
        <f t="shared" si="51"/>
        <v>0</v>
      </c>
      <c r="K627" s="67"/>
      <c r="L627" s="69"/>
      <c r="M627" s="8"/>
    </row>
    <row r="628" spans="1:13" s="3" customFormat="1" ht="12.2" customHeight="1" x14ac:dyDescent="0.15">
      <c r="A628" s="21"/>
      <c r="B628" s="22"/>
      <c r="C628" s="22"/>
      <c r="D628" s="22"/>
      <c r="E628" s="22"/>
      <c r="F628" s="86" t="s">
        <v>658</v>
      </c>
      <c r="G628" s="80">
        <f>F194</f>
        <v>16675500.41</v>
      </c>
      <c r="H628" s="80">
        <f>SUM(F469)</f>
        <v>16675500.41</v>
      </c>
      <c r="I628" s="87" t="s">
        <v>106</v>
      </c>
      <c r="J628" s="80">
        <f>G628-H628</f>
        <v>0</v>
      </c>
      <c r="K628" s="67"/>
      <c r="L628" s="69"/>
      <c r="M628" s="8"/>
    </row>
    <row r="629" spans="1:13" s="3" customFormat="1" ht="12.2" customHeight="1" x14ac:dyDescent="0.15">
      <c r="A629" s="21"/>
      <c r="B629" s="22"/>
      <c r="C629" s="22"/>
      <c r="D629" s="22"/>
      <c r="E629" s="22"/>
      <c r="F629" s="86" t="s">
        <v>659</v>
      </c>
      <c r="G629" s="80">
        <f>G194</f>
        <v>387550.66000000003</v>
      </c>
      <c r="H629" s="80">
        <f>SUM(G469)</f>
        <v>387550.66</v>
      </c>
      <c r="I629" s="87" t="s">
        <v>107</v>
      </c>
      <c r="J629" s="80">
        <f>G629-H629</f>
        <v>0</v>
      </c>
      <c r="K629" s="67"/>
      <c r="L629" s="69"/>
      <c r="M629" s="8"/>
    </row>
    <row r="630" spans="1:13" s="3" customFormat="1" ht="12.2" customHeight="1" x14ac:dyDescent="0.15">
      <c r="A630" s="21"/>
      <c r="B630" s="22"/>
      <c r="C630" s="22"/>
      <c r="D630" s="22"/>
      <c r="E630" s="22"/>
      <c r="F630" s="86" t="s">
        <v>660</v>
      </c>
      <c r="G630" s="80">
        <f>H194</f>
        <v>3758847.8800000004</v>
      </c>
      <c r="H630" s="80">
        <f>SUM(H469)</f>
        <v>3758847.88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423582.31</v>
      </c>
      <c r="H632" s="80">
        <f>SUM(J469)</f>
        <v>423582.31</v>
      </c>
      <c r="I632" s="87" t="s">
        <v>110</v>
      </c>
      <c r="J632" s="80">
        <f>G632-H632</f>
        <v>0</v>
      </c>
      <c r="K632" s="67"/>
      <c r="L632" s="69"/>
      <c r="M632" s="8"/>
    </row>
    <row r="633" spans="1:13" s="3" customFormat="1" ht="12.2" customHeight="1" x14ac:dyDescent="0.15">
      <c r="A633" s="21"/>
      <c r="B633" s="22"/>
      <c r="C633" s="22"/>
      <c r="D633" s="22"/>
      <c r="E633" s="22"/>
      <c r="F633" s="86" t="s">
        <v>394</v>
      </c>
      <c r="G633" s="80">
        <f>SUM(L272)</f>
        <v>16564875.450000003</v>
      </c>
      <c r="H633" s="80">
        <f>SUM(F473)</f>
        <v>16564875.449999999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3758847.88</v>
      </c>
      <c r="H634" s="80">
        <f>SUM(H473)</f>
        <v>3758847.88</v>
      </c>
      <c r="I634" s="87" t="s">
        <v>112</v>
      </c>
      <c r="J634" s="80">
        <f>G634-H634</f>
        <v>0</v>
      </c>
      <c r="K634" s="67"/>
      <c r="L634" s="69"/>
      <c r="M634" s="8"/>
    </row>
    <row r="635" spans="1:13" s="124" customFormat="1" ht="12.2" customHeight="1" x14ac:dyDescent="0.15">
      <c r="A635" s="21"/>
      <c r="B635" s="22"/>
      <c r="C635" s="22"/>
      <c r="D635" s="22"/>
      <c r="E635" s="22"/>
      <c r="F635" s="99" t="s">
        <v>247</v>
      </c>
      <c r="G635" s="80">
        <f>I363</f>
        <v>12364.44</v>
      </c>
      <c r="H635" s="80">
        <f>I370</f>
        <v>12364.44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429676.80000000005</v>
      </c>
      <c r="H636" s="80">
        <f>SUM(G473)</f>
        <v>429676.79999999999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423582.31</v>
      </c>
      <c r="H638" s="108">
        <f>SUM(J469)</f>
        <v>423582.31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164944.49</v>
      </c>
      <c r="H639" s="108">
        <f>SUM(J473)</f>
        <v>164944.49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1122954.56</v>
      </c>
      <c r="H640" s="80">
        <f>SUM(F462)</f>
        <v>1122954.56</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1122954.56</v>
      </c>
      <c r="H643" s="80">
        <f>SUM(I462)</f>
        <v>1122954.56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55361.81</v>
      </c>
      <c r="H645" s="80">
        <f>H409</f>
        <v>55361.81</v>
      </c>
      <c r="I645" s="87" t="s">
        <v>480</v>
      </c>
      <c r="J645" s="80">
        <f t="shared" si="51"/>
        <v>0</v>
      </c>
      <c r="K645" s="67"/>
      <c r="L645" s="69"/>
      <c r="M645" s="8"/>
    </row>
    <row r="646" spans="1:13" s="3" customFormat="1" ht="12.2" customHeight="1" x14ac:dyDescent="0.15">
      <c r="A646" s="21"/>
      <c r="B646" s="22"/>
      <c r="C646" s="22"/>
      <c r="D646" s="22"/>
      <c r="E646" s="22"/>
      <c r="F646" s="86" t="s">
        <v>664</v>
      </c>
      <c r="G646" s="80">
        <f>J184</f>
        <v>368220.5</v>
      </c>
      <c r="H646" s="80">
        <f>G409</f>
        <v>368220.5</v>
      </c>
      <c r="I646" s="87" t="s">
        <v>481</v>
      </c>
      <c r="J646" s="80">
        <f t="shared" si="51"/>
        <v>0</v>
      </c>
      <c r="K646" s="67"/>
      <c r="L646" s="69"/>
      <c r="M646" s="8"/>
    </row>
    <row r="647" spans="1:13" s="3" customFormat="1" ht="12.2" customHeight="1" x14ac:dyDescent="0.15">
      <c r="A647" s="21"/>
      <c r="B647" s="22"/>
      <c r="C647" s="22"/>
      <c r="D647" s="22"/>
      <c r="E647" s="22"/>
      <c r="F647" s="86" t="s">
        <v>662</v>
      </c>
      <c r="G647" s="80">
        <f>J194</f>
        <v>423582.31</v>
      </c>
      <c r="H647" s="80">
        <f>L409</f>
        <v>423582.31</v>
      </c>
      <c r="I647" s="87" t="s">
        <v>477</v>
      </c>
      <c r="J647" s="80">
        <f t="shared" si="51"/>
        <v>0</v>
      </c>
      <c r="K647" s="67"/>
      <c r="L647" s="69"/>
      <c r="M647" s="8"/>
    </row>
    <row r="648" spans="1:13" s="3" customFormat="1" ht="12.2" customHeight="1" x14ac:dyDescent="0.15">
      <c r="A648" s="21"/>
      <c r="B648" s="22"/>
      <c r="C648" s="22"/>
      <c r="D648" s="22"/>
      <c r="E648" s="22"/>
      <c r="F648" s="86" t="s">
        <v>51</v>
      </c>
      <c r="G648" s="80">
        <f>K599</f>
        <v>360653.42999999993</v>
      </c>
      <c r="H648" s="80">
        <f>L209+L227+L245</f>
        <v>360653.43000000005</v>
      </c>
      <c r="I648" s="87" t="s">
        <v>396</v>
      </c>
      <c r="J648" s="80">
        <f t="shared" si="51"/>
        <v>0</v>
      </c>
      <c r="K648" s="67"/>
      <c r="L648" s="69"/>
      <c r="M648" s="8"/>
    </row>
    <row r="649" spans="1:13" s="3" customFormat="1" ht="12.2" customHeight="1" x14ac:dyDescent="0.15">
      <c r="A649" s="21"/>
      <c r="B649" s="22"/>
      <c r="C649" s="22"/>
      <c r="D649" s="22"/>
      <c r="E649" s="22"/>
      <c r="F649" s="86" t="s">
        <v>52</v>
      </c>
      <c r="G649" s="80">
        <f>K606</f>
        <v>1837604.1600000001</v>
      </c>
      <c r="H649" s="80">
        <f>(J258+J339)-(J256+J337)</f>
        <v>1837604.1599999997</v>
      </c>
      <c r="I649" s="87" t="s">
        <v>699</v>
      </c>
      <c r="J649" s="80">
        <f t="shared" si="51"/>
        <v>0</v>
      </c>
      <c r="K649" s="67"/>
      <c r="L649" s="69"/>
      <c r="M649" s="8"/>
    </row>
    <row r="650" spans="1:13" s="3" customFormat="1" ht="12.2" customHeight="1" x14ac:dyDescent="0.15">
      <c r="A650" s="21"/>
      <c r="B650" s="22"/>
      <c r="C650" s="22"/>
      <c r="D650" s="22"/>
      <c r="E650" s="22"/>
      <c r="F650" s="86" t="s">
        <v>387</v>
      </c>
      <c r="G650" s="80">
        <f>L209</f>
        <v>141136.75</v>
      </c>
      <c r="H650" s="80">
        <f>H599</f>
        <v>141136.75</v>
      </c>
      <c r="I650" s="87" t="s">
        <v>388</v>
      </c>
      <c r="J650" s="80">
        <f t="shared" si="51"/>
        <v>0</v>
      </c>
      <c r="K650" s="67"/>
      <c r="L650" s="69"/>
      <c r="M650" s="8"/>
    </row>
    <row r="651" spans="1:13" s="3" customFormat="1" ht="12.2" customHeight="1" x14ac:dyDescent="0.15">
      <c r="A651" s="21"/>
      <c r="B651" s="22"/>
      <c r="C651" s="22"/>
      <c r="D651" s="22"/>
      <c r="E651" s="22"/>
      <c r="F651" s="86" t="s">
        <v>392</v>
      </c>
      <c r="G651" s="80">
        <f>L227</f>
        <v>46936.2</v>
      </c>
      <c r="H651" s="80">
        <f>I599</f>
        <v>46936.2</v>
      </c>
      <c r="I651" s="87" t="s">
        <v>389</v>
      </c>
      <c r="J651" s="80">
        <f t="shared" si="51"/>
        <v>0</v>
      </c>
      <c r="K651" s="67"/>
      <c r="L651" s="69"/>
      <c r="M651" s="8"/>
    </row>
    <row r="652" spans="1:13" s="3" customFormat="1" ht="12.2" customHeight="1" x14ac:dyDescent="0.15">
      <c r="A652" s="21"/>
      <c r="B652" s="22"/>
      <c r="C652" s="22"/>
      <c r="D652" s="22"/>
      <c r="E652" s="22"/>
      <c r="F652" s="86" t="s">
        <v>393</v>
      </c>
      <c r="G652" s="80">
        <f>L245</f>
        <v>172580.48000000001</v>
      </c>
      <c r="H652" s="80">
        <f>J599</f>
        <v>172580.48000000001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7147.65</v>
      </c>
      <c r="H653" s="80">
        <f>K264+K346</f>
        <v>7147.65</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368220.5</v>
      </c>
      <c r="H656" s="80">
        <f>K267+K348</f>
        <v>368220.5</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10024751.310000001</v>
      </c>
      <c r="G661" s="13">
        <f>(L230+L310+L360)</f>
        <v>2542213.81</v>
      </c>
      <c r="H661" s="13">
        <f>(L248+L329+L361)</f>
        <v>6704474.4000000022</v>
      </c>
      <c r="I661" s="13">
        <f>SUM(F661:H661)</f>
        <v>19271439.520000003</v>
      </c>
      <c r="J661" s="13"/>
      <c r="K661" s="13"/>
      <c r="L661" s="13"/>
      <c r="M661" s="9"/>
    </row>
    <row r="662" spans="1:13" s="3" customFormat="1" ht="12.2" customHeight="1" x14ac:dyDescent="0.2">
      <c r="A662" s="1" t="s">
        <v>127</v>
      </c>
      <c r="F662" s="13">
        <f>(L359/IF(SUM(L359:L361)=0,1,SUM(L359:L361))*(SUM(G97:G110)))</f>
        <v>58038.609403586364</v>
      </c>
      <c r="G662" s="13">
        <f>(L360/IF(SUM(L359:L361)=0,1,SUM(L359:L361))*(SUM(G97:G110)))</f>
        <v>16888.371742479696</v>
      </c>
      <c r="H662" s="13">
        <f>(L361/IF(SUM(L359:L361)=0,1,SUM(L359:L361))*(SUM(G97:G110)))</f>
        <v>31376.548853933935</v>
      </c>
      <c r="I662" s="13">
        <f>SUM(F662:H662)</f>
        <v>106303.53</v>
      </c>
      <c r="J662"/>
      <c r="K662" s="13"/>
      <c r="L662" s="13"/>
      <c r="M662" s="8"/>
    </row>
    <row r="663" spans="1:13" s="3" customFormat="1" ht="12.2" customHeight="1" x14ac:dyDescent="0.2">
      <c r="A663" s="1" t="s">
        <v>128</v>
      </c>
      <c r="F663" s="13">
        <f>(L209+L288)-(J209+J288)</f>
        <v>148270</v>
      </c>
      <c r="G663" s="13">
        <f>(L227+L307)-(J227+J307)</f>
        <v>46936.2</v>
      </c>
      <c r="H663" s="13">
        <f>(L245+L326)-(J245+J326)</f>
        <v>172580.48000000001</v>
      </c>
      <c r="I663" s="13">
        <f>SUM(F663:H663)</f>
        <v>367786.68000000005</v>
      </c>
      <c r="J663"/>
      <c r="K663" s="13"/>
      <c r="L663" s="13"/>
      <c r="M663" s="9"/>
    </row>
    <row r="664" spans="1:13" s="3" customFormat="1" ht="12.2" customHeight="1" x14ac:dyDescent="0.15">
      <c r="A664" s="141" t="s">
        <v>129</v>
      </c>
      <c r="B664" s="124"/>
      <c r="C664" s="124"/>
      <c r="D664" s="124"/>
      <c r="E664" s="124"/>
      <c r="F664" s="142">
        <f>SUM(F576:F588)+SUM(H603:H605)+SUM(L612)</f>
        <v>658206.52</v>
      </c>
      <c r="G664" s="142">
        <f>SUM(G576:G588)+SUM(I603:I605)+L613</f>
        <v>9947.73</v>
      </c>
      <c r="H664" s="142">
        <f>SUM(H576:H588)+SUM(J603:J605)+L614</f>
        <v>1465174.2200000002</v>
      </c>
      <c r="I664" s="13">
        <f>SUM(F664:H664)</f>
        <v>2133328.4700000002</v>
      </c>
      <c r="J664" s="13"/>
      <c r="K664" s="13"/>
      <c r="L664" s="13"/>
      <c r="M664" s="9"/>
    </row>
    <row r="665" spans="1:13" s="3" customFormat="1" ht="12.2" customHeight="1" x14ac:dyDescent="0.15">
      <c r="A665" s="1" t="s">
        <v>130</v>
      </c>
      <c r="F665" s="13">
        <f>F661-SUM(F662:F664)</f>
        <v>9160236.180596415</v>
      </c>
      <c r="G665" s="13">
        <f>G661-SUM(G662:G664)</f>
        <v>2468441.5082575204</v>
      </c>
      <c r="H665" s="13">
        <f>H661-SUM(H662:H664)</f>
        <v>5035343.1511460682</v>
      </c>
      <c r="I665" s="13">
        <f>I661-SUM(I662:I664)</f>
        <v>16664020.840000004</v>
      </c>
      <c r="J665" s="13"/>
      <c r="K665" s="13"/>
      <c r="L665" s="13"/>
      <c r="M665" s="8"/>
    </row>
    <row r="666" spans="1:13" s="3" customFormat="1" ht="12.2" customHeight="1" x14ac:dyDescent="0.2">
      <c r="A666" s="1" t="s">
        <v>131</v>
      </c>
      <c r="F666" s="182">
        <v>311.95999999999998</v>
      </c>
      <c r="G666" s="183">
        <v>88.08</v>
      </c>
      <c r="H666" s="183">
        <v>181.36</v>
      </c>
      <c r="I666" s="13">
        <f>SUM(F666:H666)</f>
        <v>581.4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29363.5</v>
      </c>
      <c r="G668" s="13">
        <f>ROUND(G665/G666,2)</f>
        <v>28024.99</v>
      </c>
      <c r="H668" s="13">
        <f>ROUND(H665/H666,2)</f>
        <v>27764.35</v>
      </c>
      <c r="I668" s="13">
        <f>ROUND(I665/I666,2)</f>
        <v>28661.89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16.61</v>
      </c>
      <c r="I671" s="13">
        <f>SUM(F671:H671)</f>
        <v>16.61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29363.5</v>
      </c>
      <c r="G673" s="13">
        <f>ROUND((G665+G670)/(G666+G671),2)</f>
        <v>28024.99</v>
      </c>
      <c r="H673" s="13">
        <f>ROUND((H665+H670)/(H666+H671),2)</f>
        <v>25434.880000000001</v>
      </c>
      <c r="I673" s="13">
        <f>ROUND((I665+I670)/(I666+I671),2)</f>
        <v>27865.79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147219.98000000001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36473.120000000003</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84967.05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25779.81</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Littleton</v>
      </c>
      <c r="C5" s="321"/>
      <c r="D5" s="321"/>
      <c r="E5" s="321"/>
      <c r="F5" s="321"/>
    </row>
    <row r="8" spans="1:9" ht="18" x14ac:dyDescent="0.25">
      <c r="A8" s="239" t="s">
        <v>1548</v>
      </c>
      <c r="F8" s="246" t="s">
        <v>1566</v>
      </c>
    </row>
    <row r="9" spans="1:9" ht="15" x14ac:dyDescent="0.2">
      <c r="A9" s="237" t="s">
        <v>1549</v>
      </c>
      <c r="B9" s="240">
        <f>'DOE25'!G97</f>
        <v>106303.53000000001</v>
      </c>
      <c r="F9" s="237" t="s">
        <v>1562</v>
      </c>
    </row>
    <row r="10" spans="1:9" ht="15" x14ac:dyDescent="0.2">
      <c r="A10" s="237" t="s">
        <v>1550</v>
      </c>
      <c r="B10" s="240">
        <f>'DOE25'!G112-'DOE25'!G97</f>
        <v>0</v>
      </c>
      <c r="F10" s="237" t="s">
        <v>1563</v>
      </c>
    </row>
    <row r="11" spans="1:9" ht="15" x14ac:dyDescent="0.2">
      <c r="A11" s="237" t="s">
        <v>1551</v>
      </c>
      <c r="B11" s="240">
        <f>'DOE25'!G140</f>
        <v>11315.71</v>
      </c>
      <c r="F11" s="237" t="s">
        <v>1564</v>
      </c>
    </row>
    <row r="12" spans="1:9" ht="15" x14ac:dyDescent="0.2">
      <c r="A12" s="237" t="s">
        <v>1552</v>
      </c>
      <c r="B12" s="240">
        <f>'DOE25'!G170</f>
        <v>262783.77</v>
      </c>
      <c r="F12" s="237" t="s">
        <v>1565</v>
      </c>
    </row>
    <row r="13" spans="1:9" ht="15" x14ac:dyDescent="0.2">
      <c r="A13" s="237" t="s">
        <v>1553</v>
      </c>
      <c r="B13" s="240">
        <f>'DOE25'!G193-'DOE25'!G180</f>
        <v>0</v>
      </c>
      <c r="F13" s="237" t="s">
        <v>1575</v>
      </c>
    </row>
    <row r="14" spans="1:9" ht="18" x14ac:dyDescent="0.25">
      <c r="A14" s="239" t="s">
        <v>732</v>
      </c>
      <c r="B14" s="241">
        <f>SUM(B9:B13)</f>
        <v>380403.01</v>
      </c>
    </row>
    <row r="16" spans="1:9" ht="18" x14ac:dyDescent="0.25">
      <c r="A16" s="239" t="s">
        <v>783</v>
      </c>
      <c r="F16" s="246" t="s">
        <v>1567</v>
      </c>
    </row>
    <row r="17" spans="1:6" ht="15" x14ac:dyDescent="0.2">
      <c r="A17" s="237" t="s">
        <v>1554</v>
      </c>
      <c r="B17" s="240">
        <f>'DOE25'!L363-'DOE25'!L362</f>
        <v>429676.80000000005</v>
      </c>
      <c r="F17" s="237" t="s">
        <v>1568</v>
      </c>
    </row>
    <row r="18" spans="1:6" ht="15" x14ac:dyDescent="0.2">
      <c r="A18" s="237" t="s">
        <v>1555</v>
      </c>
      <c r="B18" s="250">
        <v>0</v>
      </c>
      <c r="F18" s="246" t="s">
        <v>1592</v>
      </c>
    </row>
    <row r="19" spans="1:6" ht="18" x14ac:dyDescent="0.25">
      <c r="A19" s="239" t="s">
        <v>725</v>
      </c>
      <c r="B19" s="241">
        <f>SUM(B17:B18)</f>
        <v>429676.80000000005</v>
      </c>
    </row>
    <row r="21" spans="1:6" ht="18.75" thickBot="1" x14ac:dyDescent="0.3">
      <c r="A21" s="239" t="s">
        <v>1556</v>
      </c>
    </row>
    <row r="22" spans="1:6" ht="18.75" thickTop="1" x14ac:dyDescent="0.25">
      <c r="A22" s="239" t="s">
        <v>1557</v>
      </c>
      <c r="B22" s="245">
        <f>B14-B19</f>
        <v>-49273.790000000037</v>
      </c>
      <c r="F22" s="237" t="s">
        <v>1569</v>
      </c>
    </row>
    <row r="26" spans="1:6" ht="18" x14ac:dyDescent="0.25">
      <c r="A26" s="239" t="s">
        <v>186</v>
      </c>
    </row>
    <row r="27" spans="1:6" ht="15" x14ac:dyDescent="0.2">
      <c r="A27" s="237" t="s">
        <v>1558</v>
      </c>
      <c r="B27" s="240">
        <f>'DOE25'!G180</f>
        <v>7147.65</v>
      </c>
      <c r="F27" s="237" t="s">
        <v>1570</v>
      </c>
    </row>
    <row r="28" spans="1:6" ht="15" x14ac:dyDescent="0.2">
      <c r="A28" s="237" t="s">
        <v>1560</v>
      </c>
      <c r="B28" s="240">
        <f>'DOE25'!L362</f>
        <v>0</v>
      </c>
      <c r="F28" s="237" t="s">
        <v>1571</v>
      </c>
    </row>
    <row r="31" spans="1:6" ht="15" x14ac:dyDescent="0.2">
      <c r="A31" s="237" t="s">
        <v>1789</v>
      </c>
      <c r="B31" s="240">
        <f>'DOE25'!G466</f>
        <v>106874.31</v>
      </c>
      <c r="F31" s="237" t="s">
        <v>1572</v>
      </c>
    </row>
    <row r="33" spans="1:6" ht="15" x14ac:dyDescent="0.2">
      <c r="A33" s="237" t="s">
        <v>1790</v>
      </c>
      <c r="B33" s="240">
        <f>'DOE25'!G477</f>
        <v>63170.169999999984</v>
      </c>
      <c r="F33" s="237" t="s">
        <v>1573</v>
      </c>
    </row>
    <row r="36" spans="1:6" ht="15" x14ac:dyDescent="0.2">
      <c r="A36" s="237" t="s">
        <v>1559</v>
      </c>
      <c r="B36" s="251">
        <f>9866.33+14301.32</f>
        <v>24167.65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Littleton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'DOE25'!F198+'DOE25'!F216+'DOE25'!F234+'DOE25'!F277+'DOE25'!F302+'DOE25'!F320</f>
        <v>3284715.05</v>
      </c>
      <c r="C9" s="166">
        <f>'DOE25'!G198+'DOE25'!G216+'DOE25'!G234+'DOE25'!G277+'DOE25'!G296+'DOE25'!G315</f>
        <v>1879489.5800000003</v>
      </c>
    </row>
    <row r="10" spans="1:3" x14ac:dyDescent="0.2">
      <c r="A10" t="s">
        <v>772</v>
      </c>
      <c r="B10" s="176">
        <v>3072542.85</v>
      </c>
      <c r="C10" s="176">
        <f>1868009.74-8095.71</f>
        <v>1859914.03</v>
      </c>
    </row>
    <row r="11" spans="1:3" x14ac:dyDescent="0.2">
      <c r="A11" t="s">
        <v>773</v>
      </c>
      <c r="B11" s="176">
        <f>57335.26+2500</f>
        <v>59835.26</v>
      </c>
      <c r="C11" s="176">
        <f>4577.4+8095.71</f>
        <v>12673.11</v>
      </c>
    </row>
    <row r="12" spans="1:3" x14ac:dyDescent="0.2">
      <c r="A12" t="s">
        <v>774</v>
      </c>
      <c r="B12" s="176">
        <v>152336.94</v>
      </c>
      <c r="C12" s="176">
        <v>6902.44</v>
      </c>
    </row>
    <row r="13" spans="1:3" x14ac:dyDescent="0.2">
      <c r="A13" t="str">
        <f>IF(B9=B13,IF(C9=C13,"Check Total OK","Check Total Error"),"Check Total Error")</f>
        <v>Check Total OK</v>
      </c>
      <c r="B13" s="168">
        <f>SUM(B10:B12)</f>
        <v>3284715.05</v>
      </c>
      <c r="C13" s="168">
        <f>SUM(C10:C12)</f>
        <v>1879489.58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2054215.2500000002</v>
      </c>
      <c r="C18" s="166">
        <f>'DOE25'!G199+'DOE25'!G217+'DOE25'!G235+'DOE25'!G278+'DOE25'!G297+'DOE25'!G316</f>
        <v>630242.30000000005</v>
      </c>
    </row>
    <row r="19" spans="1:3" x14ac:dyDescent="0.2">
      <c r="A19" t="s">
        <v>772</v>
      </c>
      <c r="B19" s="176">
        <v>1272982.03</v>
      </c>
      <c r="C19" s="176">
        <f>574072.23-90208.47</f>
        <v>483863.76</v>
      </c>
    </row>
    <row r="20" spans="1:3" x14ac:dyDescent="0.2">
      <c r="A20" t="s">
        <v>773</v>
      </c>
      <c r="B20" s="176">
        <v>703565.78</v>
      </c>
      <c r="C20" s="176">
        <f>51004.79+90208.47</f>
        <v>141213.26</v>
      </c>
    </row>
    <row r="21" spans="1:3" x14ac:dyDescent="0.2">
      <c r="A21" t="s">
        <v>774</v>
      </c>
      <c r="B21" s="176">
        <v>77667.44</v>
      </c>
      <c r="C21" s="176">
        <v>5165.28</v>
      </c>
    </row>
    <row r="22" spans="1:3" x14ac:dyDescent="0.2">
      <c r="A22" t="str">
        <f>IF(B18=B22,IF(C18=C22,"Check Total OK","Check Total Error"),"Check Total Error")</f>
        <v>Check Total OK</v>
      </c>
      <c r="B22" s="168">
        <f>SUM(B19:B21)</f>
        <v>2054215.25</v>
      </c>
      <c r="C22" s="168">
        <f>SUM(C19:C21)</f>
        <v>630242.30000000005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605416.4</v>
      </c>
      <c r="C27" s="171">
        <f>'DOE25'!G200+'DOE25'!G218+'DOE25'!G236+'DOE25'!G279+'DOE25'!G298+'DOE25'!G317</f>
        <v>304628.3</v>
      </c>
    </row>
    <row r="28" spans="1:3" x14ac:dyDescent="0.2">
      <c r="A28" t="s">
        <v>772</v>
      </c>
      <c r="B28" s="176">
        <v>472701.52</v>
      </c>
      <c r="C28" s="176">
        <v>276519.28999999998</v>
      </c>
    </row>
    <row r="29" spans="1:3" x14ac:dyDescent="0.2">
      <c r="A29" t="s">
        <v>773</v>
      </c>
      <c r="B29" s="176">
        <v>132714.88</v>
      </c>
      <c r="C29" s="176">
        <f>10152.69+17956.32</f>
        <v>28109.010000000002</v>
      </c>
    </row>
    <row r="30" spans="1:3" x14ac:dyDescent="0.2">
      <c r="A30" t="s">
        <v>774</v>
      </c>
      <c r="B30" s="176"/>
      <c r="C30" s="176"/>
    </row>
    <row r="31" spans="1:3" x14ac:dyDescent="0.2">
      <c r="A31" t="str">
        <f>IF(B27=B31,IF(C27=C31,"Check Total OK","Check Total Error"),"Check Total Error")</f>
        <v>Check Total OK</v>
      </c>
      <c r="B31" s="168">
        <f>SUM(B28:B30)</f>
        <v>605416.4</v>
      </c>
      <c r="C31" s="168">
        <f>SUM(C28:C30)</f>
        <v>304628.3</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126661</v>
      </c>
      <c r="C36" s="172">
        <f>'DOE25'!G201+'DOE25'!G219+'DOE25'!G237+'DOE25'!G280+'DOE25'!G299+'DOE25'!G318</f>
        <v>22460.93</v>
      </c>
    </row>
    <row r="37" spans="1:3" x14ac:dyDescent="0.2">
      <c r="A37" t="s">
        <v>772</v>
      </c>
      <c r="B37" s="176">
        <v>26900.5</v>
      </c>
      <c r="C37" s="176">
        <v>10473.81</v>
      </c>
    </row>
    <row r="38" spans="1:3" x14ac:dyDescent="0.2">
      <c r="A38" t="s">
        <v>773</v>
      </c>
      <c r="B38" s="176">
        <v>32191</v>
      </c>
      <c r="C38" s="176">
        <v>6818.05</v>
      </c>
    </row>
    <row r="39" spans="1:3" x14ac:dyDescent="0.2">
      <c r="A39" t="s">
        <v>774</v>
      </c>
      <c r="B39" s="176">
        <v>67569.5</v>
      </c>
      <c r="C39" s="176">
        <v>5169.07</v>
      </c>
    </row>
    <row r="40" spans="1:3" x14ac:dyDescent="0.2">
      <c r="A40" t="str">
        <f>IF(B36=B40,IF(C36=C40,"Check Total OK","Check Total Error"),"Check Total Error")</f>
        <v>Check Total OK</v>
      </c>
      <c r="B40" s="168">
        <f>SUM(B37:B39)</f>
        <v>126661</v>
      </c>
      <c r="C40" s="168">
        <f>SUM(C37:C39)</f>
        <v>22460.93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Littleton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9011679.6699999999</v>
      </c>
      <c r="D5" s="19">
        <f>SUM('DOE25'!L198:L201)+SUM('DOE25'!L216:L219)+SUM('DOE25'!L234:L237)-F5-G5-H5</f>
        <v>8570711.75</v>
      </c>
      <c r="E5" s="179"/>
      <c r="F5" s="180">
        <v>350521.66</v>
      </c>
      <c r="G5" s="19">
        <f>SUM('DOE25'!J198:J201)+SUM('DOE25'!J216:J219)+SUM('DOE25'!J234:J237)</f>
        <v>67550.5</v>
      </c>
      <c r="H5" s="19">
        <f>SUM('DOE25'!K198:K201)+SUM('DOE25'!K216:K219)+SUM('DOE25'!K234:K237)</f>
        <v>22895.760000000002</v>
      </c>
      <c r="I5" s="191"/>
    </row>
    <row r="6" spans="1:9" x14ac:dyDescent="0.2">
      <c r="A6" s="31">
        <v>2100</v>
      </c>
      <c r="B6" t="s">
        <v>793</v>
      </c>
      <c r="C6" s="205">
        <f t="shared" si="0"/>
        <v>1586097.15</v>
      </c>
      <c r="D6" s="19">
        <f>'DOE25'!L203+'DOE25'!L221+'DOE25'!L239-F6-G6-H6</f>
        <v>1576368.66</v>
      </c>
      <c r="E6" s="179"/>
      <c r="F6" s="180"/>
      <c r="G6" s="19">
        <f>'DOE25'!J203+'DOE25'!J221+'DOE25'!J239</f>
        <v>4253.29</v>
      </c>
      <c r="H6" s="19">
        <f>'DOE25'!K203+'DOE25'!K221+'DOE25'!K239</f>
        <v>5475.2000000000007</v>
      </c>
      <c r="I6" s="191"/>
    </row>
    <row r="7" spans="1:9" x14ac:dyDescent="0.2">
      <c r="A7" s="31">
        <v>2200</v>
      </c>
      <c r="B7" t="s">
        <v>817</v>
      </c>
      <c r="C7" s="205">
        <f t="shared" si="0"/>
        <v>385585.92000000004</v>
      </c>
      <c r="D7" s="19">
        <f>'DOE25'!L204+'DOE25'!L222+'DOE25'!L240-F7-G7-H7</f>
        <v>275205.22000000003</v>
      </c>
      <c r="E7" s="179"/>
      <c r="F7" s="180">
        <v>83850</v>
      </c>
      <c r="G7" s="19">
        <f>'DOE25'!J204+'DOE25'!J222+'DOE25'!J240</f>
        <v>11770.15</v>
      </c>
      <c r="H7" s="19">
        <f>'DOE25'!K204+'DOE25'!K222+'DOE25'!K240</f>
        <v>14760.55</v>
      </c>
      <c r="I7" s="191"/>
    </row>
    <row r="8" spans="1:9" x14ac:dyDescent="0.2">
      <c r="A8" s="31">
        <v>2300</v>
      </c>
      <c r="B8" t="s">
        <v>794</v>
      </c>
      <c r="C8" s="205">
        <f t="shared" si="0"/>
        <v>306991.01999999996</v>
      </c>
      <c r="D8" s="179"/>
      <c r="E8" s="19">
        <f>'DOE25'!L205+'DOE25'!L223+'DOE25'!L241-F8-G8-H8-D9-D11</f>
        <v>274131.79999999993</v>
      </c>
      <c r="F8" s="180"/>
      <c r="G8" s="19">
        <f>'DOE25'!J205+'DOE25'!J223+'DOE25'!J241</f>
        <v>1283.01</v>
      </c>
      <c r="H8" s="19">
        <f>'DOE25'!K205+'DOE25'!K223+'DOE25'!K241</f>
        <v>31576.21</v>
      </c>
      <c r="I8" s="191"/>
    </row>
    <row r="9" spans="1:9" ht="14.25" x14ac:dyDescent="0.2">
      <c r="A9" s="31">
        <v>2310</v>
      </c>
      <c r="B9" s="71" t="s">
        <v>884</v>
      </c>
      <c r="C9" s="205">
        <f t="shared" si="0"/>
        <v>196583.7</v>
      </c>
      <c r="D9" s="180">
        <v>196583.7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1122332.3</v>
      </c>
      <c r="D12" s="19">
        <f>'DOE25'!L206+'DOE25'!L224+'DOE25'!L242-F12-G12-H12</f>
        <v>1093687.6099999999</v>
      </c>
      <c r="E12" s="179"/>
      <c r="F12" s="180"/>
      <c r="G12" s="19">
        <f>'DOE25'!J206+'DOE25'!J224+'DOE25'!J242</f>
        <v>5189.34</v>
      </c>
      <c r="H12" s="19">
        <f>'DOE25'!K206+'DOE25'!K224+'DOE25'!K242</f>
        <v>23455.35</v>
      </c>
      <c r="I12" s="191"/>
    </row>
    <row r="13" spans="1:9" x14ac:dyDescent="0.2">
      <c r="A13" s="31">
        <v>2500</v>
      </c>
      <c r="B13" t="s">
        <v>795</v>
      </c>
      <c r="C13" s="205">
        <f t="shared" si="0"/>
        <v>737093.98</v>
      </c>
      <c r="D13" s="179"/>
      <c r="E13" s="19">
        <f>'DOE25'!L207+'DOE25'!L225+'DOE25'!L243-F13-G13-H13</f>
        <v>720715.74</v>
      </c>
      <c r="F13" s="180">
        <v>735.86</v>
      </c>
      <c r="G13" s="19">
        <f>'DOE25'!J207+'DOE25'!J225+'DOE25'!J243</f>
        <v>12317.5</v>
      </c>
      <c r="H13" s="19">
        <f>'DOE25'!K207+'DOE25'!K225+'DOE25'!K243</f>
        <v>3324.88</v>
      </c>
      <c r="I13" s="191"/>
    </row>
    <row r="14" spans="1:9" x14ac:dyDescent="0.2">
      <c r="A14" s="31">
        <v>2600</v>
      </c>
      <c r="B14" t="s">
        <v>815</v>
      </c>
      <c r="C14" s="205">
        <f t="shared" si="0"/>
        <v>1679129.6800000004</v>
      </c>
      <c r="D14" s="19">
        <f>'DOE25'!L208+'DOE25'!L226+'DOE25'!L244-F14-G14-H14</f>
        <v>1076653.9100000004</v>
      </c>
      <c r="E14" s="179"/>
      <c r="F14" s="180">
        <v>580689.11</v>
      </c>
      <c r="G14" s="19">
        <f>'DOE25'!J208+'DOE25'!J226+'DOE25'!J244</f>
        <v>18912.39</v>
      </c>
      <c r="H14" s="19">
        <f>'DOE25'!K208+'DOE25'!K226+'DOE25'!K244</f>
        <v>2874.27</v>
      </c>
      <c r="I14" s="191"/>
    </row>
    <row r="15" spans="1:9" x14ac:dyDescent="0.2">
      <c r="A15" s="31">
        <v>2700</v>
      </c>
      <c r="B15" t="s">
        <v>796</v>
      </c>
      <c r="C15" s="205">
        <f t="shared" si="0"/>
        <v>360653.43000000005</v>
      </c>
      <c r="D15" s="19">
        <f>'DOE25'!L209+'DOE25'!L227+'DOE25'!L245-F15-G15-H15</f>
        <v>126324.91000000006</v>
      </c>
      <c r="E15" s="179"/>
      <c r="F15" s="180">
        <v>234328.52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85025.260000000009</v>
      </c>
      <c r="D17" s="19">
        <f>'DOE25'!L252-F17-G17-H17</f>
        <v>85025.260000000009</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554098.68999999994</v>
      </c>
      <c r="D22" s="179"/>
      <c r="E22" s="179"/>
      <c r="F22" s="179"/>
      <c r="G22" s="19">
        <f>'DOE25'!L256+'DOE25'!L337</f>
        <v>554098.68999999994</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309049</v>
      </c>
      <c r="D25" s="179"/>
      <c r="E25" s="179"/>
      <c r="F25" s="190"/>
      <c r="G25" s="179"/>
      <c r="H25" s="179"/>
      <c r="I25" s="189">
        <f>'DOE25'!L261+'DOE25'!L262+'DOE25'!L342+'DOE25'!L343</f>
        <v>309049</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301472.87000000011</v>
      </c>
      <c r="D29" s="211">
        <f>'DOE25'!L359+'DOE25'!L360+'DOE25'!L361-'DOE25'!I368-F29-G29-H29-F39</f>
        <v>224904.22000000009</v>
      </c>
      <c r="E29" s="179"/>
      <c r="F29" s="179"/>
      <c r="G29" s="19">
        <f>'DOE25'!J359+'DOE25'!J360+'DOE25'!J361</f>
        <v>76568.649999999994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3614035.38</v>
      </c>
      <c r="D31" s="19">
        <f>'DOE25'!L291+'DOE25'!L310+'DOE25'!L329+'DOE25'!L334+'DOE25'!L335+'DOE25'!L336-F31-G31-H31</f>
        <v>65359.990000000165</v>
      </c>
      <c r="E31" s="179"/>
      <c r="F31" s="180">
        <v>1696035.96</v>
      </c>
      <c r="G31" s="19">
        <f>'DOE25'!J291+'DOE25'!J310+'DOE25'!J329+'DOE25'!J334+'DOE25'!J335+'DOE25'!J336</f>
        <v>1716327.9799999997</v>
      </c>
      <c r="H31" s="19">
        <f>'DOE25'!K291+'DOE25'!K310+'DOE25'!K329+'DOE25'!K334+'DOE25'!K335+'DOE25'!K336</f>
        <v>136311.45000000001</v>
      </c>
      <c r="I31" s="191"/>
    </row>
    <row r="32" spans="1:9" ht="12" thickBot="1" x14ac:dyDescent="0.25">
      <c r="C32" s="206"/>
      <c r="G32" s="187"/>
      <c r="H32" s="187"/>
      <c r="I32" s="193"/>
    </row>
    <row r="33" spans="1:9" ht="12" thickTop="1" x14ac:dyDescent="0.2">
      <c r="B33" t="s">
        <v>806</v>
      </c>
      <c r="D33" s="181">
        <f t="shared" ref="D33:I33" si="1">SUM(D5:D31)</f>
        <v>13290825.23</v>
      </c>
      <c r="E33" s="181">
        <f t="shared" si="1"/>
        <v>994847.53999999992</v>
      </c>
      <c r="F33" s="181">
        <f t="shared" si="1"/>
        <v>2946161.11</v>
      </c>
      <c r="G33" s="181">
        <f t="shared" si="1"/>
        <v>2468271.4999999995</v>
      </c>
      <c r="H33" s="181">
        <f t="shared" si="1"/>
        <v>240673.67000000004</v>
      </c>
      <c r="I33" s="181">
        <f t="shared" si="1"/>
        <v>309049</v>
      </c>
    </row>
    <row r="34" spans="1:9" ht="12" thickBot="1" x14ac:dyDescent="0.25"/>
    <row r="35" spans="1:9" ht="12" thickBot="1" x14ac:dyDescent="0.25">
      <c r="B35" s="187" t="s">
        <v>827</v>
      </c>
      <c r="D35" s="188">
        <f>E33</f>
        <v>994847.53999999992</v>
      </c>
      <c r="E35" s="184"/>
      <c r="F35" s="294" t="s">
        <v>1596</v>
      </c>
      <c r="G35" s="295"/>
      <c r="H35" s="295"/>
      <c r="I35" s="296"/>
    </row>
    <row r="36" spans="1:9" ht="12" thickTop="1" x14ac:dyDescent="0.2">
      <c r="B36" t="s">
        <v>807</v>
      </c>
      <c r="D36" s="19">
        <f>D33</f>
        <v>13290825.23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121803.51</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110" zoomScaleNormal="110" workbookViewId="0">
      <selection activeCell="Q41" sqref="Q4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Littleton</v>
      </c>
      <c r="B2">
        <f>'DOE25'!B2</f>
        <v>317</v>
      </c>
      <c r="J2" s="223" t="s">
        <v>1799</v>
      </c>
      <c r="K2" s="308">
        <f>SUM('DOE25'!L198:L201)+SUM('DOE25'!L277:L280)</f>
        <v>5346794.45</v>
      </c>
      <c r="L2" s="308">
        <f>'DOE25'!L203+'DOE25'!L282</f>
        <v>874352.31999999983</v>
      </c>
      <c r="M2" s="308">
        <f>'DOE25'!L204+'DOE25'!L283</f>
        <v>672557.8</v>
      </c>
      <c r="N2" s="308">
        <f>'DOE25'!L206+'DOE25'!L285</f>
        <v>547696.23</v>
      </c>
      <c r="O2" s="316">
        <f>'Salaries-Benefits'!B10+'Salaries-Benefits'!B12+'Salaries-Benefits'!B19+'Salaries-Benefits'!B21+'Salaries-Benefits'!B28+'Salaries-Benefits'!B30+'Salaries-Benefits'!B37+'Salaries-Benefits'!B39</f>
        <v>5142700.7800000012</v>
      </c>
      <c r="P2" s="316">
        <f>'Salaries-Benefits'!B11+'Salaries-Benefits'!B20+'Salaries-Benefits'!B29+'Salaries-Benefits'!B38</f>
        <v>928306.92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9790160.3800000008</v>
      </c>
      <c r="G4" s="228">
        <f>'DOE25'!L212+'DOE25'!L291</f>
        <v>9790160.3800000008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3627+104323+46022</f>
        <v>153972</v>
      </c>
      <c r="E5" s="219"/>
      <c r="F5" s="231">
        <f>D5+E5</f>
        <v>153972</v>
      </c>
      <c r="G5" s="222"/>
      <c r="H5" s="222"/>
      <c r="J5" s="71" t="s">
        <v>1840</v>
      </c>
      <c r="K5" s="20">
        <f>3627+104323</f>
        <v>107950</v>
      </c>
      <c r="L5" s="20"/>
      <c r="M5" s="20"/>
      <c r="N5" s="20"/>
      <c r="O5" s="20"/>
      <c r="P5" s="20"/>
      <c r="Q5" s="20"/>
    </row>
    <row r="6" spans="1:22" x14ac:dyDescent="0.2">
      <c r="A6" t="str" cm="1">
        <f t="array" ref="A6">IFERROR(INDEX('School Tables'!$A$4:$G$365,'School Tables'!$J4,3),"")</f>
        <v>Mildred C. Lakeway School</v>
      </c>
      <c r="B6" s="229">
        <f>IFERROR(VLOOKUP(A6,'School Tables'!$C$3:$D$365,2,FALSE),"")</f>
        <v>21450</v>
      </c>
      <c r="C6" s="222" t="str">
        <f>IFERROR(INDEX('School Tables'!$B$3:$B$365,MATCH('School Level Expenditures'!B6,'School Tables'!$D$3:$D$365,0)),"")</f>
        <v>Littleton</v>
      </c>
      <c r="D6" s="219">
        <v>7576392.4400000004</v>
      </c>
      <c r="E6" s="219">
        <v>2059795.94</v>
      </c>
      <c r="F6" s="231">
        <f t="shared" ref="F6:F20" si="2">D6+E6</f>
        <v>9636188.3800000008</v>
      </c>
      <c r="G6" s="222"/>
      <c r="H6" s="222"/>
      <c r="J6" t="str">
        <f t="shared" ref="J6:J20" si="3">A6</f>
        <v>Mildred C. Lakeway School</v>
      </c>
      <c r="K6" s="20">
        <v>5238844.45</v>
      </c>
      <c r="L6" s="20">
        <v>874352.32</v>
      </c>
      <c r="M6" s="307">
        <v>672557.8</v>
      </c>
      <c r="N6" s="20">
        <v>547696.23</v>
      </c>
      <c r="O6" s="20">
        <f>2043044.3+628146.97</f>
        <v>2671191.27</v>
      </c>
      <c r="P6" s="20">
        <v>561838.69999999995</v>
      </c>
      <c r="Q6" s="20">
        <f>2170.36+605.93</f>
        <v>2776.29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t="s">
        <v>1841</v>
      </c>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7730364.4400000004</v>
      </c>
      <c r="E21" s="261">
        <f>SUM(E5:E20)</f>
        <v>2059795.94</v>
      </c>
      <c r="F21" s="216"/>
      <c r="G21" s="216"/>
      <c r="H21" s="216"/>
      <c r="K21" s="262">
        <f t="shared" ref="K21:Q21" si="4">SUM(K5:K20)</f>
        <v>5346794.45</v>
      </c>
      <c r="L21" s="262">
        <f t="shared" si="4"/>
        <v>874352.32</v>
      </c>
      <c r="M21" s="262">
        <f t="shared" si="4"/>
        <v>672557.8</v>
      </c>
      <c r="N21" s="262">
        <f t="shared" si="4"/>
        <v>547696.23</v>
      </c>
      <c r="O21" s="262">
        <f t="shared" si="4"/>
        <v>2671191.27</v>
      </c>
      <c r="P21" s="262">
        <f t="shared" si="4"/>
        <v>561838.69999999995</v>
      </c>
      <c r="Q21" s="262">
        <f t="shared" si="4"/>
        <v>2776.29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1117543.54</v>
      </c>
      <c r="L23" s="19">
        <f>'DOE25'!L221+'DOE25'!L301</f>
        <v>287782.49999999994</v>
      </c>
      <c r="M23" s="19">
        <f>'DOE25'!L222+'DOE25'!L302</f>
        <v>71991.159999999989</v>
      </c>
      <c r="N23" s="19">
        <f>'DOE25'!L224+'DOE25'!L304</f>
        <v>198960.41000000003</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2473951.34</v>
      </c>
      <c r="G25" s="228">
        <f>'DOE25'!L230+'DOE25'!L310</f>
        <v>2473951.34</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13636</v>
      </c>
      <c r="E26" s="219"/>
      <c r="F26" s="231">
        <f>D26+E26</f>
        <v>13636</v>
      </c>
      <c r="G26" s="222"/>
      <c r="H26" s="222"/>
      <c r="J26" s="71" t="s">
        <v>1840</v>
      </c>
      <c r="K26" s="315">
        <v>0</v>
      </c>
      <c r="L26" s="315"/>
      <c r="M26" s="315"/>
      <c r="N26" s="315"/>
      <c r="O26" s="315"/>
      <c r="P26" s="315"/>
      <c r="Q26" s="315"/>
    </row>
    <row r="27" spans="1:17" x14ac:dyDescent="0.2">
      <c r="A27" t="str" cm="1">
        <f t="array" ref="A27">IFERROR(INDEX('School Tables'!$L$4:$R$100,'School Tables'!$U4,3),"")</f>
        <v>Daisy Bronson Junior High School</v>
      </c>
      <c r="B27" s="229">
        <f>IFERROR(VLOOKUP(A27,'School Tables'!$N$4:$O$100,2,FALSE),"")</f>
        <v>21440</v>
      </c>
      <c r="C27" s="222" t="str">
        <f>IFERROR(INDEX('School Tables'!$M$4:$M$100,MATCH('School Level Expenditures'!A27,'School Tables'!$N$4:$N$100,0)),"")</f>
        <v>Littleton</v>
      </c>
      <c r="D27" s="219">
        <v>1850005.43</v>
      </c>
      <c r="E27" s="219">
        <v>610309.91</v>
      </c>
      <c r="F27" s="231">
        <f t="shared" ref="F27:F33" si="6">D27+E27</f>
        <v>2460315.34</v>
      </c>
      <c r="G27" s="222"/>
      <c r="H27" s="222"/>
      <c r="J27" t="str">
        <f t="shared" ref="J27:J33" si="7">A27</f>
        <v>Daisy Bronson Junior High School</v>
      </c>
      <c r="K27" s="20">
        <v>1117543.54</v>
      </c>
      <c r="L27" s="20">
        <v>287782.5</v>
      </c>
      <c r="M27" s="307">
        <v>71991.16</v>
      </c>
      <c r="N27" s="20">
        <v>198960.41</v>
      </c>
      <c r="O27" s="20">
        <f>629110.9+20969.57</f>
        <v>650080.47</v>
      </c>
      <c r="P27" s="20">
        <f>75095.55+2355.98</f>
        <v>77451.53</v>
      </c>
      <c r="Q27" s="20">
        <f>4141.03</f>
        <v>4141.03</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1863641.43</v>
      </c>
      <c r="E34" s="261">
        <f>SUM(E26:E33)</f>
        <v>610309.91</v>
      </c>
      <c r="F34" s="216"/>
      <c r="G34" s="216"/>
      <c r="H34" s="216"/>
      <c r="K34" s="262">
        <f t="shared" ref="K34:Q34" si="8">SUM(K26:K33)</f>
        <v>1117543.54</v>
      </c>
      <c r="L34" s="262">
        <f t="shared" si="8"/>
        <v>287782.5</v>
      </c>
      <c r="M34" s="262">
        <f t="shared" si="8"/>
        <v>71991.16</v>
      </c>
      <c r="N34" s="262">
        <f t="shared" si="8"/>
        <v>198960.41</v>
      </c>
      <c r="O34" s="262">
        <f t="shared" si="8"/>
        <v>650080.47</v>
      </c>
      <c r="P34" s="262">
        <f t="shared" si="8"/>
        <v>77451.53</v>
      </c>
      <c r="Q34" s="262">
        <f t="shared" si="8"/>
        <v>4141.03</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3573764.44</v>
      </c>
      <c r="L36" s="19">
        <f>'DOE25'!L239+'DOE25'!L320</f>
        <v>582593.49000000022</v>
      </c>
      <c r="M36" s="19">
        <f>'DOE25'!L240+'DOE25'!L321</f>
        <v>272679.38</v>
      </c>
      <c r="N36" s="19">
        <f>'DOE25'!L242+'DOE25'!L323</f>
        <v>375675.66000000003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6577651.0000000009</v>
      </c>
      <c r="G38" s="228">
        <f>'DOE25'!L248+'DOE25'!L329</f>
        <v>6577651.0000000019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25567.7+11455.6+125822.87+3000+20482.96+26512.52</f>
        <v>212841.64999999997</v>
      </c>
      <c r="E39" s="219"/>
      <c r="F39" s="231">
        <f t="shared" ref="F39:F44" si="10">D39+E39</f>
        <v>212841.64999999997</v>
      </c>
      <c r="G39" s="222"/>
      <c r="H39" s="222"/>
      <c r="J39" s="71" t="s">
        <v>1840</v>
      </c>
      <c r="K39" s="315">
        <f>20482.96+125822.87+11455.6+26512.52+3000</f>
        <v>187273.94999999998</v>
      </c>
      <c r="L39" s="315">
        <v>0</v>
      </c>
      <c r="M39" s="315">
        <v>0</v>
      </c>
      <c r="N39" s="315">
        <v>0</v>
      </c>
      <c r="O39" s="315"/>
      <c r="P39" s="315"/>
      <c r="Q39" s="315"/>
    </row>
    <row r="40" spans="1:17" x14ac:dyDescent="0.2">
      <c r="A40" t="str" cm="1">
        <f t="array" ref="A40">IFERROR(INDEX('School Tables'!$W$4:$AC$120,'School Tables'!$AF4,3),"")</f>
        <v>Littleton High School</v>
      </c>
      <c r="B40" s="229">
        <f>IFERROR(VLOOKUP(A40,'School Tables'!$Y$4:$Z$120,2,FALSE),"")</f>
        <v>21445</v>
      </c>
      <c r="C40" s="222" t="str">
        <f>IFERROR(INDEX('School Tables'!$X$4:$X$120,MATCH('School Level Expenditures'!A40,'School Tables'!$Y$4:$Y$120,0)),"")</f>
        <v>Littleton</v>
      </c>
      <c r="D40" s="219">
        <v>5220478.28</v>
      </c>
      <c r="E40" s="219">
        <v>1144331.07</v>
      </c>
      <c r="F40" s="231">
        <f t="shared" si="10"/>
        <v>6364809.3500000006</v>
      </c>
      <c r="G40" s="222"/>
      <c r="H40" s="222"/>
      <c r="J40" t="str">
        <f>A40</f>
        <v>Littleton High School</v>
      </c>
      <c r="K40" s="20">
        <v>3386490.49</v>
      </c>
      <c r="L40" s="20">
        <v>582593.49</v>
      </c>
      <c r="M40" s="307">
        <v>272679.38</v>
      </c>
      <c r="N40" s="20">
        <v>375675.66</v>
      </c>
      <c r="O40" s="20">
        <f>1561357.85+260071.19</f>
        <v>1821429.04</v>
      </c>
      <c r="P40" s="20">
        <f>279016.69+10000</f>
        <v>289016.69</v>
      </c>
      <c r="Q40" s="20">
        <f>10003.18+802.35</f>
        <v>10805.53</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5433319.9300000006</v>
      </c>
      <c r="E45" s="262">
        <f>SUM(E39:E44)</f>
        <v>1144331.07</v>
      </c>
      <c r="K45" s="262">
        <f t="shared" ref="K45:Q45" si="11">SUM(K39:K44)</f>
        <v>3573764.4400000004</v>
      </c>
      <c r="L45" s="262">
        <f t="shared" si="11"/>
        <v>582593.49</v>
      </c>
      <c r="M45" s="262">
        <f t="shared" si="11"/>
        <v>272679.38</v>
      </c>
      <c r="N45" s="262">
        <f t="shared" si="11"/>
        <v>375675.66</v>
      </c>
      <c r="O45" s="262">
        <f t="shared" si="11"/>
        <v>1821429.04</v>
      </c>
      <c r="P45" s="262">
        <f t="shared" si="11"/>
        <v>289016.69</v>
      </c>
      <c r="Q45" s="262">
        <f t="shared" si="11"/>
        <v>10805.53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3" sqref="C1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Littleton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1599211.02</v>
      </c>
      <c r="D8" s="73">
        <f>'DOE25'!G9</f>
        <v>0</v>
      </c>
      <c r="E8" s="73">
        <f>'DOE25'!H9</f>
        <v>0</v>
      </c>
      <c r="F8" s="73">
        <f>'DOE25'!I9</f>
        <v>0</v>
      </c>
      <c r="G8" s="73">
        <f>'DOE25'!J9</f>
        <v>1122954.56</v>
      </c>
      <c r="H8" s="13">
        <f>SUM(C8:G8)</f>
        <v>2722165.58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t="e">
        <f>'DOE25'!#REF!</f>
        <v>#REF!</v>
      </c>
      <c r="D11" s="73" t="e">
        <f>'DOE25'!#REF!</f>
        <v>#REF!</v>
      </c>
      <c r="E11" s="73" t="e">
        <f>'DOE25'!#REF!</f>
        <v>#REF!</v>
      </c>
      <c r="F11" s="73">
        <f>'DOE25'!I12</f>
        <v>0</v>
      </c>
      <c r="G11" s="73">
        <f>'DOE25'!J12</f>
        <v>0</v>
      </c>
      <c r="H11" s="13" t="e">
        <f t="shared" si="0"/>
        <v>#REF!</v>
      </c>
      <c r="I11" s="90"/>
    </row>
    <row r="12" spans="1:9" x14ac:dyDescent="0.2">
      <c r="A12" s="1" t="s">
        <v>143</v>
      </c>
      <c r="B12" s="6">
        <v>140</v>
      </c>
      <c r="C12" s="73">
        <f>'DOE25'!F13</f>
        <v>69389.63</v>
      </c>
      <c r="D12" s="73">
        <f>'DOE25'!G13</f>
        <v>37924.720000000001</v>
      </c>
      <c r="E12" s="73">
        <f>'DOE25'!H13</f>
        <v>-34838.929999999993</v>
      </c>
      <c r="F12" s="73">
        <f>'DOE25'!I13</f>
        <v>0</v>
      </c>
      <c r="G12" s="73">
        <f>'DOE25'!J13</f>
        <v>0</v>
      </c>
      <c r="H12" s="13">
        <f t="shared" si="0"/>
        <v>72475.420000000013</v>
      </c>
      <c r="I12" s="90"/>
    </row>
    <row r="13" spans="1:9" x14ac:dyDescent="0.2">
      <c r="A13" s="1" t="s">
        <v>144</v>
      </c>
      <c r="B13" s="6">
        <v>150</v>
      </c>
      <c r="C13" s="73">
        <f>'DOE25'!F12</f>
        <v>-3085.79</v>
      </c>
      <c r="D13" s="73">
        <f>'DOE25'!G12</f>
        <v>33871.760000000002</v>
      </c>
      <c r="E13" s="73">
        <f>'DOE25'!H12</f>
        <v>171581.58</v>
      </c>
      <c r="F13" s="73">
        <f>'DOE25'!I14</f>
        <v>0</v>
      </c>
      <c r="G13" s="73">
        <f>'DOE25'!J14</f>
        <v>0</v>
      </c>
      <c r="H13" s="13">
        <f t="shared" si="0"/>
        <v>202367.55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t="e">
        <f>SUM(C8:C17)</f>
        <v>#REF!</v>
      </c>
      <c r="D18" s="38" t="e">
        <f>SUM(D8:D17)</f>
        <v>#REF!</v>
      </c>
      <c r="E18" s="38" t="e">
        <f>SUM(E8:E17)</f>
        <v>#REF!</v>
      </c>
      <c r="F18" s="38">
        <f>SUM(F8:F17)</f>
        <v>0</v>
      </c>
      <c r="G18" s="38">
        <f>SUM(G8:G17)</f>
        <v>1122954.56</v>
      </c>
      <c r="H18" s="38" t="e">
        <f t="shared" si="0"/>
        <v>#REF!</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301929.12</v>
      </c>
      <c r="D23" s="73">
        <f>'DOE25'!G24</f>
        <v>0</v>
      </c>
      <c r="E23" s="73">
        <f>'DOE25'!H24</f>
        <v>0</v>
      </c>
      <c r="F23" s="73">
        <f>'DOE25'!I24</f>
        <v>0</v>
      </c>
      <c r="G23" s="73">
        <f>'DOE25'!J24</f>
        <v>0</v>
      </c>
      <c r="H23" s="13">
        <f t="shared" si="1"/>
        <v>301929.12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8626.31</v>
      </c>
      <c r="E29" s="73">
        <f>'DOE25'!H30</f>
        <v>136742.65</v>
      </c>
      <c r="F29" s="73">
        <f>'DOE25'!I30</f>
        <v>0</v>
      </c>
      <c r="G29" s="23" t="s">
        <v>288</v>
      </c>
      <c r="H29" s="13">
        <f t="shared" si="1"/>
        <v>145368.95999999999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301929.12</v>
      </c>
      <c r="D31" s="38">
        <f>SUM(D21:D30)</f>
        <v>8626.31</v>
      </c>
      <c r="E31" s="38">
        <f>SUM(E21:E30)</f>
        <v>136742.65</v>
      </c>
      <c r="F31" s="38">
        <f>SUM(F21:F30)</f>
        <v>0</v>
      </c>
      <c r="G31" s="38">
        <f>SUM(G21:G30)</f>
        <v>0</v>
      </c>
      <c r="H31" s="38">
        <f t="shared" si="1"/>
        <v>447298.07999999996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63170.17</v>
      </c>
      <c r="E39" s="23" t="s">
        <v>288</v>
      </c>
      <c r="F39" s="23" t="s">
        <v>288</v>
      </c>
      <c r="G39" s="23" t="s">
        <v>288</v>
      </c>
      <c r="H39" s="13">
        <f t="shared" si="2"/>
        <v>63170.17</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1122954.56</v>
      </c>
      <c r="H42" s="13">
        <f t="shared" si="2"/>
        <v>1122954.56</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530557.55000000005</v>
      </c>
      <c r="D45" s="23" t="s">
        <v>288</v>
      </c>
      <c r="E45" s="23" t="s">
        <v>288</v>
      </c>
      <c r="F45" s="23" t="s">
        <v>288</v>
      </c>
      <c r="G45" s="23" t="s">
        <v>288</v>
      </c>
      <c r="H45" s="13">
        <f t="shared" si="2"/>
        <v>530557.55000000005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783028.19</v>
      </c>
      <c r="D49" s="23" t="s">
        <v>288</v>
      </c>
      <c r="E49" s="23" t="s">
        <v>288</v>
      </c>
      <c r="F49" s="23" t="s">
        <v>288</v>
      </c>
      <c r="G49" s="23" t="s">
        <v>288</v>
      </c>
      <c r="H49" s="13">
        <f t="shared" si="2"/>
        <v>783028.19</v>
      </c>
      <c r="I49" s="90"/>
    </row>
    <row r="50" spans="1:9" ht="12.75" thickTop="1" thickBot="1" x14ac:dyDescent="0.25">
      <c r="A50" s="35" t="s">
        <v>880</v>
      </c>
      <c r="B50" s="44"/>
      <c r="C50" s="38">
        <f>SUM(C34:C49)</f>
        <v>1363585.74</v>
      </c>
      <c r="D50" s="38">
        <f>SUM(D34:D49)</f>
        <v>63170.17</v>
      </c>
      <c r="E50" s="38">
        <f>SUM(E34:E49)</f>
        <v>0</v>
      </c>
      <c r="F50" s="38">
        <f>SUM(F34:F49)</f>
        <v>0</v>
      </c>
      <c r="G50" s="38">
        <f>SUM(G34:G49)</f>
        <v>1122954.56</v>
      </c>
      <c r="H50" s="38">
        <f t="shared" si="2"/>
        <v>2549710.4699999997</v>
      </c>
      <c r="I50" s="90"/>
    </row>
    <row r="51" spans="1:9" ht="12" thickTop="1" x14ac:dyDescent="0.2">
      <c r="A51" s="35" t="s">
        <v>881</v>
      </c>
      <c r="B51" s="2"/>
      <c r="C51" s="38">
        <f>C50+C31</f>
        <v>1665514.8599999999</v>
      </c>
      <c r="D51" s="38">
        <f>D50+D31</f>
        <v>71796.479999999996</v>
      </c>
      <c r="E51" s="38">
        <f>E50+E31</f>
        <v>136742.65</v>
      </c>
      <c r="F51" s="38">
        <f>F50+F31</f>
        <v>0</v>
      </c>
      <c r="G51" s="38">
        <f>G50+G31</f>
        <v>1122954.56</v>
      </c>
      <c r="H51" s="38">
        <f t="shared" si="2"/>
        <v>2997008.55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9426029</v>
      </c>
      <c r="D56" s="73">
        <f>'DOE25'!G60</f>
        <v>0</v>
      </c>
      <c r="E56" s="73">
        <f>'DOE25'!H60</f>
        <v>0</v>
      </c>
      <c r="F56" s="73">
        <f>'DOE25'!I60</f>
        <v>0</v>
      </c>
      <c r="G56" s="73">
        <f>'DOE25'!J60</f>
        <v>0</v>
      </c>
      <c r="H56" s="13">
        <f t="shared" ref="H56:H63" si="3">SUM(C56:G56)</f>
        <v>9426029</v>
      </c>
      <c r="I56"/>
    </row>
    <row r="57" spans="1:9" x14ac:dyDescent="0.2">
      <c r="A57" s="1" t="s">
        <v>164</v>
      </c>
      <c r="B57" s="6" t="s">
        <v>165</v>
      </c>
      <c r="C57" s="73">
        <f>'DOE25'!F79</f>
        <v>255904.32</v>
      </c>
      <c r="D57" s="23" t="s">
        <v>288</v>
      </c>
      <c r="E57" s="73">
        <f>'DOE25'!H79</f>
        <v>0</v>
      </c>
      <c r="F57" s="23" t="s">
        <v>288</v>
      </c>
      <c r="G57" s="23" t="s">
        <v>288</v>
      </c>
      <c r="H57" s="13">
        <f t="shared" si="3"/>
        <v>255904.32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91589.72</v>
      </c>
      <c r="D59" s="73">
        <f>'DOE25'!G96</f>
        <v>0</v>
      </c>
      <c r="E59" s="73">
        <f>'DOE25'!H96</f>
        <v>0</v>
      </c>
      <c r="F59" s="73">
        <f>'DOE25'!I96</f>
        <v>0</v>
      </c>
      <c r="G59" s="73">
        <f>'DOE25'!J96</f>
        <v>55361.81</v>
      </c>
      <c r="H59" s="13">
        <f t="shared" si="3"/>
        <v>146951.53</v>
      </c>
      <c r="I59"/>
    </row>
    <row r="60" spans="1:9" x14ac:dyDescent="0.2">
      <c r="A60" s="1" t="s">
        <v>170</v>
      </c>
      <c r="B60" s="22" t="s">
        <v>171</v>
      </c>
      <c r="C60" s="23" t="s">
        <v>288</v>
      </c>
      <c r="D60" s="73">
        <f>'DOE25'!G97</f>
        <v>106303.53000000001</v>
      </c>
      <c r="E60" s="23" t="s">
        <v>288</v>
      </c>
      <c r="F60" s="23" t="s">
        <v>288</v>
      </c>
      <c r="G60" s="23" t="s">
        <v>288</v>
      </c>
      <c r="H60" s="13">
        <f t="shared" si="3"/>
        <v>106303.53000000001</v>
      </c>
      <c r="I60"/>
    </row>
    <row r="61" spans="1:9" ht="12" thickBot="1" x14ac:dyDescent="0.25">
      <c r="A61" s="1" t="s">
        <v>172</v>
      </c>
      <c r="B61" s="22" t="s">
        <v>173</v>
      </c>
      <c r="C61" s="73">
        <f>SUM('DOE25'!F98:F110)</f>
        <v>97132.35</v>
      </c>
      <c r="D61" s="73">
        <f>SUM('DOE25'!G98:G110)</f>
        <v>0</v>
      </c>
      <c r="E61" s="73">
        <f>SUM('DOE25'!H98:H110)</f>
        <v>169755.14</v>
      </c>
      <c r="F61" s="73">
        <f>SUM('DOE25'!I98:I110)</f>
        <v>0</v>
      </c>
      <c r="G61" s="73">
        <f>SUM('DOE25'!J98:J110)</f>
        <v>0</v>
      </c>
      <c r="H61" s="13">
        <f t="shared" si="3"/>
        <v>266887.49</v>
      </c>
      <c r="I61"/>
    </row>
    <row r="62" spans="1:9" ht="12.75" thickTop="1" thickBot="1" x14ac:dyDescent="0.25">
      <c r="A62" s="28" t="s">
        <v>174</v>
      </c>
      <c r="B62" s="6"/>
      <c r="C62" s="93">
        <f>SUM(C57:C61)</f>
        <v>444626.39</v>
      </c>
      <c r="D62" s="93">
        <f>SUM(D57:D61)</f>
        <v>106303.53000000001</v>
      </c>
      <c r="E62" s="93">
        <f>SUM(E57:E61)</f>
        <v>169755.14</v>
      </c>
      <c r="F62" s="93">
        <f>SUM(F57:F61)</f>
        <v>0</v>
      </c>
      <c r="G62" s="93">
        <f>SUM(G57:G61)</f>
        <v>55361.81</v>
      </c>
      <c r="H62" s="13">
        <f t="shared" si="3"/>
        <v>776046.87000000011</v>
      </c>
      <c r="I62"/>
    </row>
    <row r="63" spans="1:9" ht="12" thickTop="1" x14ac:dyDescent="0.2">
      <c r="A63" s="28" t="s">
        <v>175</v>
      </c>
      <c r="B63" s="6"/>
      <c r="C63" s="21">
        <f>C56+C62</f>
        <v>9870655.3900000006</v>
      </c>
      <c r="D63" s="21">
        <f>D56+D62</f>
        <v>106303.53000000001</v>
      </c>
      <c r="E63" s="21">
        <f>E56+E62</f>
        <v>169755.14</v>
      </c>
      <c r="F63" s="21">
        <f>F56+F62</f>
        <v>0</v>
      </c>
      <c r="G63" s="21">
        <f>G56+G62</f>
        <v>55361.81</v>
      </c>
      <c r="H63" s="13">
        <f t="shared" si="3"/>
        <v>10202075.870000001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5022474</v>
      </c>
      <c r="D66" s="23" t="s">
        <v>288</v>
      </c>
      <c r="E66" s="23" t="s">
        <v>288</v>
      </c>
      <c r="F66" s="23" t="s">
        <v>288</v>
      </c>
      <c r="G66" s="23" t="s">
        <v>288</v>
      </c>
      <c r="H66" s="13">
        <f t="shared" ref="H66:H81" si="4">SUM(C66:G66)</f>
        <v>5022474</v>
      </c>
      <c r="I66"/>
    </row>
    <row r="67" spans="1:9" x14ac:dyDescent="0.2">
      <c r="A67" s="1" t="s">
        <v>767</v>
      </c>
      <c r="B67" s="6">
        <v>3112</v>
      </c>
      <c r="C67" s="73">
        <f>'DOE25'!F118</f>
        <v>1185122</v>
      </c>
      <c r="D67" s="23"/>
      <c r="E67" s="23"/>
      <c r="F67" s="23"/>
      <c r="G67" s="23"/>
      <c r="H67" s="13">
        <f t="shared" si="4"/>
        <v>1185122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16395.620000000003</v>
      </c>
      <c r="D69" s="73">
        <f>'DOE25'!G120</f>
        <v>0</v>
      </c>
      <c r="E69" s="73">
        <f>'DOE25'!H120</f>
        <v>0</v>
      </c>
      <c r="F69" s="73">
        <f>'DOE25'!I120</f>
        <v>0</v>
      </c>
      <c r="G69" s="73">
        <f>'DOE25'!J120</f>
        <v>0</v>
      </c>
      <c r="H69" s="13">
        <f t="shared" si="4"/>
        <v>16395.620000000003</v>
      </c>
      <c r="I69"/>
    </row>
    <row r="70" spans="1:9" ht="12" thickTop="1" x14ac:dyDescent="0.2">
      <c r="A70" s="28" t="s">
        <v>252</v>
      </c>
      <c r="B70" s="2"/>
      <c r="C70" s="97">
        <f>SUM(C66:C69)</f>
        <v>6223991.6200000001</v>
      </c>
      <c r="D70" s="97">
        <f>D69</f>
        <v>0</v>
      </c>
      <c r="E70" s="97">
        <f>E69</f>
        <v>0</v>
      </c>
      <c r="F70" s="97">
        <f>F69</f>
        <v>0</v>
      </c>
      <c r="G70" s="97">
        <f>G69</f>
        <v>0</v>
      </c>
      <c r="H70" s="13">
        <f t="shared" si="4"/>
        <v>6223991.6200000001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117000</v>
      </c>
      <c r="D72" s="23" t="s">
        <v>288</v>
      </c>
      <c r="E72" s="23" t="s">
        <v>288</v>
      </c>
      <c r="F72" s="73">
        <f>'DOE25'!I123</f>
        <v>0</v>
      </c>
      <c r="G72" s="23" t="s">
        <v>288</v>
      </c>
      <c r="H72" s="13">
        <f t="shared" si="4"/>
        <v>117000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245223.04000000001</v>
      </c>
      <c r="D76" s="23" t="s">
        <v>288</v>
      </c>
      <c r="E76" s="73">
        <f>SUM('DOE25'!H127:H130)</f>
        <v>0</v>
      </c>
      <c r="F76" s="73">
        <f>SUM('DOE25'!I127:I130)</f>
        <v>0</v>
      </c>
      <c r="G76" s="23" t="s">
        <v>288</v>
      </c>
      <c r="H76" s="13">
        <f t="shared" si="4"/>
        <v>245223.04000000001</v>
      </c>
      <c r="I76"/>
    </row>
    <row r="77" spans="1:9" ht="12" thickBot="1" x14ac:dyDescent="0.25">
      <c r="A77" s="1" t="s">
        <v>258</v>
      </c>
      <c r="B77" s="6" t="s">
        <v>180</v>
      </c>
      <c r="C77" s="73">
        <f>SUM('DOE25'!F131:F135)</f>
        <v>0</v>
      </c>
      <c r="D77" s="73">
        <f>SUM('DOE25'!G131:G135)</f>
        <v>11315.71</v>
      </c>
      <c r="E77" s="73">
        <f>SUM('DOE25'!H131:H135)</f>
        <v>0</v>
      </c>
      <c r="F77" s="73">
        <f>SUM('DOE25'!I131:I135)</f>
        <v>0</v>
      </c>
      <c r="G77" s="73">
        <f>SUM('DOE25'!J131:J135)</f>
        <v>0</v>
      </c>
      <c r="H77" s="13">
        <f t="shared" si="4"/>
        <v>11315.71</v>
      </c>
      <c r="I77"/>
    </row>
    <row r="78" spans="1:9" ht="12.75" thickTop="1" thickBot="1" x14ac:dyDescent="0.25">
      <c r="A78" s="28" t="s">
        <v>259</v>
      </c>
      <c r="B78" s="6"/>
      <c r="C78" s="93">
        <f>SUM(C72:C77)</f>
        <v>362223.04000000004</v>
      </c>
      <c r="D78" s="93">
        <f>SUM(D72:D77)</f>
        <v>11315.71</v>
      </c>
      <c r="E78" s="93">
        <f>SUM(E72:E77)</f>
        <v>0</v>
      </c>
      <c r="F78" s="93">
        <f>SUM(F72:F77)</f>
        <v>0</v>
      </c>
      <c r="G78" s="93">
        <f>SUM(G72:G77)</f>
        <v>0</v>
      </c>
      <c r="H78" s="13">
        <f t="shared" si="4"/>
        <v>373538.75000000006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6586214.6600000001</v>
      </c>
      <c r="D81" s="93">
        <f>SUM(D79:D80)+D78+D70</f>
        <v>11315.71</v>
      </c>
      <c r="E81" s="93">
        <f>SUM(E79:E80)+E78+E70</f>
        <v>0</v>
      </c>
      <c r="F81" s="93">
        <f>SUM(F79:F80)+F78+F70</f>
        <v>0</v>
      </c>
      <c r="G81" s="93">
        <f>SUM(G79:G80)+G78+G70</f>
        <v>0</v>
      </c>
      <c r="H81" s="93">
        <f t="shared" si="4"/>
        <v>6597530.3700000001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46735.59</v>
      </c>
      <c r="D85" s="73">
        <f>'DOE25'!G147</f>
        <v>0</v>
      </c>
      <c r="E85" s="73">
        <f>'DOE25'!H147</f>
        <v>0</v>
      </c>
      <c r="F85" s="73">
        <f>'DOE25'!I147</f>
        <v>0</v>
      </c>
      <c r="G85" s="23" t="s">
        <v>288</v>
      </c>
      <c r="H85" s="13">
        <f t="shared" ref="H85:H104" si="5">SUM(C85:G85)</f>
        <v>46735.59</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7436.21</v>
      </c>
      <c r="D88" s="252">
        <f>SUM('DOE25'!G153:G162)</f>
        <v>262783.77</v>
      </c>
      <c r="E88" s="252">
        <f>SUM('DOE25'!H153:H162)</f>
        <v>3589092.74</v>
      </c>
      <c r="F88" s="252">
        <f>SUM('DOE25'!I153:I162)</f>
        <v>0</v>
      </c>
      <c r="G88" s="23" t="s">
        <v>288</v>
      </c>
      <c r="H88" s="13">
        <f t="shared" si="5"/>
        <v>3859312.72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1417.24</v>
      </c>
      <c r="D90" s="23" t="s">
        <v>288</v>
      </c>
      <c r="E90" s="23" t="s">
        <v>288</v>
      </c>
      <c r="F90" s="23" t="s">
        <v>288</v>
      </c>
      <c r="G90" s="23" t="s">
        <v>288</v>
      </c>
      <c r="H90" s="13">
        <f t="shared" si="5"/>
        <v>1417.24</v>
      </c>
    </row>
    <row r="91" spans="1:9" ht="12.75" thickTop="1" thickBot="1" x14ac:dyDescent="0.25">
      <c r="A91" s="32" t="s">
        <v>747</v>
      </c>
      <c r="C91" s="94">
        <f>SUM(C85:C90)</f>
        <v>55589.039999999994</v>
      </c>
      <c r="D91" s="94">
        <f>SUM(D85:D90)</f>
        <v>262783.77</v>
      </c>
      <c r="E91" s="94">
        <f>SUM(E85:E90)</f>
        <v>3589092.74</v>
      </c>
      <c r="F91" s="94">
        <f>SUM(F85:F90)</f>
        <v>0</v>
      </c>
      <c r="G91" s="23" t="s">
        <v>288</v>
      </c>
      <c r="H91" s="13">
        <f t="shared" si="5"/>
        <v>3907465.5500000003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7147.65</v>
      </c>
      <c r="E96" s="73">
        <f>'DOE25'!H180</f>
        <v>0</v>
      </c>
      <c r="F96" s="73">
        <f>'DOE25'!I180</f>
        <v>0</v>
      </c>
      <c r="G96" s="73">
        <f>'DOE25'!J180</f>
        <v>368220.5</v>
      </c>
      <c r="H96" s="13">
        <f t="shared" si="5"/>
        <v>375368.15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163041.32</v>
      </c>
      <c r="D99" s="73">
        <f>'DOE25'!G186</f>
        <v>0</v>
      </c>
      <c r="E99" s="73">
        <f>'DOE25'!H186</f>
        <v>0</v>
      </c>
      <c r="F99" s="73">
        <f>'DOE25'!I186</f>
        <v>0</v>
      </c>
      <c r="G99" s="23" t="s">
        <v>288</v>
      </c>
      <c r="H99" s="13">
        <f t="shared" si="5"/>
        <v>163041.32</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163041.32</v>
      </c>
      <c r="D103" s="68">
        <f>SUM(D93:D102)</f>
        <v>7147.65</v>
      </c>
      <c r="E103" s="68">
        <f>SUM(E93:E102)</f>
        <v>0</v>
      </c>
      <c r="F103" s="68">
        <f>SUM(F93:F102)</f>
        <v>0</v>
      </c>
      <c r="G103" s="68">
        <f>SUM(G93:G102)</f>
        <v>368220.5</v>
      </c>
      <c r="H103" s="68">
        <f t="shared" si="5"/>
        <v>538409.47</v>
      </c>
    </row>
    <row r="104" spans="1:8" ht="12.75" thickTop="1" thickBot="1" x14ac:dyDescent="0.25">
      <c r="A104" s="32" t="s">
        <v>758</v>
      </c>
      <c r="C104" s="68">
        <f>C63+C81+C91+C103</f>
        <v>16675500.41</v>
      </c>
      <c r="D104" s="68">
        <f>D63+D81+D91+D103</f>
        <v>387550.66000000003</v>
      </c>
      <c r="E104" s="68">
        <f>E63+E81+E91+E103</f>
        <v>3758847.8800000004</v>
      </c>
      <c r="F104" s="68">
        <f>F63+F81+F91+F103</f>
        <v>0</v>
      </c>
      <c r="G104" s="68">
        <f>G63+G81+G103</f>
        <v>423582.31</v>
      </c>
      <c r="H104" s="68">
        <f t="shared" si="5"/>
        <v>21245481.259999998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4761910.75</v>
      </c>
      <c r="D109" s="23" t="s">
        <v>288</v>
      </c>
      <c r="E109" s="73">
        <f>('DOE25'!L277)+('DOE25'!L296)+('DOE25'!L315)</f>
        <v>658900.49</v>
      </c>
      <c r="F109" s="23" t="s">
        <v>288</v>
      </c>
      <c r="G109" s="23" t="s">
        <v>288</v>
      </c>
      <c r="H109" s="13">
        <f t="shared" ref="H109:H115" si="6">SUM(C109:G109)</f>
        <v>5420811.2400000002</v>
      </c>
    </row>
    <row r="110" spans="1:8" x14ac:dyDescent="0.2">
      <c r="A110" t="s">
        <v>198</v>
      </c>
      <c r="B110" s="31" t="s">
        <v>199</v>
      </c>
      <c r="C110" s="73">
        <f>('DOE25'!L199)+('DOE25'!L217)+('DOE25'!L235)</f>
        <v>3061382.2600000002</v>
      </c>
      <c r="D110" s="23" t="s">
        <v>288</v>
      </c>
      <c r="E110" s="73">
        <f>('DOE25'!L278)+('DOE25'!L297)+('DOE25'!L316)</f>
        <v>220629.31000000003</v>
      </c>
      <c r="F110" s="23" t="s">
        <v>288</v>
      </c>
      <c r="G110" s="23" t="s">
        <v>288</v>
      </c>
      <c r="H110" s="13">
        <f t="shared" si="6"/>
        <v>3282011.5700000003</v>
      </c>
    </row>
    <row r="111" spans="1:8" x14ac:dyDescent="0.2">
      <c r="A111" t="s">
        <v>200</v>
      </c>
      <c r="B111" s="31" t="s">
        <v>165</v>
      </c>
      <c r="C111" s="73">
        <f>('DOE25'!L200)+('DOE25'!L218)+('DOE25'!L236)</f>
        <v>974135.37999999989</v>
      </c>
      <c r="D111" s="23" t="s">
        <v>288</v>
      </c>
      <c r="E111" s="73">
        <f>('DOE25'!L279)+('DOE25'!L298)+('DOE25'!L317)</f>
        <v>125558.09</v>
      </c>
      <c r="F111" s="23" t="s">
        <v>288</v>
      </c>
      <c r="G111" s="23" t="s">
        <v>288</v>
      </c>
      <c r="H111" s="13">
        <f t="shared" si="6"/>
        <v>1099693.47</v>
      </c>
    </row>
    <row r="112" spans="1:8" x14ac:dyDescent="0.2">
      <c r="A112" t="s">
        <v>201</v>
      </c>
      <c r="B112" s="31" t="s">
        <v>167</v>
      </c>
      <c r="C112" s="73">
        <f>('DOE25'!L201)+('DOE25'!L219)+('DOE25'!L237)</f>
        <v>214251.28000000003</v>
      </c>
      <c r="D112" s="23" t="s">
        <v>288</v>
      </c>
      <c r="E112" s="73">
        <f>+('DOE25'!L280)+('DOE25'!L299)+('DOE25'!L318)</f>
        <v>21334.870000000003</v>
      </c>
      <c r="F112" s="23" t="s">
        <v>288</v>
      </c>
      <c r="G112" s="23" t="s">
        <v>288</v>
      </c>
      <c r="H112" s="13">
        <f t="shared" si="6"/>
        <v>235586.15000000002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85025.260000000009</v>
      </c>
      <c r="D114" s="23" t="s">
        <v>288</v>
      </c>
      <c r="E114" s="73">
        <f>+ SUM('DOE25'!L334:L336)</f>
        <v>158419.50999999998</v>
      </c>
      <c r="F114" s="23" t="s">
        <v>288</v>
      </c>
      <c r="G114" s="23" t="s">
        <v>288</v>
      </c>
      <c r="H114" s="13">
        <f t="shared" si="6"/>
        <v>243444.77</v>
      </c>
    </row>
    <row r="115" spans="1:8" ht="12.75" thickTop="1" thickBot="1" x14ac:dyDescent="0.25">
      <c r="A115" s="32" t="s">
        <v>205</v>
      </c>
      <c r="C115" s="68">
        <f>SUM(C109:C114)</f>
        <v>9096704.9299999997</v>
      </c>
      <c r="D115" s="68">
        <f>SUM(D109:D114)</f>
        <v>0</v>
      </c>
      <c r="E115" s="68">
        <f>SUM(E109:E114)</f>
        <v>1184842.27</v>
      </c>
      <c r="F115" s="68">
        <f>SUM(F109:F114)</f>
        <v>0</v>
      </c>
      <c r="G115" s="68">
        <f>SUM(G109:G114)</f>
        <v>0</v>
      </c>
      <c r="H115" s="68">
        <f t="shared" si="6"/>
        <v>10281547.199999999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1586097.15</v>
      </c>
      <c r="D118" s="23" t="s">
        <v>288</v>
      </c>
      <c r="E118" s="73">
        <f>+('DOE25'!L282)+('DOE25'!L301)+('DOE25'!L320)</f>
        <v>158631.16</v>
      </c>
      <c r="F118" s="23" t="s">
        <v>288</v>
      </c>
      <c r="G118" s="23" t="s">
        <v>288</v>
      </c>
      <c r="H118" s="13">
        <f t="shared" ref="H118:H145" si="7">SUM(C118:G118)</f>
        <v>1744728.3099999998</v>
      </c>
    </row>
    <row r="119" spans="1:8" x14ac:dyDescent="0.2">
      <c r="A119" t="s">
        <v>208</v>
      </c>
      <c r="B119" s="31" t="s">
        <v>209</v>
      </c>
      <c r="C119" s="73">
        <f>('DOE25'!L204)+('DOE25'!L222)+('DOE25'!L240)</f>
        <v>385585.92000000004</v>
      </c>
      <c r="D119" s="23" t="s">
        <v>288</v>
      </c>
      <c r="E119" s="73">
        <f>+('DOE25'!L283)+('DOE25'!L302)+('DOE25'!L321)</f>
        <v>631642.41999999993</v>
      </c>
      <c r="F119" s="23" t="s">
        <v>288</v>
      </c>
      <c r="G119" s="23" t="s">
        <v>288</v>
      </c>
      <c r="H119" s="13">
        <f t="shared" si="7"/>
        <v>1017228.34</v>
      </c>
    </row>
    <row r="120" spans="1:8" x14ac:dyDescent="0.2">
      <c r="A120" t="s">
        <v>210</v>
      </c>
      <c r="B120" s="31" t="s">
        <v>211</v>
      </c>
      <c r="C120" s="73">
        <f>('DOE25'!L205)+('DOE25'!L223)+('DOE25'!L241)</f>
        <v>503574.72</v>
      </c>
      <c r="D120" s="23" t="s">
        <v>288</v>
      </c>
      <c r="E120" s="73">
        <f>+('DOE25'!L284)+('DOE25'!L303)+('DOE25'!L322)</f>
        <v>62811.22</v>
      </c>
      <c r="F120" s="23" t="s">
        <v>288</v>
      </c>
      <c r="G120" s="23" t="s">
        <v>288</v>
      </c>
      <c r="H120" s="13">
        <f t="shared" si="7"/>
        <v>566385.93999999994</v>
      </c>
    </row>
    <row r="121" spans="1:8" x14ac:dyDescent="0.2">
      <c r="A121" t="s">
        <v>212</v>
      </c>
      <c r="B121" s="31" t="s">
        <v>213</v>
      </c>
      <c r="C121" s="73">
        <f>('DOE25'!L206)+('DOE25'!L224)+('DOE25'!L242)</f>
        <v>1122332.3</v>
      </c>
      <c r="D121" s="23" t="s">
        <v>288</v>
      </c>
      <c r="E121" s="73">
        <f>+('DOE25'!L285)+('DOE25'!L304)+('DOE25'!L323)</f>
        <v>0</v>
      </c>
      <c r="F121" s="23" t="s">
        <v>288</v>
      </c>
      <c r="G121" s="23" t="s">
        <v>288</v>
      </c>
      <c r="H121" s="13">
        <f t="shared" si="7"/>
        <v>1122332.3</v>
      </c>
    </row>
    <row r="122" spans="1:8" x14ac:dyDescent="0.2">
      <c r="A122" t="s">
        <v>214</v>
      </c>
      <c r="B122" s="31" t="s">
        <v>215</v>
      </c>
      <c r="C122" s="73">
        <f>('DOE25'!L207)+('DOE25'!L225)+('DOE25'!L243)</f>
        <v>737093.98</v>
      </c>
      <c r="D122" s="23" t="s">
        <v>288</v>
      </c>
      <c r="E122" s="73">
        <f>+('DOE25'!L286)+('DOE25'!L305)+('DOE25'!L324)</f>
        <v>24352.71</v>
      </c>
      <c r="F122" s="23" t="s">
        <v>288</v>
      </c>
      <c r="G122" s="23" t="s">
        <v>288</v>
      </c>
      <c r="H122" s="13">
        <f t="shared" si="7"/>
        <v>761446.69</v>
      </c>
    </row>
    <row r="123" spans="1:8" x14ac:dyDescent="0.2">
      <c r="A123" t="s">
        <v>216</v>
      </c>
      <c r="B123" s="31" t="s">
        <v>217</v>
      </c>
      <c r="C123" s="73">
        <f>('DOE25'!L208)+('DOE25'!L226)+('DOE25'!L244)</f>
        <v>1679129.6800000002</v>
      </c>
      <c r="D123" s="23" t="s">
        <v>288</v>
      </c>
      <c r="E123" s="73">
        <f>+('DOE25'!L287)+('DOE25'!L306)+('DOE25'!L325)</f>
        <v>1543723.5499999998</v>
      </c>
      <c r="F123" s="23" t="s">
        <v>288</v>
      </c>
      <c r="G123" s="23" t="s">
        <v>288</v>
      </c>
      <c r="H123" s="13">
        <f t="shared" si="7"/>
        <v>3222853.23</v>
      </c>
    </row>
    <row r="124" spans="1:8" x14ac:dyDescent="0.2">
      <c r="A124" t="s">
        <v>218</v>
      </c>
      <c r="B124" s="31" t="s">
        <v>219</v>
      </c>
      <c r="C124" s="73">
        <f>('DOE25'!L209)+('DOE25'!L227)+('DOE25'!L245+'DOE25'!L255)</f>
        <v>360653.43000000005</v>
      </c>
      <c r="D124" s="23" t="s">
        <v>288</v>
      </c>
      <c r="E124" s="73">
        <f>+('DOE25'!L288)+('DOE25'!L307)+('DOE25'!L326)</f>
        <v>7133.25</v>
      </c>
      <c r="F124" s="23" t="s">
        <v>288</v>
      </c>
      <c r="G124" s="23" t="s">
        <v>288</v>
      </c>
      <c r="H124" s="13">
        <f t="shared" si="7"/>
        <v>367786.68000000005</v>
      </c>
    </row>
    <row r="125" spans="1:8" x14ac:dyDescent="0.2">
      <c r="A125" t="s">
        <v>220</v>
      </c>
      <c r="B125" s="31" t="s">
        <v>221</v>
      </c>
      <c r="C125" s="73">
        <f>('DOE25'!L210)+('DOE25'!L228)+('DOE25'!L246)</f>
        <v>0</v>
      </c>
      <c r="D125" s="23" t="s">
        <v>288</v>
      </c>
      <c r="E125" s="73">
        <f>+('DOE25'!L289)+('DOE25'!L308)+('DOE25'!L327)</f>
        <v>898.8</v>
      </c>
      <c r="F125" s="23" t="s">
        <v>288</v>
      </c>
      <c r="G125" s="23" t="s">
        <v>288</v>
      </c>
      <c r="H125" s="13">
        <f t="shared" si="7"/>
        <v>898.8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429676.80000000005</v>
      </c>
      <c r="E127" s="23" t="s">
        <v>288</v>
      </c>
      <c r="F127" s="23" t="s">
        <v>288</v>
      </c>
      <c r="G127" s="23" t="s">
        <v>288</v>
      </c>
      <c r="H127" s="13">
        <f t="shared" si="7"/>
        <v>429676.80000000005</v>
      </c>
    </row>
    <row r="128" spans="1:8" ht="12.75" thickTop="1" thickBot="1" x14ac:dyDescent="0.25">
      <c r="A128" s="32" t="s">
        <v>226</v>
      </c>
      <c r="C128" s="68">
        <f>SUM(C118:C127)</f>
        <v>6374467.1799999997</v>
      </c>
      <c r="D128" s="68">
        <f>SUM(D118:D127)</f>
        <v>429676.80000000005</v>
      </c>
      <c r="E128" s="68">
        <f>SUM(E118:E127)</f>
        <v>2429193.1099999994</v>
      </c>
      <c r="F128" s="68">
        <f>SUM(F118:F127)</f>
        <v>0</v>
      </c>
      <c r="G128" s="68">
        <f>SUM(G118:G127)</f>
        <v>0</v>
      </c>
      <c r="H128" s="68">
        <f t="shared" si="7"/>
        <v>9233337.0899999999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409286.19</v>
      </c>
      <c r="D130" s="23" t="s">
        <v>288</v>
      </c>
      <c r="E130" s="92">
        <f>'DOE25'!L337</f>
        <v>144812.5</v>
      </c>
      <c r="F130" s="92">
        <f>SUM('DOE25'!L375:'DOE25'!L381)</f>
        <v>0</v>
      </c>
      <c r="G130" s="23" t="s">
        <v>288</v>
      </c>
      <c r="H130" s="13">
        <f t="shared" si="7"/>
        <v>554098.68999999994</v>
      </c>
    </row>
    <row r="131" spans="1:8" x14ac:dyDescent="0.2">
      <c r="A131" t="s">
        <v>229</v>
      </c>
      <c r="B131" s="31">
        <v>5110</v>
      </c>
      <c r="C131" s="73">
        <f>'DOE25'!L261</f>
        <v>260000</v>
      </c>
      <c r="D131" s="23" t="s">
        <v>288</v>
      </c>
      <c r="E131" s="92">
        <f>'DOE25'!L342</f>
        <v>0</v>
      </c>
      <c r="F131" s="23" t="s">
        <v>288</v>
      </c>
      <c r="G131" s="23" t="s">
        <v>288</v>
      </c>
      <c r="H131" s="13">
        <f t="shared" si="7"/>
        <v>260000</v>
      </c>
    </row>
    <row r="132" spans="1:8" x14ac:dyDescent="0.2">
      <c r="A132" t="s">
        <v>230</v>
      </c>
      <c r="B132" s="31">
        <v>5120</v>
      </c>
      <c r="C132" s="73">
        <f>'DOE25'!L262</f>
        <v>49049</v>
      </c>
      <c r="D132" s="23" t="s">
        <v>288</v>
      </c>
      <c r="E132" s="92">
        <f>'DOE25'!L343</f>
        <v>0</v>
      </c>
      <c r="F132" s="23" t="s">
        <v>288</v>
      </c>
      <c r="G132" s="23" t="s">
        <v>288</v>
      </c>
      <c r="H132" s="13">
        <f t="shared" si="7"/>
        <v>49049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164944.49</v>
      </c>
      <c r="H134" s="13">
        <f t="shared" si="7"/>
        <v>164944.49</v>
      </c>
    </row>
    <row r="135" spans="1:8" x14ac:dyDescent="0.2">
      <c r="A135" t="s">
        <v>233</v>
      </c>
      <c r="B135" s="31" t="s">
        <v>234</v>
      </c>
      <c r="C135" s="73">
        <f>'DOE25'!L264</f>
        <v>7147.65</v>
      </c>
      <c r="D135" s="23" t="s">
        <v>288</v>
      </c>
      <c r="E135" s="92">
        <f>'DOE25'!L346</f>
        <v>0</v>
      </c>
      <c r="F135" s="23" t="s">
        <v>288</v>
      </c>
      <c r="G135" s="23" t="s">
        <v>288</v>
      </c>
      <c r="H135" s="13">
        <f t="shared" si="7"/>
        <v>7147.65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423582.31</v>
      </c>
      <c r="D138" s="23" t="s">
        <v>288</v>
      </c>
      <c r="E138" s="23" t="s">
        <v>288</v>
      </c>
      <c r="F138" s="23" t="s">
        <v>288</v>
      </c>
      <c r="G138" s="23" t="s">
        <v>288</v>
      </c>
      <c r="H138" s="13">
        <f t="shared" si="7"/>
        <v>423582.31</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-55361.81</v>
      </c>
      <c r="D141" s="23" t="s">
        <v>288</v>
      </c>
      <c r="E141" s="23" t="s">
        <v>288</v>
      </c>
      <c r="F141" s="23" t="s">
        <v>288</v>
      </c>
      <c r="G141" s="23" t="s">
        <v>288</v>
      </c>
      <c r="H141" s="13">
        <f t="shared" si="7"/>
        <v>-55361.81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1093703.3399999999</v>
      </c>
      <c r="D144" s="98">
        <f>SUM(D130:D143)</f>
        <v>0</v>
      </c>
      <c r="E144" s="98">
        <f>SUM(E130:E143)</f>
        <v>144812.5</v>
      </c>
      <c r="F144" s="98">
        <f>SUM(F130:F143)</f>
        <v>0</v>
      </c>
      <c r="G144" s="98">
        <f>SUM(G130:G143)</f>
        <v>164944.49</v>
      </c>
      <c r="H144" s="98">
        <f t="shared" si="7"/>
        <v>1403460.3299999998</v>
      </c>
    </row>
    <row r="145" spans="1:9" ht="12.75" thickTop="1" thickBot="1" x14ac:dyDescent="0.25">
      <c r="A145" s="32" t="s">
        <v>244</v>
      </c>
      <c r="C145" s="68">
        <f>(C115+C128+C144)</f>
        <v>16564875.449999999</v>
      </c>
      <c r="D145" s="68">
        <f>(D115+D128+D144)</f>
        <v>429676.80000000005</v>
      </c>
      <c r="E145" s="68">
        <f>(E115+E128+E144)</f>
        <v>3758847.8799999994</v>
      </c>
      <c r="F145" s="68">
        <f>(F115+F128+F144)</f>
        <v>0</v>
      </c>
      <c r="G145" s="68">
        <f>(G115+G128+G144)</f>
        <v>164944.49</v>
      </c>
      <c r="H145" s="68">
        <f t="shared" si="7"/>
        <v>20918344.619999997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B1" zoomScaleNormal="100" workbookViewId="0">
      <selection activeCell="B20" sqref="B2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Littleton</v>
      </c>
    </row>
    <row r="3" spans="1:4" x14ac:dyDescent="0.2">
      <c r="B3" s="136" t="s">
        <v>1792</v>
      </c>
    </row>
    <row r="4" spans="1:4" x14ac:dyDescent="0.2">
      <c r="B4" t="s">
        <v>61</v>
      </c>
      <c r="C4" s="128">
        <f>IF('DOE25'!F666+'DOE25'!F671=0,0,ROUND('DOE25'!F673,0))</f>
        <v>29364</v>
      </c>
    </row>
    <row r="5" spans="1:4" x14ac:dyDescent="0.2">
      <c r="B5" t="s">
        <v>700</v>
      </c>
      <c r="C5" s="128">
        <f>IF('DOE25'!G666+'DOE25'!G671=0,0,ROUND('DOE25'!G673,0))</f>
        <v>28025</v>
      </c>
    </row>
    <row r="6" spans="1:4" x14ac:dyDescent="0.2">
      <c r="B6" t="s">
        <v>62</v>
      </c>
      <c r="C6" s="128">
        <f>IF('DOE25'!H666+'DOE25'!H671=0,0,ROUND('DOE25'!H673,0))</f>
        <v>25435</v>
      </c>
    </row>
    <row r="7" spans="1:4" x14ac:dyDescent="0.2">
      <c r="B7" t="s">
        <v>701</v>
      </c>
      <c r="C7" s="128">
        <f>IF('DOE25'!I666+'DOE25'!I671=0,0,ROUND('DOE25'!I673,0))</f>
        <v>27866</v>
      </c>
    </row>
    <row r="9" spans="1:4" x14ac:dyDescent="0.2">
      <c r="A9" s="135" t="s">
        <v>94</v>
      </c>
      <c r="B9" s="136" t="s">
        <v>1793</v>
      </c>
      <c r="C9" s="130" t="s">
        <v>720</v>
      </c>
      <c r="D9" s="130" t="s">
        <v>721</v>
      </c>
    </row>
    <row r="10" spans="1:4" x14ac:dyDescent="0.2">
      <c r="A10">
        <v>1100</v>
      </c>
      <c r="B10" t="s">
        <v>702</v>
      </c>
      <c r="C10" s="128">
        <f>ROUND('DOE25'!L198+'DOE25'!L216+'DOE25'!L234+'DOE25'!L277+'DOE25'!L296+'DOE25'!L315,0)</f>
        <v>5420811</v>
      </c>
      <c r="D10" s="131">
        <f>ROUND((C10/$C$28)*100,1)</f>
        <v>27.9</v>
      </c>
    </row>
    <row r="11" spans="1:4" x14ac:dyDescent="0.2">
      <c r="A11">
        <v>1200</v>
      </c>
      <c r="B11" t="s">
        <v>703</v>
      </c>
      <c r="C11" s="128">
        <f>ROUND('DOE25'!L199+'DOE25'!L217+'DOE25'!L235+'DOE25'!L278+'DOE25'!L297+'DOE25'!L316,0)</f>
        <v>3282012</v>
      </c>
      <c r="D11" s="131">
        <f>ROUND((C11/$C$28)*100,1)</f>
        <v>16.899999999999999</v>
      </c>
    </row>
    <row r="12" spans="1:4" x14ac:dyDescent="0.2">
      <c r="A12">
        <v>1300</v>
      </c>
      <c r="B12" t="s">
        <v>704</v>
      </c>
      <c r="C12" s="128">
        <f>ROUND('DOE25'!L200+'DOE25'!L218+'DOE25'!L236+'DOE25'!L279+'DOE25'!L298+'DOE25'!L317,0)</f>
        <v>1099693</v>
      </c>
      <c r="D12" s="131">
        <f>ROUND((C12/$C$28)*100,1)</f>
        <v>5.7</v>
      </c>
    </row>
    <row r="13" spans="1:4" x14ac:dyDescent="0.2">
      <c r="A13">
        <v>1400</v>
      </c>
      <c r="B13" t="s">
        <v>705</v>
      </c>
      <c r="C13" s="128">
        <f>ROUND('DOE25'!L201+'DOE25'!L219+'DOE25'!L237+'DOE25'!L280+'DOE25'!L299+'DOE25'!L318,0)</f>
        <v>235586</v>
      </c>
      <c r="D13" s="131">
        <f>ROUND((C13/$C$28)*100,1)</f>
        <v>1.2</v>
      </c>
    </row>
    <row r="14" spans="1:4" x14ac:dyDescent="0.2">
      <c r="D14" s="131"/>
    </row>
    <row r="15" spans="1:4" x14ac:dyDescent="0.2">
      <c r="A15">
        <v>2100</v>
      </c>
      <c r="B15" t="s">
        <v>706</v>
      </c>
      <c r="C15" s="128">
        <f>ROUND('DOE25'!L203+'DOE25'!L221+'DOE25'!L239+'DOE25'!L282+'DOE25'!L301+'DOE25'!L320,0)</f>
        <v>1744728</v>
      </c>
      <c r="D15" s="131">
        <f t="shared" ref="D15:D27" si="0">ROUND((C15/$C$28)*100,1)</f>
        <v>9</v>
      </c>
    </row>
    <row r="16" spans="1:4" x14ac:dyDescent="0.2">
      <c r="A16">
        <v>2200</v>
      </c>
      <c r="B16" t="s">
        <v>707</v>
      </c>
      <c r="C16" s="128">
        <f>ROUND('DOE25'!L204+'DOE25'!L222+'DOE25'!L240+'DOE25'!L283+'DOE25'!L302+'DOE25'!L321,0)</f>
        <v>1017228</v>
      </c>
      <c r="D16" s="131">
        <f t="shared" si="0"/>
        <v>5.2</v>
      </c>
    </row>
    <row r="17" spans="1:4" x14ac:dyDescent="0.2">
      <c r="A17" s="132" t="s">
        <v>723</v>
      </c>
      <c r="B17" t="s">
        <v>738</v>
      </c>
      <c r="C17" s="128">
        <f>ROUND('DOE25'!L205+'DOE25'!L210+'DOE25'!L223+'DOE25'!L228+'DOE25'!L241+'DOE25'!L246+'DOE25'!L284+'DOE25'!L289+'DOE25'!L303+'DOE25'!L308+'DOE25'!L322+'DOE25'!L327,0)</f>
        <v>567285</v>
      </c>
      <c r="D17" s="131">
        <f t="shared" si="0"/>
        <v>2.9</v>
      </c>
    </row>
    <row r="18" spans="1:4" x14ac:dyDescent="0.2">
      <c r="A18">
        <v>2400</v>
      </c>
      <c r="B18" t="s">
        <v>711</v>
      </c>
      <c r="C18" s="128">
        <f>ROUND('DOE25'!L206+'DOE25'!L224+'DOE25'!L242+'DOE25'!L285+'DOE25'!L304+'DOE25'!L323,0)</f>
        <v>1122332</v>
      </c>
      <c r="D18" s="131">
        <f t="shared" si="0"/>
        <v>5.8</v>
      </c>
    </row>
    <row r="19" spans="1:4" x14ac:dyDescent="0.2">
      <c r="A19">
        <v>2500</v>
      </c>
      <c r="B19" t="s">
        <v>708</v>
      </c>
      <c r="C19" s="128">
        <f>ROUND('DOE25'!L207+'DOE25'!L225+'DOE25'!L243+'DOE25'!L286+'DOE25'!L305+'DOE25'!L324,0)</f>
        <v>761447</v>
      </c>
      <c r="D19" s="131">
        <f t="shared" si="0"/>
        <v>3.9</v>
      </c>
    </row>
    <row r="20" spans="1:4" x14ac:dyDescent="0.2">
      <c r="A20">
        <v>2600</v>
      </c>
      <c r="B20" t="s">
        <v>709</v>
      </c>
      <c r="C20" s="128">
        <f>ROUND('DOE25'!L208+'DOE25'!L226+'DOE25'!L244+'DOE25'!L287+'DOE25'!L306+'DOE25'!L325,0)</f>
        <v>3222853</v>
      </c>
      <c r="D20" s="131">
        <f t="shared" si="0"/>
        <v>16.600000000000001</v>
      </c>
    </row>
    <row r="21" spans="1:4" x14ac:dyDescent="0.2">
      <c r="A21">
        <v>2700</v>
      </c>
      <c r="B21" t="s">
        <v>710</v>
      </c>
      <c r="C21" s="128">
        <f>ROUND('DOE25'!L209+'DOE25'!L227+'DOE25'!L245+'DOE25'!L288+'DOE25'!L307+'DOE25'!L326,0)</f>
        <v>367787</v>
      </c>
      <c r="D21" s="131">
        <f t="shared" si="0"/>
        <v>1.9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243445</v>
      </c>
      <c r="D24" s="131">
        <f t="shared" si="0"/>
        <v>1.3</v>
      </c>
    </row>
    <row r="25" spans="1:4" x14ac:dyDescent="0.2">
      <c r="A25">
        <v>5120</v>
      </c>
      <c r="B25" t="s">
        <v>716</v>
      </c>
      <c r="C25" s="128">
        <f>ROUND('DOE25'!L262+'DOE25'!L343,0)</f>
        <v>49049</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323373.46999999997</v>
      </c>
      <c r="D27" s="131">
        <f t="shared" si="0"/>
        <v>1.7</v>
      </c>
    </row>
    <row r="28" spans="1:4" x14ac:dyDescent="0.2">
      <c r="B28" s="135" t="s">
        <v>719</v>
      </c>
      <c r="C28" s="129">
        <f>SUM(C10:C27)</f>
        <v>19457629.469999999</v>
      </c>
      <c r="D28" s="133">
        <f>ROUND(SUM(D10:D27),0)</f>
        <v>100</v>
      </c>
    </row>
    <row r="29" spans="1:4" x14ac:dyDescent="0.2">
      <c r="A29">
        <v>4000</v>
      </c>
      <c r="B29" t="s">
        <v>724</v>
      </c>
      <c r="C29" s="128">
        <f>ROUND('DOE25'!L256+'DOE25'!L337+'DOE25'!L375+'DOE25'!L376+'DOE25'!L377+'DOE25'!L378+'DOE25'!L379+'DOE25'!L380+'DOE25'!L381,0)</f>
        <v>554099</v>
      </c>
    </row>
    <row r="30" spans="1:4" x14ac:dyDescent="0.2">
      <c r="B30" s="135" t="s">
        <v>725</v>
      </c>
      <c r="C30" s="129">
        <f>SUM(C28:C29)</f>
        <v>20011728.469999999</v>
      </c>
    </row>
    <row r="31" spans="1:4" x14ac:dyDescent="0.2">
      <c r="B31" s="32"/>
      <c r="C31" s="129"/>
    </row>
    <row r="32" spans="1:4" x14ac:dyDescent="0.2">
      <c r="A32">
        <v>5100</v>
      </c>
      <c r="B32" s="32" t="s">
        <v>726</v>
      </c>
      <c r="C32" s="129">
        <f>ROUND('DOE25'!L261+'DOE25'!L342,0)</f>
        <v>260000</v>
      </c>
    </row>
    <row r="34" spans="1:4" x14ac:dyDescent="0.2">
      <c r="A34" s="135" t="s">
        <v>94</v>
      </c>
      <c r="B34" s="136" t="s">
        <v>1794</v>
      </c>
      <c r="C34" s="130" t="s">
        <v>720</v>
      </c>
      <c r="D34" s="130" t="s">
        <v>721</v>
      </c>
    </row>
    <row r="35" spans="1:4" x14ac:dyDescent="0.2">
      <c r="A35">
        <v>1100</v>
      </c>
      <c r="B35" s="71" t="s">
        <v>727</v>
      </c>
      <c r="C35" s="128">
        <f>ROUND('DOE25'!F60+'DOE25'!G60+'DOE25'!H60+'DOE25'!I60+'DOE25'!J60,0)</f>
        <v>9426029</v>
      </c>
      <c r="D35" s="131">
        <f t="shared" ref="D35:D40" si="1">ROUND((C35/$C$41)*100,1)</f>
        <v>45.8</v>
      </c>
    </row>
    <row r="36" spans="1:4" x14ac:dyDescent="0.2">
      <c r="B36" s="71" t="s">
        <v>739</v>
      </c>
      <c r="C36" s="128">
        <f>SUM('DOE25'!F112:J112)-SUM('DOE25'!G97:G110)+('DOE25'!F175+'DOE25'!F176+'DOE25'!I175+'DOE25'!I176)-C35</f>
        <v>669743.34000000171</v>
      </c>
      <c r="D36" s="131">
        <f t="shared" si="1"/>
        <v>3.3</v>
      </c>
    </row>
    <row r="37" spans="1:4" x14ac:dyDescent="0.2">
      <c r="A37" s="132" t="s">
        <v>831</v>
      </c>
      <c r="B37" s="71" t="s">
        <v>728</v>
      </c>
      <c r="C37" s="128">
        <f>ROUND('DOE25'!F117+'DOE25'!F118,0)</f>
        <v>6207596</v>
      </c>
      <c r="D37" s="131">
        <f t="shared" si="1"/>
        <v>30.1</v>
      </c>
    </row>
    <row r="38" spans="1:4" x14ac:dyDescent="0.2">
      <c r="A38" s="132" t="s">
        <v>734</v>
      </c>
      <c r="B38" s="71" t="s">
        <v>729</v>
      </c>
      <c r="C38" s="128">
        <f>ROUND(SUM('DOE25'!F140:J140)-SUM('DOE25'!F117:F119),0)</f>
        <v>389934</v>
      </c>
      <c r="D38" s="131">
        <f t="shared" si="1"/>
        <v>1.9</v>
      </c>
    </row>
    <row r="39" spans="1:4" x14ac:dyDescent="0.2">
      <c r="A39">
        <v>4000</v>
      </c>
      <c r="B39" s="71" t="s">
        <v>730</v>
      </c>
      <c r="C39" s="128">
        <f>ROUND('DOE25'!F170+'DOE25'!G170+'DOE25'!H170+'DOE25'!I170,0)</f>
        <v>3907466</v>
      </c>
      <c r="D39" s="131">
        <f t="shared" si="1"/>
        <v>19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20600768.340000004</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6" sqref="C16:M16"/>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Littleton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v>10</v>
      </c>
      <c r="B5" s="149">
        <v>14</v>
      </c>
      <c r="C5" s="332" t="s">
        <v>1842</v>
      </c>
      <c r="D5" s="332"/>
      <c r="E5" s="332"/>
      <c r="F5" s="332"/>
      <c r="G5" s="332"/>
      <c r="H5" s="332"/>
      <c r="I5" s="332"/>
      <c r="J5" s="332"/>
      <c r="K5" s="332"/>
      <c r="L5" s="332"/>
      <c r="M5" s="334"/>
    </row>
    <row r="6" spans="1:13" x14ac:dyDescent="0.2">
      <c r="A6" s="158"/>
      <c r="B6" s="149"/>
      <c r="C6" s="332" t="s">
        <v>1843</v>
      </c>
      <c r="D6" s="332"/>
      <c r="E6" s="332"/>
      <c r="F6" s="332"/>
      <c r="G6" s="332"/>
      <c r="H6" s="332"/>
      <c r="I6" s="332"/>
      <c r="J6" s="332"/>
      <c r="K6" s="332"/>
      <c r="L6" s="332"/>
      <c r="M6" s="334"/>
    </row>
    <row r="7" spans="1:13" x14ac:dyDescent="0.2">
      <c r="A7" s="158"/>
      <c r="B7" s="149"/>
      <c r="C7" s="332" t="s">
        <v>1844</v>
      </c>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v>19</v>
      </c>
      <c r="B9" s="149">
        <v>6.1</v>
      </c>
      <c r="C9" s="332" t="s">
        <v>1845</v>
      </c>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197</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13</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49</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f>IF('School Level Expenditures'!$B$2='School Tables'!L16,'School Tables'!S16,"")</f>
        <v>13</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f>IF('School Level Expenditures'!$B$2='School Tables'!W52,'School Tables'!AD52,"")</f>
        <v>49</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f>IF('School Level Expenditures'!$B$2=A200,'School Tables'!H200,"")</f>
        <v>197</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2024-08-20T19:31:47Z</cp:lastPrinted>
  <dcterms:created xsi:type="dcterms:W3CDTF">1997-12-04T19:04:30Z</dcterms:created>
  <dcterms:modified xsi:type="dcterms:W3CDTF">2024-12-20T19:07:26Z</dcterms:modified>
</cp:coreProperties>
</file>