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5C8E16C-1BED-4074-AD79-61BB5B70D73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9" i="14" l="1"/>
  <c r="K6" i="14"/>
  <c r="K7" i="14"/>
  <c r="K8" i="14"/>
  <c r="L9" i="14"/>
  <c r="L6" i="14"/>
  <c r="L8" i="14"/>
  <c r="L7" i="14"/>
  <c r="M9" i="14"/>
  <c r="N9" i="14"/>
  <c r="N6" i="14"/>
  <c r="N8" i="14"/>
  <c r="N7" i="14"/>
  <c r="M6" i="14"/>
  <c r="M8" i="14"/>
  <c r="M7" i="14"/>
  <c r="D9" i="14" l="1"/>
  <c r="E9" i="14"/>
  <c r="E6" i="14"/>
  <c r="E8" i="14"/>
  <c r="E7" i="14"/>
  <c r="D8" i="14"/>
  <c r="D7" i="14"/>
  <c r="D6" i="14"/>
  <c r="F50" i="1" l="1"/>
  <c r="F46" i="1"/>
  <c r="J592" i="1"/>
  <c r="O9" i="14"/>
  <c r="O8" i="14"/>
  <c r="O7" i="14"/>
  <c r="O6" i="14"/>
  <c r="P40" i="14"/>
  <c r="O40" i="14"/>
  <c r="O27" i="14"/>
  <c r="P27" i="14"/>
  <c r="Q27" i="14"/>
  <c r="Q9" i="14"/>
  <c r="Q8" i="14"/>
  <c r="Q6" i="14"/>
  <c r="Q40" i="14"/>
  <c r="M40" i="14"/>
  <c r="L40" i="14"/>
  <c r="K40" i="14"/>
  <c r="K39" i="14"/>
  <c r="D40" i="14"/>
  <c r="D39" i="14"/>
  <c r="M27" i="14"/>
  <c r="L27" i="14"/>
  <c r="K27" i="14"/>
  <c r="D5" i="14"/>
  <c r="D27" i="14"/>
  <c r="D26" i="14"/>
  <c r="N27" i="14" l="1"/>
  <c r="I613" i="1" l="1"/>
  <c r="I612" i="1"/>
  <c r="F612" i="1"/>
  <c r="F613" i="1"/>
  <c r="F614" i="1"/>
  <c r="G583" i="1"/>
  <c r="F527" i="1"/>
  <c r="I522" i="1"/>
  <c r="H524" i="1"/>
  <c r="H523" i="1"/>
  <c r="H522" i="1"/>
  <c r="F524" i="1"/>
  <c r="F523" i="1"/>
  <c r="F522" i="1"/>
  <c r="C39" i="12" l="1"/>
  <c r="B39" i="12"/>
  <c r="I235" i="1"/>
  <c r="I217" i="1"/>
  <c r="I199" i="1"/>
  <c r="I569" i="1"/>
  <c r="F568" i="1"/>
  <c r="F569" i="1"/>
  <c r="K199" i="1"/>
  <c r="C19" i="12" l="1"/>
  <c r="B19" i="12"/>
  <c r="B21" i="12"/>
  <c r="B20" i="12" l="1"/>
  <c r="B11" i="12" l="1"/>
  <c r="B10" i="12"/>
  <c r="H542" i="1"/>
  <c r="H544" i="1"/>
  <c r="H543" i="1"/>
  <c r="H539" i="1"/>
  <c r="I503" i="1" l="1"/>
  <c r="I500" i="1"/>
  <c r="G500" i="1"/>
  <c r="G499" i="1"/>
  <c r="F500" i="1"/>
  <c r="F499" i="1"/>
  <c r="H243" i="1"/>
  <c r="H225" i="1"/>
  <c r="H207" i="1"/>
  <c r="J605" i="1" l="1"/>
  <c r="I605" i="1"/>
  <c r="H605" i="1"/>
  <c r="J228" i="1"/>
  <c r="H246" i="1"/>
  <c r="J244" i="1"/>
  <c r="H244" i="1"/>
  <c r="J226" i="1"/>
  <c r="H226" i="1"/>
  <c r="J208" i="1"/>
  <c r="H208" i="1"/>
  <c r="J237" i="1"/>
  <c r="J234" i="1"/>
  <c r="K262" i="1"/>
  <c r="J596" i="1" l="1"/>
  <c r="J593" i="1"/>
  <c r="I593" i="1"/>
  <c r="H593" i="1"/>
  <c r="H216" i="1"/>
  <c r="H245" i="1"/>
  <c r="H227" i="1"/>
  <c r="H209" i="1"/>
  <c r="H234" i="1"/>
  <c r="H198" i="1"/>
  <c r="I244" i="1" l="1"/>
  <c r="I226" i="1"/>
  <c r="I208" i="1"/>
  <c r="H242" i="1"/>
  <c r="H224" i="1"/>
  <c r="H206" i="1"/>
  <c r="I240" i="1"/>
  <c r="H240" i="1"/>
  <c r="I222" i="1"/>
  <c r="I204" i="1"/>
  <c r="H204" i="1"/>
  <c r="H222" i="1"/>
  <c r="I239" i="1"/>
  <c r="H239" i="1"/>
  <c r="I221" i="1"/>
  <c r="I203" i="1"/>
  <c r="H221" i="1"/>
  <c r="H203" i="1"/>
  <c r="H235" i="1"/>
  <c r="H217" i="1"/>
  <c r="H199" i="1"/>
  <c r="I237" i="1" l="1"/>
  <c r="H237" i="1"/>
  <c r="J219" i="1"/>
  <c r="I219" i="1"/>
  <c r="I201" i="1"/>
  <c r="G204" i="1"/>
  <c r="G222" i="1"/>
  <c r="G240" i="1"/>
  <c r="F244" i="1" l="1"/>
  <c r="F242" i="1"/>
  <c r="F240" i="1"/>
  <c r="F239" i="1"/>
  <c r="F237" i="1"/>
  <c r="F235" i="1"/>
  <c r="F234" i="1"/>
  <c r="F226" i="1"/>
  <c r="F224" i="1"/>
  <c r="F222" i="1"/>
  <c r="F221" i="1"/>
  <c r="F219" i="1"/>
  <c r="F217" i="1"/>
  <c r="F216" i="1"/>
  <c r="F208" i="1"/>
  <c r="F206" i="1"/>
  <c r="F204" i="1"/>
  <c r="F203" i="1"/>
  <c r="F201" i="1"/>
  <c r="F199" i="1"/>
  <c r="F198" i="1"/>
  <c r="F246" i="1"/>
  <c r="I234" i="1" l="1"/>
  <c r="J216" i="1"/>
  <c r="I216" i="1"/>
  <c r="J198" i="1"/>
  <c r="I198" i="1"/>
  <c r="F120" i="1" l="1"/>
  <c r="F63" i="1" l="1"/>
  <c r="F66" i="1"/>
  <c r="E13" i="17"/>
  <c r="E9" i="17"/>
  <c r="J361" i="1"/>
  <c r="J360" i="1"/>
  <c r="J359" i="1"/>
  <c r="H369" i="1"/>
  <c r="G369" i="1"/>
  <c r="F369" i="1"/>
  <c r="H368" i="1"/>
  <c r="K361" i="1"/>
  <c r="I361" i="1"/>
  <c r="G361" i="1"/>
  <c r="F361" i="1"/>
  <c r="F360" i="1"/>
  <c r="F359" i="1"/>
  <c r="G97" i="1" l="1"/>
  <c r="G99" i="1"/>
  <c r="H161" i="1"/>
  <c r="H162" i="1" l="1"/>
  <c r="F280" i="1"/>
  <c r="F278" i="1"/>
  <c r="F277" i="1"/>
  <c r="F299" i="1"/>
  <c r="I334" i="1"/>
  <c r="H334" i="1"/>
  <c r="J283" i="1"/>
  <c r="I315" i="1"/>
  <c r="I321" i="1"/>
  <c r="H321" i="1"/>
  <c r="H302" i="1"/>
  <c r="H301" i="1"/>
  <c r="G302" i="1"/>
  <c r="G301" i="1"/>
  <c r="H283" i="1"/>
  <c r="G158" i="1" l="1"/>
  <c r="F440" i="1"/>
  <c r="G440" i="1"/>
  <c r="K416" i="1"/>
  <c r="K419" i="1"/>
  <c r="H393" i="1"/>
  <c r="G393" i="1"/>
  <c r="F9" i="1" l="1"/>
  <c r="F10" i="1"/>
  <c r="I24" i="1"/>
  <c r="G40" i="1"/>
  <c r="G24" i="1"/>
  <c r="F36" i="1"/>
  <c r="F29" i="1"/>
  <c r="F17"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13" i="2"/>
  <c r="H97" i="2"/>
  <c r="H98" i="2"/>
  <c r="H100" i="2"/>
  <c r="H101" i="2"/>
  <c r="H102" i="2"/>
  <c r="H94" i="2"/>
  <c r="H89" i="2"/>
  <c r="H90" i="2"/>
  <c r="H87" i="2"/>
  <c r="H85" i="2"/>
  <c r="H73" i="2"/>
  <c r="H74" i="2"/>
  <c r="H79" i="2"/>
  <c r="H80" i="2"/>
  <c r="H58" i="2"/>
  <c r="H44" i="2"/>
  <c r="H38" i="2"/>
  <c r="H36" i="2"/>
  <c r="H22" i="2"/>
  <c r="H24" i="2"/>
  <c r="H25" i="2"/>
  <c r="H26" i="2"/>
  <c r="H30"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H42" i="2" s="1"/>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H9" i="2" s="1"/>
  <c r="D9" i="2"/>
  <c r="E9" i="2"/>
  <c r="F9" i="2"/>
  <c r="I441" i="1"/>
  <c r="J10" i="1" s="1"/>
  <c r="G9" i="2" s="1"/>
  <c r="C10" i="2"/>
  <c r="C11" i="2"/>
  <c r="D11" i="2"/>
  <c r="E11" i="2"/>
  <c r="F11" i="2"/>
  <c r="I442" i="1"/>
  <c r="J12" i="1" s="1"/>
  <c r="G11" i="2" s="1"/>
  <c r="C12" i="2"/>
  <c r="D12" i="2"/>
  <c r="H12" i="2" s="1"/>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H76" i="2" s="1"/>
  <c r="F76" i="2"/>
  <c r="C77" i="2"/>
  <c r="D77" i="2"/>
  <c r="E77" i="2"/>
  <c r="F77" i="2"/>
  <c r="G77" i="2"/>
  <c r="G78" i="2" s="1"/>
  <c r="C79" i="2"/>
  <c r="D79" i="2"/>
  <c r="E79" i="2"/>
  <c r="C80" i="2"/>
  <c r="E80" i="2"/>
  <c r="C85" i="2"/>
  <c r="F85" i="2"/>
  <c r="C87" i="2"/>
  <c r="E87" i="2"/>
  <c r="F87" i="2"/>
  <c r="C89" i="2"/>
  <c r="D89" i="2"/>
  <c r="E89" i="2"/>
  <c r="F89" i="2"/>
  <c r="C90" i="2"/>
  <c r="C93" i="2"/>
  <c r="F93" i="2"/>
  <c r="H93" i="2" s="1"/>
  <c r="C94" i="2"/>
  <c r="F94" i="2"/>
  <c r="D96" i="2"/>
  <c r="E96" i="2"/>
  <c r="F96" i="2"/>
  <c r="G96" i="2"/>
  <c r="H96" i="2" s="1"/>
  <c r="C97" i="2"/>
  <c r="D97" i="2"/>
  <c r="E97" i="2"/>
  <c r="F97" i="2"/>
  <c r="G97" i="2"/>
  <c r="C98" i="2"/>
  <c r="D98" i="2"/>
  <c r="E98" i="2"/>
  <c r="G98" i="2"/>
  <c r="C99" i="2"/>
  <c r="H99" i="2" s="1"/>
  <c r="D99" i="2"/>
  <c r="E99" i="2"/>
  <c r="F99" i="2"/>
  <c r="C100" i="2"/>
  <c r="D100" i="2"/>
  <c r="E100" i="2"/>
  <c r="F100" i="2"/>
  <c r="C101" i="2"/>
  <c r="D101" i="2"/>
  <c r="E101" i="2"/>
  <c r="F101" i="2"/>
  <c r="C102" i="2"/>
  <c r="D102" i="2"/>
  <c r="E102" i="2"/>
  <c r="F102" i="2"/>
  <c r="E111" i="2"/>
  <c r="E112" i="2"/>
  <c r="D115" i="2"/>
  <c r="F115" i="2"/>
  <c r="G115" i="2"/>
  <c r="E120"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H653" i="1"/>
  <c r="G654" i="1"/>
  <c r="H654" i="1"/>
  <c r="H655" i="1"/>
  <c r="H656" i="1"/>
  <c r="I170" i="1"/>
  <c r="C32" i="10" l="1"/>
  <c r="J652" i="1"/>
  <c r="C120" i="2"/>
  <c r="H120" i="2" s="1"/>
  <c r="E13" i="13"/>
  <c r="C13" i="13" s="1"/>
  <c r="G651" i="1"/>
  <c r="C12" i="10"/>
  <c r="D15" i="13"/>
  <c r="C15" i="13" s="1"/>
  <c r="C125" i="2"/>
  <c r="H125" i="2" s="1"/>
  <c r="C119" i="2"/>
  <c r="C13" i="10"/>
  <c r="C112" i="2"/>
  <c r="H112" i="2" s="1"/>
  <c r="K36" i="14"/>
  <c r="K37" i="14" s="1"/>
  <c r="H135" i="2"/>
  <c r="D29" i="13"/>
  <c r="C29" i="13" s="1"/>
  <c r="G662" i="1"/>
  <c r="H61" i="2"/>
  <c r="K2" i="14"/>
  <c r="K3" i="14" s="1"/>
  <c r="D78" i="2"/>
  <c r="H77" i="2"/>
  <c r="H59" i="2"/>
  <c r="H47" i="2"/>
  <c r="G409" i="1"/>
  <c r="H646" i="1" s="1"/>
  <c r="H477" i="1"/>
  <c r="H625" i="1" s="1"/>
  <c r="J625" i="1" s="1"/>
  <c r="G477" i="1"/>
  <c r="H624" i="1" s="1"/>
  <c r="J624" i="1" s="1"/>
  <c r="H48" i="2"/>
  <c r="H23" i="2"/>
  <c r="H21" i="2"/>
  <c r="H13"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14" i="2"/>
  <c r="H123" i="2"/>
  <c r="H119" i="2"/>
  <c r="H81" i="2"/>
  <c r="F194" i="1"/>
  <c r="G628" i="1" s="1"/>
  <c r="J628" i="1" s="1"/>
  <c r="D128" i="2"/>
  <c r="D145" i="2" s="1"/>
  <c r="H127" i="2"/>
  <c r="H103" i="2"/>
  <c r="H91" i="2"/>
  <c r="H78" i="2"/>
  <c r="I662" i="1"/>
  <c r="H62" i="2"/>
  <c r="B33" i="16"/>
  <c r="G144" i="2"/>
  <c r="G145" i="2" s="1"/>
  <c r="H134"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104"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<sst xmlns="http://schemas.openxmlformats.org/spreadsheetml/2006/main" count="6651" uniqueCount="1853">
  <si>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</si>
  <si>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</si>
  <si>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</si>
  <si>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</si>
  <si>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</si>
  <si>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</si>
  <si>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</si>
  <si>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</si>
  <si>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</si>
  <si>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</si>
  <si>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</si>
  <si>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</si>
  <si>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</si>
  <si>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</si>
  <si>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</si>
  <si>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</si>
  <si>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</si>
  <si>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</si>
  <si>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</si>
  <si>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</si>
  <si>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</si>
  <si>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</si>
  <si>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</si>
  <si>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</si>
  <si>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</si>
  <si>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</si>
  <si>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</si>
  <si>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</si>
  <si>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</si>
  <si>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</si>
  <si>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</si>
  <si>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</si>
  <si>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</si>
  <si>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</si>
  <si>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</si>
  <si>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</si>
  <si>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</si>
  <si>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</si>
  <si>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</si>
  <si>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</si>
  <si>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</si>
  <si>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</si>
  <si>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</si>
  <si>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</si>
  <si>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</si>
  <si>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</si>
  <si>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</si>
  <si>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</si>
  <si>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</si>
  <si>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</si>
  <si>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</si>
  <si>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</si>
  <si>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</si>
  <si>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</si>
  <si>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</si>
  <si>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</si>
  <si>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</si>
  <si>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</si>
  <si>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</si>
  <si>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</si>
  <si>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</si>
  <si>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</si>
  <si>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</si>
  <si>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</si>
  <si>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</si>
  <si>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</si>
  <si>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</si>
  <si>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</si>
  <si>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</si>
  <si>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</si>
  <si>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</si>
  <si>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</si>
  <si>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</si>
  <si>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</si>
  <si>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</si>
  <si>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</si>
  <si>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</si>
  <si>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</si>
  <si>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</si>
  <si>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</si>
  <si>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</si>
  <si>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</si>
  <si>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</si>
  <si>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</si>
  <si>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</si>
  <si>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</si>
  <si>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</si>
  <si>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</si>
  <si>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</si>
  <si>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</si>
  <si>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</si>
  <si>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</si>
  <si>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</si>
  <si>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</si>
  <si>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</si>
  <si>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</si>
  <si>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</si>
  <si>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</si>
  <si>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</si>
  <si>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</si>
  <si>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</si>
  <si>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</si>
  <si>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</si>
  <si>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</si>
  <si>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</si>
  <si>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</si>
  <si>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</si>
  <si>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</si>
  <si>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</si>
  <si>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</si>
  <si>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</si>
  <si>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</si>
  <si>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</si>
  <si>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</si>
  <si>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</si>
  <si>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</si>
  <si>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</si>
  <si>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</si>
  <si>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</si>
  <si>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</si>
  <si>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</si>
  <si>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</si>
  <si>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</si>
  <si>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</si>
  <si>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</si>
  <si>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</si>
  <si>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</si>
  <si>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</si>
  <si>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</si>
  <si>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</si>
  <si>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</si>
  <si>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</si>
  <si>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</si>
  <si>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</si>
  <si>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</si>
  <si>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</si>
  <si>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</si>
  <si>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</si>
  <si>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</si>
  <si>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</si>
  <si>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</si>
  <si>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</si>
  <si>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</si>
  <si>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</si>
  <si>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</si>
  <si>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</si>
  <si>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</si>
  <si>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</si>
  <si>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</si>
  <si>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</si>
  <si>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</si>
  <si>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</si>
  <si>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</si>
  <si>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</si>
  <si>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</si>
  <si>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</si>
  <si>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</si>
  <si>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</si>
  <si>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</si>
  <si>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</si>
  <si>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</si>
  <si>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</si>
  <si>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</si>
  <si>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</si>
  <si>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</si>
  <si>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</si>
  <si>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</si>
  <si>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</si>
  <si>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</si>
  <si>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</si>
  <si>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</si>
  <si>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</si>
  <si>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</si>
  <si>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</si>
  <si>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</si>
  <si>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</si>
  <si>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</si>
  <si>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</si>
  <si>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</si>
  <si>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</si>
  <si>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</si>
  <si>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</si>
  <si>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</si>
  <si>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</si>
  <si>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</si>
  <si>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</si>
  <si>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</si>
  <si>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</si>
  <si>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</si>
  <si>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</si>
  <si>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</si>
  <si>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</si>
  <si>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</si>
  <si>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</si>
  <si>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</si>
  <si>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</si>
  <si>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</si>
  <si>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</si>
  <si>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</si>
  <si>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</si>
  <si>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</si>
  <si>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</si>
  <si>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</si>
  <si>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</si>
  <si>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</si>
  <si>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</si>
  <si>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</si>
  <si>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</si>
  <si>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</si>
  <si>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</si>
  <si>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</si>
  <si>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</si>
  <si>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</si>
  <si>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</si>
  <si>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</si>
  <si>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</si>
  <si>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</si>
  <si>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</si>
  <si>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</si>
  <si>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</si>
  <si>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</si>
  <si>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</si>
  <si>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</si>
  <si>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</si>
  <si>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</si>
  <si>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</si>
  <si>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</si>
  <si>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</si>
  <si>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</si>
  <si>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</si>
  <si>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</si>
  <si>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</si>
  <si>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</si>
  <si>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</si>
  <si>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</si>
  <si>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</si>
  <si>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</si>
  <si>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</si>
  <si>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</si>
  <si>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</si>
  <si>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</si>
  <si>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</si>
  <si>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</si>
  <si>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</si>
  <si>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</si>
  <si>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</si>
  <si>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</si>
  <si>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</si>
  <si>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</si>
  <si>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</si>
  <si>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</si>
  <si>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</si>
  <si>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</si>
  <si>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</si>
  <si>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</si>
  <si>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</si>
  <si>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</si>
  <si>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</si>
  <si>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</si>
  <si>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</si>
  <si>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</si>
  <si>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</si>
  <si>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</si>
  <si>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</si>
  <si>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</si>
  <si>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</si>
  <si>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</si>
  <si>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</si>
  <si>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</si>
  <si>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</si>
  <si>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</si>
  <si>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</si>
  <si>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</si>
  <si>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</si>
  <si>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</si>
  <si>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</si>
  <si>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</si>
  <si>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</si>
  <si>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</si>
  <si>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</si>
  <si>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</si>
  <si>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</si>
  <si>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</si>
  <si>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</si>
  <si>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</si>
  <si>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</si>
  <si>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</si>
  <si>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</si>
  <si>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</si>
  <si>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</si>
  <si>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</si>
  <si>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</si>
  <si>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</si>
  <si>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</si>
  <si>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</si>
  <si>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</si>
  <si>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</si>
  <si>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</si>
  <si>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</si>
  <si>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</si>
  <si>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</si>
  <si>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</si>
  <si>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</si>
  <si>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</si>
  <si>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</si>
  <si>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</si>
  <si>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</si>
  <si>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</si>
  <si>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</si>
  <si>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</si>
  <si>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</si>
  <si>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</si>
  <si>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</si>
  <si>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</si>
  <si>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</si>
  <si>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</si>
  <si>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</si>
  <si>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</si>
  <si>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</si>
  <si>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</si>
  <si>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</si>
  <si>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</si>
  <si>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</si>
  <si>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</si>
  <si>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</si>
  <si>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</si>
  <si>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</si>
  <si>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</si>
  <si>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</si>
  <si>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</si>
  <si>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</si>
  <si>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</si>
  <si>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</si>
  <si>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</si>
  <si>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</si>
  <si>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</si>
  <si>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</si>
  <si>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</si>
  <si>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</si>
  <si>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</si>
  <si>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</si>
  <si>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</si>
  <si>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</si>
  <si>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</si>
  <si>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</si>
  <si>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</si>
  <si>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</si>
  <si>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</si>
  <si>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</si>
  <si>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</si>
  <si>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</si>
  <si>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</si>
  <si>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</si>
  <si>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</si>
  <si>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</si>
  <si>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</si>
  <si>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</si>
  <si>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</si>
  <si>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</si>
  <si>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</si>
  <si>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</si>
  <si>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</si>
  <si>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</si>
  <si>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</si>
  <si>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</si>
  <si>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</si>
  <si>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</si>
  <si>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</si>
  <si>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</si>
  <si>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</si>
  <si>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</si>
  <si>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</si>
  <si>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</si>
  <si>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</si>
  <si>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</si>
  <si>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</si>
  <si>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</si>
  <si>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</si>
  <si>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</si>
  <si>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</si>
  <si>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</si>
  <si>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</si>
  <si>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</si>
  <si>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</si>
  <si>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</si>
  <si>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</si>
  <si>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</si>
  <si>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</si>
  <si>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</si>
  <si>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</si>
  <si>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</si>
  <si>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</si>
  <si>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</si>
  <si>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</si>
  <si>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</si>
  <si>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</si>
  <si>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</si>
  <si>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</si>
  <si>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</si>
  <si>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</si>
  <si>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</si>
  <si>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</si>
  <si>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</si>
  <si>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</si>
  <si>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</si>
  <si>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</si>
  <si>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</si>
  <si>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</si>
  <si>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</si>
  <si>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</si>
  <si>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</si>
  <si>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</si>
  <si>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</si>
  <si>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</si>
  <si>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</si>
  <si>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</si>
  <si>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</si>
  <si>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</si>
  <si>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</si>
  <si>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</si>
  <si>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</si>
  <si>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</si>
  <si>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</si>
  <si>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</si>
  <si>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</si>
  <si>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</si>
  <si>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</si>
  <si>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</si>
  <si>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</si>
  <si>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</si>
  <si>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</si>
  <si>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</si>
  <si>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</si>
  <si>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</si>
  <si>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</si>
  <si>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</si>
  <si>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</si>
  <si>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</si>
  <si>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</si>
  <si>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</si>
  <si>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</si>
  <si>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</si>
  <si>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</si>
  <si>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</si>
  <si>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</si>
  <si>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</si>
  <si>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</si>
  <si>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</si>
  <si>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</si>
  <si>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</si>
  <si>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</si>
  <si>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</si>
  <si>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</si>
  <si>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</si>
  <si>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</si>
  <si>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</si>
  <si>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</si>
  <si>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</si>
  <si>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</si>
  <si>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</si>
  <si>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</si>
  <si>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</si>
  <si>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</si>
  <si>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</si>
  <si>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</si>
  <si>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</si>
  <si>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</si>
  <si>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</si>
  <si>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</si>
  <si>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</si>
  <si>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</si>
  <si>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</si>
  <si>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</si>
  <si>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</si>
  <si>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</si>
  <si>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</si>
  <si>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</si>
  <si>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</si>
  <si>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</si>
  <si>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</si>
  <si>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</si>
  <si>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</si>
  <si>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</si>
  <si>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</si>
  <si>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</si>
  <si>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</si>
  <si>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</si>
  <si>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</si>
  <si>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</si>
  <si>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</si>
  <si>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</si>
  <si>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</si>
  <si>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</si>
  <si>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</si>
  <si>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</si>
  <si>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</si>
  <si>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</si>
  <si>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</si>
  <si>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</si>
  <si>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</si>
  <si>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</si>
  <si>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</si>
  <si>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</si>
  <si>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</si>
  <si>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</si>
  <si>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</si>
  <si>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</si>
  <si>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</si>
  <si>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</si>
  <si>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</si>
  <si>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</si>
  <si>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</si>
  <si>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</si>
  <si>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</si>
  <si>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</si>
  <si>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</si>
  <si>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</si>
  <si>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</si>
  <si>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</si>
  <si>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</si>
  <si>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</si>
  <si>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</si>
  <si>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</si>
  <si>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</si>
  <si>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</si>
  <si>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</si>
  <si>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</si>
  <si>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</si>
  <si>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</si>
  <si>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</si>
  <si>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</si>
  <si>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</si>
  <si>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</si>
  <si>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</si>
  <si>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</si>
  <si>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</si>
  <si>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</si>
  <si>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</si>
  <si>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</si>
  <si>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</si>
  <si>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</si>
  <si>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</si>
  <si>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</si>
  <si>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</si>
  <si>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</si>
  <si>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</si>
  <si>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</si>
  <si>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</si>
  <si>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</si>
  <si>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</si>
  <si>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</si>
  <si>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</si>
  <si>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</si>
  <si>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</si>
  <si>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</si>
  <si>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</si>
  <si>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</si>
  <si>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</si>
  <si>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</si>
  <si>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</si>
  <si>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</si>
  <si>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</si>
  <si>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</si>
  <si>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</si>
  <si>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</si>
  <si>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</si>
  <si>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</si>
  <si>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</si>
  <si>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</si>
  <si>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</si>
  <si>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</si>
  <si>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</si>
  <si>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</si>
  <si>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</si>
  <si>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</si>
  <si>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</si>
  <si>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</si>
  <si>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</si>
  <si>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</si>
  <si>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</si>
  <si>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</si>
  <si>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</si>
  <si>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</si>
  <si>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</si>
  <si>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</si>
  <si>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</si>
  <si>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</si>
  <si>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</si>
  <si>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</si>
  <si>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</si>
  <si>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</si>
  <si>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</si>
  <si>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</si>
  <si>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</si>
  <si>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</si>
  <si>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</si>
  <si>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</si>
  <si>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</si>
  <si>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</si>
  <si>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</si>
  <si>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</si>
  <si>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</si>
  <si>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</si>
  <si>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</si>
  <si>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</si>
  <si>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</si>
  <si>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</si>
  <si>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</si>
  <si>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</si>
  <si>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</si>
  <si>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</si>
  <si>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</si>
  <si>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</si>
  <si>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</si>
  <si>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</si>
  <si>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</si>
  <si>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</si>
  <si>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</si>
  <si>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</si>
  <si>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</si>
  <si>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</si>
  <si>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</si>
  <si>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</si>
  <si>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</si>
  <si>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</si>
  <si>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</si>
  <si>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</si>
  <si>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</si>
  <si>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</si>
  <si>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</si>
  <si>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</si>
  <si>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</si>
  <si>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</si>
  <si>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</si>
  <si>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</si>
  <si>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</si>
  <si>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</si>
  <si>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</si>
  <si>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</si>
  <si>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</si>
  <si>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</si>
  <si>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</si>
  <si>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</si>
  <si>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</si>
  <si>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</si>
  <si>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</si>
  <si>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</si>
  <si>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</si>
  <si>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</si>
  <si>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</si>
  <si>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</si>
  <si>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</si>
  <si>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</si>
  <si>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</si>
  <si>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</si>
  <si>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</si>
  <si>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</si>
  <si>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</si>
  <si>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</si>
  <si>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</si>
  <si>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</si>
  <si>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</si>
  <si>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</si>
  <si>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</si>
  <si>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</si>
  <si>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</si>
  <si>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</si>
  <si>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</si>
  <si>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</si>
  <si>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</si>
  <si>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</si>
  <si>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</si>
  <si>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</si>
  <si>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</si>
  <si>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</si>
  <si>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</si>
  <si>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</si>
  <si>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</si>
  <si>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</si>
  <si>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</si>
  <si>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</si>
  <si>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</si>
  <si>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</si>
  <si>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</si>
  <si>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</si>
  <si>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</si>
  <si>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</si>
  <si>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</si>
  <si>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</si>
  <si>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</si>
  <si>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</si>
  <si>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</si>
  <si>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</si>
  <si>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</si>
  <si>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</si>
  <si>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</si>
  <si>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</si>
  <si>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</si>
  <si>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</si>
  <si>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</si>
  <si>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</si>
  <si>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</si>
  <si>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</si>
  <si>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</si>
  <si>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</si>
  <si>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</si>
  <si>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</si>
  <si>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</si>
  <si>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</si>
  <si>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</si>
  <si>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</si>
  <si>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</si>
  <si>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</si>
  <si>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</si>
  <si>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</si>
  <si>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</si>
  <si>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</si>
  <si>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</si>
  <si>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</si>
  <si>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</si>
  <si>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</si>
  <si>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</si>
  <si>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</si>
  <si>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</si>
  <si>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</si>
  <si>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</si>
  <si>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</si>
  <si>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</si>
  <si>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</si>
  <si>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</si>
  <si>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</si>
  <si>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</si>
  <si>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</si>
  <si>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</si>
  <si>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</si>
  <si>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</si>
  <si>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</si>
  <si>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</si>
  <si>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</si>
  <si>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</si>
  <si>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</si>
  <si>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</si>
  <si>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</si>
  <si>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</si>
  <si>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</si>
  <si>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</si>
  <si>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</si>
  <si>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</si>
  <si>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</si>
  <si>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</si>
  <si>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</si>
  <si>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</si>
  <si>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</si>
  <si>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</si>
  <si>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</si>
  <si>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</si>
  <si>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</si>
  <si>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</si>
  <si>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</si>
  <si>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</si>
  <si>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</si>
  <si>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</si>
  <si>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</si>
  <si>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</si>
  <si>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</si>
  <si>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</si>
  <si>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</si>
  <si>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</si>
  <si>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</si>
  <si>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</si>
  <si>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</si>
  <si>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</si>
  <si>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</si>
  <si>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</si>
  <si>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</si>
  <si>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</si>
  <si>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</si>
  <si>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</si>
  <si>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</si>
  <si>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</si>
  <si>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</si>
  <si>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</si>
  <si>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</si>
  <si>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</si>
  <si>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</si>
  <si>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</si>
  <si>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</si>
  <si>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</si>
  <si>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</si>
  <si>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</si>
  <si>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</si>
  <si>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</si>
  <si>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</si>
  <si>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</si>
  <si>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</si>
  <si>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</si>
  <si>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</si>
  <si>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</si>
  <si>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</si>
  <si>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</si>
  <si>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</si>
  <si>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</si>
  <si>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</si>
  <si>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</si>
  <si>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</si>
  <si>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</si>
  <si>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</si>
  <si>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</si>
  <si>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</si>
  <si>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</si>
  <si>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</si>
  <si>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</si>
  <si>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</si>
  <si>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</si>
  <si>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</si>
  <si>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</si>
  <si>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</si>
  <si>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</si>
  <si>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</si>
  <si>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</si>
  <si>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</si>
  <si>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</si>
  <si>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</si>
  <si>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</si>
  <si>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</si>
  <si>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</si>
  <si>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</si>
  <si>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</si>
  <si>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</si>
  <si>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</si>
  <si>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</si>
  <si>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</si>
  <si>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</si>
  <si>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</si>
  <si>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</si>
  <si>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</si>
  <si>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</si>
  <si>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</si>
  <si>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</si>
  <si>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</si>
  <si>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</si>
  <si>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</si>
  <si>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</si>
  <si>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</si>
  <si>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</si>
  <si>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</si>
  <si>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</si>
  <si>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</si>
  <si>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</si>
  <si>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</si>
  <si>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</si>
  <si>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</si>
  <si>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</si>
  <si>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</si>
  <si>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</si>
  <si>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</si>
  <si>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</si>
  <si>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</si>
  <si>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</si>
  <si>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</si>
  <si>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</si>
  <si>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</si>
  <si>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</si>
  <si>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</si>
  <si>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</si>
  <si>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</si>
  <si>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</si>
  <si>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</si>
  <si>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</si>
  <si>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</si>
  <si>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</si>
  <si>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</si>
  <si>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</si>
  <si>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</si>
  <si>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</si>
  <si>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</si>
  <si>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</si>
  <si>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</si>
  <si>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</si>
  <si>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</si>
  <si>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</si>
  <si>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</si>
  <si>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</si>
  <si>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</si>
  <si>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</si>
  <si>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</si>
  <si>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</si>
  <si>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</si>
  <si>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</si>
  <si>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</si>
  <si>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</si>
  <si>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</si>
  <si>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</si>
  <si>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</si>
  <si>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</si>
  <si>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</si>
  <si>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</si>
  <si>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</si>
  <si>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</si>
  <si>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</si>
  <si>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</si>
  <si>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</si>
  <si>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</si>
  <si>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</si>
  <si>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</si>
  <si>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</si>
  <si>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</si>
  <si>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</si>
  <si>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</si>
  <si>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</si>
  <si>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</si>
  <si>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</si>
  <si>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</si>
  <si>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</si>
  <si>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</si>
  <si>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</si>
  <si>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</si>
  <si>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</si>
  <si>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</si>
  <si>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</si>
  <si>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</si>
  <si>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</si>
  <si>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</si>
  <si>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</si>
  <si>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</si>
  <si>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</si>
  <si>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</si>
  <si>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</si>
  <si>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</si>
  <si>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</si>
  <si>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</si>
  <si>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</si>
  <si>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</si>
  <si>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</si>
  <si>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</si>
  <si>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</si>
  <si>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</si>
  <si>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</si>
  <si>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</si>
  <si>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</si>
  <si>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</si>
  <si>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</si>
  <si>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</si>
  <si>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</si>
  <si>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</si>
  <si>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</si>
  <si>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</si>
  <si>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</si>
  <si>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</si>
  <si>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</si>
  <si>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</si>
  <si>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</si>
  <si>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</si>
  <si>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</si>
  <si>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</si>
  <si>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</si>
  <si>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</si>
  <si>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</si>
  <si>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</si>
  <si>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</si>
  <si>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</si>
  <si>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</si>
  <si>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</si>
  <si>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</si>
  <si>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</si>
  <si>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</si>
  <si>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</si>
  <si>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</si>
  <si>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</si>
  <si>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</si>
  <si>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</si>
  <si>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</si>
  <si>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</si>
  <si>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</si>
  <si>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</si>
  <si>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</si>
  <si>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</si>
  <si>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</si>
  <si>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</si>
  <si>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</si>
  <si>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</si>
  <si>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</si>
  <si>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</si>
  <si>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</si>
  <si>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</si>
  <si>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</si>
  <si>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</si>
  <si>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</si>
  <si>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</si>
  <si>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</si>
  <si>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</si>
  <si>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</si>
  <si>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</si>
  <si>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</si>
  <si>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</si>
  <si>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</si>
  <si>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</si>
  <si>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</si>
  <si>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</si>
  <si>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</si>
  <si>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</si>
  <si>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</si>
  <si>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</si>
  <si>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</si>
  <si>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</si>
  <si>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</si>
  <si>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</si>
  <si>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</si>
  <si>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</si>
  <si>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</si>
  <si>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</si>
  <si>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</si>
  <si>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</si>
  <si>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</si>
  <si>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</si>
  <si>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</si>
  <si>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</si>
  <si>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</si>
  <si>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</si>
  <si>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</si>
  <si>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</si>
  <si>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</si>
  <si>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</si>
  <si>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</si>
  <si>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</si>
  <si>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</si>
  <si>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</si>
  <si>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</si>
  <si>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</si>
  <si>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</si>
  <si>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</si>
  <si>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</si>
  <si>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</si>
  <si>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</si>
  <si>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</si>
  <si>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</si>
  <si>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</si>
  <si>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</si>
  <si>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</si>
  <si>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</si>
  <si>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</si>
  <si>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</si>
  <si>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</si>
  <si>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</si>
  <si>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</si>
  <si>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</si>
  <si>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</si>
  <si>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</si>
  <si>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</si>
  <si>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</si>
  <si>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</si>
  <si>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</si>
  <si>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</si>
  <si>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</si>
  <si>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</si>
  <si>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</si>
  <si>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</si>
  <si>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</si>
  <si>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</si>
  <si>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</si>
  <si>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</si>
  <si>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</si>
  <si>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</si>
  <si>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</si>
  <si>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</si>
  <si>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</si>
  <si>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</si>
  <si>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</si>
  <si>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</si>
  <si>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</si>
  <si>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</si>
  <si>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</si>
  <si>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</si>
  <si>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</si>
  <si>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</si>
  <si>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</si>
  <si>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</si>
  <si>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</si>
  <si>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</si>
  <si>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</si>
  <si>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</si>
  <si>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</si>
  <si>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</si>
  <si>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</si>
  <si>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</si>
  <si>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</si>
  <si>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</si>
  <si>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</si>
  <si>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</si>
  <si>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</si>
  <si>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</si>
  <si>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</si>
  <si>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</si>
  <si>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</si>
  <si>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</si>
  <si>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</si>
  <si>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</si>
  <si>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</si>
  <si>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</si>
  <si>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</si>
  <si>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</si>
  <si>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</si>
  <si>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</si>
  <si>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</si>
  <si>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</si>
  <si>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</si>
  <si>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</si>
  <si>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</si>
  <si>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</si>
  <si>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</si>
  <si>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</si>
  <si>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</si>
  <si>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</si>
  <si>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</si>
  <si>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</si>
  <si>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</si>
  <si>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</si>
  <si>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</si>
  <si>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</si>
  <si>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</si>
  <si>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</si>
  <si>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</si>
  <si>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</si>
  <si>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</si>
  <si>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</si>
  <si>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</si>
  <si>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</si>
  <si>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</si>
  <si>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</si>
  <si>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</si>
  <si>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</si>
  <si>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</si>
  <si>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</si>
  <si>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</si>
  <si>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</si>
  <si>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</si>
  <si>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</si>
  <si>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</si>
  <si>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</si>
  <si>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</si>
  <si>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</si>
  <si>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</si>
  <si>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</si>
  <si>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</si>
  <si>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</si>
  <si>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</si>
  <si>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</si>
  <si>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</si>
  <si>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</si>
  <si>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</si>
  <si>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</si>
  <si>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</si>
  <si>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</si>
  <si>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</si>
  <si>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</si>
  <si>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</si>
  <si>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</si>
  <si>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</si>
  <si>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</si>
  <si>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</si>
  <si>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</si>
  <si>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</si>
  <si>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</si>
  <si>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</si>
  <si>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</si>
  <si>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</si>
  <si>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</si>
  <si>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</si>
  <si>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</si>
  <si>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</si>
  <si>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</si>
  <si>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</si>
  <si>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</si>
  <si>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</si>
  <si>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</si>
  <si>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</si>
  <si>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</si>
  <si>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</si>
  <si>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</si>
  <si>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</si>
  <si>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</si>
  <si>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</si>
  <si>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</si>
  <si>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</si>
  <si>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</si>
  <si>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</si>
  <si>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</si>
  <si>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</si>
  <si>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</si>
  <si>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</si>
  <si>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</si>
  <si>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</si>
  <si>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</si>
  <si>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</si>
  <si>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</si>
  <si>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</si>
  <si>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</si>
  <si>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</si>
  <si>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</si>
  <si>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</si>
  <si>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</si>
  <si>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</si>
  <si>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</si>
  <si>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</si>
  <si>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</si>
  <si>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</si>
  <si>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</si>
  <si>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</si>
  <si>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</si>
  <si>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</si>
  <si>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</si>
  <si>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</si>
  <si>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</si>
  <si>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</si>
  <si>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</si>
  <si>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</si>
  <si>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</si>
  <si>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</si>
  <si>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</si>
  <si>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</si>
  <si>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</si>
  <si>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</si>
  <si>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</si>
  <si>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</si>
  <si>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</si>
  <si>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</si>
  <si>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</si>
  <si>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</si>
  <si>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</si>
  <si>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</si>
  <si>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</si>
  <si>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</si>
  <si>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</si>
  <si>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</si>
  <si>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</si>
  <si>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</si>
  <si>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</si>
  <si>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</si>
  <si>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</si>
  <si>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</si>
  <si>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</si>
  <si>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</si>
  <si>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</si>
  <si>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</si>
  <si>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</si>
  <si>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</si>
  <si>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</si>
  <si>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</si>
  <si>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</si>
  <si>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</si>
  <si>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</si>
  <si>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</si>
  <si>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</si>
  <si>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</si>
  <si>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</si>
  <si>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</si>
  <si>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</si>
  <si>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</si>
  <si>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</si>
  <si>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</si>
  <si>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</si>
  <si>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</si>
  <si>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</si>
  <si>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</si>
  <si>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</si>
  <si>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</si>
  <si>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</si>
  <si>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</si>
  <si>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</si>
  <si>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</si>
  <si>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</si>
  <si>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</si>
  <si>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</si>
  <si>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</si>
  <si>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</si>
  <si>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</si>
  <si>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</si>
  <si>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</si>
  <si>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</si>
  <si>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</si>
  <si>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</si>
  <si>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</si>
  <si>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</si>
  <si>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</si>
  <si>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</si>
  <si>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</si>
  <si>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</si>
  <si>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</si>
  <si>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</si>
  <si>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</si>
  <si>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</si>
  <si>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</si>
  <si>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</si>
  <si>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</si>
  <si>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</si>
  <si>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</si>
  <si>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</si>
  <si>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</si>
  <si>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</si>
  <si>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</si>
  <si>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</si>
  <si>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</si>
  <si>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</si>
  <si>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</si>
  <si>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</si>
  <si>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</si>
  <si>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</si>
  <si>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</si>
  <si>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</si>
  <si>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</si>
  <si>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</si>
  <si>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</si>
  <si>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</si>
  <si>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</si>
  <si>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</si>
  <si>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</si>
  <si>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</si>
  <si>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</si>
  <si>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</si>
  <si>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</si>
  <si>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</si>
  <si>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</si>
  <si>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</si>
  <si>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</si>
  <si>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</si>
  <si>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</si>
  <si>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</si>
  <si>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</si>
  <si>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</si>
  <si>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</si>
  <si>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</si>
  <si>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</si>
  <si>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</si>
  <si>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</si>
  <si>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</si>
  <si>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</si>
  <si>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</si>
  <si>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</si>
  <si>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</si>
  <si>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</si>
  <si>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</si>
  <si>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</si>
  <si>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</si>
  <si>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</si>
  <si>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</si>
  <si>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</si>
  <si>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</si>
  <si>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</si>
  <si>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</si>
  <si>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</si>
  <si>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</si>
  <si>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</si>
  <si>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</si>
  <si>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</si>
  <si>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</si>
  <si>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</si>
  <si>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</si>
  <si>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</si>
  <si>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</si>
  <si>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</si>
  <si>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</si>
  <si>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</si>
  <si>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</si>
  <si>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</si>
  <si>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</si>
  <si>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</si>
  <si>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</si>
  <si>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</si>
  <si>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</si>
  <si>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</si>
  <si>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</si>
  <si>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</si>
  <si>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</si>
  <si>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</si>
  <si>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</si>
  <si>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</si>
  <si>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</si>
  <si>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</si>
  <si>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</si>
  <si>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</si>
  <si>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</si>
  <si>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</si>
  <si>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</si>
  <si>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</si>
  <si>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</si>
  <si>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</si>
  <si>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</si>
  <si>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</si>
  <si>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</si>
  <si>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</si>
  <si>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</si>
  <si>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</si>
  <si>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</si>
  <si>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</si>
  <si>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</si>
  <si>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</si>
  <si>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</si>
  <si>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</si>
  <si>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</si>
  <si>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</si>
  <si>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</si>
  <si>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</si>
  <si>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</si>
  <si>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</si>
  <si>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</si>
  <si>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</si>
  <si>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</si>
  <si>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</si>
  <si>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</si>
  <si>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</si>
  <si>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</si>
  <si>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</si>
  <si>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</si>
  <si>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</si>
  <si>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</si>
  <si>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</si>
  <si>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</si>
  <si>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</si>
  <si>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</si>
  <si>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</si>
  <si>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</si>
  <si>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</si>
  <si>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</si>
  <si>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</si>
  <si>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</si>
  <si>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</si>
  <si>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</si>
  <si>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</si>
  <si>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</si>
  <si>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</si>
  <si>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</si>
  <si>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</si>
  <si>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</si>
  <si>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</si>
  <si>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</si>
  <si>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</si>
  <si>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</si>
  <si>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</si>
  <si>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</si>
  <si>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</si>
  <si>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</si>
  <si>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</si>
  <si>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</si>
  <si>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</si>
  <si>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</si>
  <si>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</si>
  <si>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</si>
  <si>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</si>
  <si>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</si>
  <si>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</si>
  <si>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</si>
  <si>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</si>
  <si>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</si>
  <si>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</si>
  <si>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</si>
  <si>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</si>
  <si>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</si>
  <si>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</si>
  <si>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</si>
  <si>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</si>
  <si>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</si>
  <si>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</si>
  <si>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</si>
  <si>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</si>
  <si>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</si>
  <si>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</si>
  <si>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</si>
  <si>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</si>
  <si>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</si>
  <si>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</si>
  <si>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</si>
  <si>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</si>
  <si>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</si>
  <si>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</si>
  <si>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</si>
  <si>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</si>
  <si>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</si>
  <si>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</si>
  <si>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</si>
  <si>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</si>
  <si>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</si>
  <si>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</si>
  <si>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</si>
  <si>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</si>
  <si>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</si>
  <si>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</si>
  <si>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</si>
  <si>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</si>
  <si>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</si>
  <si>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</si>
  <si>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</si>
  <si>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</si>
  <si>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</si>
  <si>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</si>
  <si>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</si>
  <si>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</si>
  <si>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</si>
  <si>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</si>
  <si>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</si>
  <si>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</si>
  <si>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</si>
  <si>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</si>
  <si>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</si>
  <si>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</si>
  <si>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</si>
  <si>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</si>
  <si>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</si>
  <si>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</si>
  <si>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</si>
  <si>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</si>
  <si>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</si>
  <si>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</si>
  <si>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</si>
  <si>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</si>
  <si>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</si>
  <si>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</si>
  <si>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</si>
  <si>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</si>
  <si>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</si>
  <si>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</si>
  <si>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</si>
  <si>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</si>
  <si>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</si>
  <si>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</si>
  <si>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</si>
  <si>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</si>
  <si>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</si>
  <si>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</si>
  <si>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</si>
  <si>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</si>
  <si>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</si>
  <si>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</si>
  <si>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</si>
  <si>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</si>
  <si>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</si>
  <si>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</si>
  <si>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</si>
  <si>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</si>
  <si>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</si>
  <si>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</si>
  <si>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</si>
  <si>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</si>
  <si>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</si>
  <si>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</si>
  <si>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</si>
  <si>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</si>
  <si>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</si>
  <si>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</si>
  <si>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</si>
  <si>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</si>
  <si>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</si>
  <si>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</si>
  <si>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</si>
  <si>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</si>
  <si>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</si>
  <si>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</si>
  <si>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</si>
  <si>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</si>
  <si>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</si>
  <si>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</si>
  <si>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</si>
  <si>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</si>
  <si>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</si>
  <si>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</si>
  <si>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</si>
  <si>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</si>
  <si>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</si>
  <si>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</si>
  <si>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</si>
  <si>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</si>
  <si>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</si>
  <si>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</si>
  <si>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</si>
  <si>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</si>
  <si>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</si>
  <si>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</si>
  <si>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</si>
  <si>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</si>
  <si>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</si>
  <si>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</si>
  <si>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</si>
  <si>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</si>
  <si>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</si>
  <si>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</si>
  <si>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</si>
  <si>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</si>
  <si>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</si>
  <si>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</si>
  <si>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</si>
  <si>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</si>
  <si>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</si>
  <si>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</si>
  <si>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</si>
  <si>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</si>
  <si>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</si>
  <si>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</si>
  <si>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</si>
  <si>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</si>
  <si>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</si>
  <si>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</si>
  <si>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</si>
  <si>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</si>
  <si>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</si>
  <si>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</si>
  <si>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</si>
  <si>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</si>
  <si>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</si>
  <si>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</si>
  <si>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</si>
  <si>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</si>
  <si>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</si>
  <si>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</si>
  <si>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</si>
  <si>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</si>
  <si>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</si>
  <si>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</si>
  <si>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</si>
  <si>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</si>
  <si>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</si>
  <si>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</si>
  <si>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</si>
  <si>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</si>
  <si>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</si>
  <si>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</si>
  <si>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</si>
  <si>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</si>
  <si>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</si>
  <si>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</si>
  <si>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</si>
  <si>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</si>
  <si>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</si>
  <si>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</si>
  <si>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</si>
  <si>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</si>
  <si>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</si>
  <si>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</si>
  <si>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</si>
  <si>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</si>
  <si>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</si>
  <si>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</si>
  <si>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</si>
  <si>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</si>
  <si>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</si>
  <si>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</si>
  <si>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</si>
  <si>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</si>
  <si>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</si>
  <si>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</si>
  <si>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</si>
  <si>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</si>
  <si>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</si>
  <si>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</si>
  <si>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</si>
  <si>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</si>
  <si>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</si>
  <si>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</si>
  <si>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</si>
  <si>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</si>
  <si>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</si>
  <si>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</si>
  <si>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</si>
  <si>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</si>
  <si>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</si>
  <si>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</si>
  <si>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</si>
  <si>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</si>
  <si>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</si>
  <si>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</si>
  <si>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</si>
  <si>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</si>
  <si>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</si>
  <si>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</si>
  <si>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</si>
  <si>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</si>
  <si>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</si>
  <si>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</si>
  <si>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</si>
  <si>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</si>
  <si>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</si>
  <si>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</si>
  <si>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</si>
  <si>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</si>
  <si>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</si>
  <si>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</si>
  <si>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</si>
  <si>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</si>
  <si>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</si>
  <si>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</si>
  <si>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</si>
  <si>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</si>
  <si>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</si>
  <si>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</si>
  <si>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</si>
  <si>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</si>
  <si>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</si>
  <si>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</si>
  <si>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</si>
  <si>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</si>
  <si>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</si>
  <si>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</si>
  <si>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</si>
  <si>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</si>
  <si>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</si>
  <si>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</si>
  <si>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</si>
  <si>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</si>
  <si>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</si>
  <si>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</si>
  <si>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</si>
  <si>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</si>
  <si>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</si>
  <si>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</si>
  <si>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</si>
  <si>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</si>
  <si>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</si>
  <si>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</si>
  <si>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</si>
  <si>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</si>
  <si>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</si>
  <si>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</si>
  <si>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</si>
  <si>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</si>
  <si>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</si>
  <si>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</si>
  <si>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</si>
  <si>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</si>
  <si>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</si>
  <si>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</si>
  <si>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</si>
  <si>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</si>
  <si>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</si>
  <si>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</si>
  <si>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</si>
  <si>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</si>
  <si>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</si>
  <si>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</si>
  <si>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</si>
  <si>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</si>
  <si>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</si>
  <si>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</si>
  <si>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</si>
  <si>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</si>
  <si>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</si>
  <si>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</si>
  <si>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</si>
  <si>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</si>
  <si>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</si>
  <si>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</si>
  <si>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</si>
  <si>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</si>
  <si>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</si>
  <si>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</si>
  <si>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</si>
  <si>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</si>
  <si>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</si>
  <si>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</si>
  <si>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</si>
  <si>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</si>
  <si>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</si>
  <si>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</si>
  <si>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</si>
  <si>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</si>
  <si>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</si>
  <si>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</si>
  <si>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</si>
  <si>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</si>
  <si>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</si>
  <si>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</si>
  <si>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</si>
  <si>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</si>
  <si>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</si>
  <si>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</si>
  <si>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</si>
  <si>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</si>
  <si>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</si>
  <si>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</si>
  <si>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</si>
  <si>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</si>
  <si>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</si>
  <si>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</si>
  <si>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</si>
  <si>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</si>
  <si>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</si>
  <si>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</si>
  <si>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</si>
  <si>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</si>
  <si>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</si>
  <si>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</si>
  <si>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</si>
  <si>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</si>
  <si>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</si>
  <si>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</si>
  <si>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</si>
  <si>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</si>
  <si>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</si>
  <si>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</si>
  <si>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</si>
  <si>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</si>
  <si>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</si>
  <si>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</si>
  <si>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</si>
  <si>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</si>
  <si>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</si>
  <si>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</si>
  <si>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</si>
  <si>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</si>
  <si>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</si>
  <si>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</si>
  <si>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</si>
  <si>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</si>
  <si>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</si>
  <si>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</si>
  <si>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</si>
  <si>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</si>
  <si>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</si>
  <si>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</si>
  <si>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</si>
  <si>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</si>
  <si>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</si>
  <si>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</si>
  <si>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</si>
  <si>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</si>
  <si>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</si>
  <si>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</si>
  <si>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</si>
  <si>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</si>
  <si>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</si>
  <si>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</si>
  <si>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</si>
  <si>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</si>
  <si>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</si>
  <si>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</si>
  <si>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</si>
  <si>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</si>
  <si>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</si>
  <si>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</si>
  <si>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</si>
  <si>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</si>
  <si>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</si>
  <si>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</si>
  <si>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</si>
  <si>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05/2017</t>
  </si>
  <si>
    <t>07/2028</t>
  </si>
  <si>
    <t>05/14</t>
  </si>
  <si>
    <t>08/25</t>
  </si>
  <si>
    <t xml:space="preserve"> 07/14</t>
  </si>
  <si>
    <t xml:space="preserve"> 07/24</t>
  </si>
  <si>
    <t xml:space="preserve"> 01/24</t>
  </si>
  <si>
    <t xml:space="preserve"> 02/39</t>
  </si>
  <si>
    <t>Board will sign on 9/3/24 and only change may be the voted Retained Fund number.</t>
  </si>
  <si>
    <t>Board voted to have Retained Fund of $1,775,000 at 9/3/24 Meeting</t>
  </si>
  <si>
    <t>Indirect Cost Sheet I previously did not report the NO for calculations</t>
  </si>
  <si>
    <t>School Level Expenditures completed in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</si>
</sst>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1184</v>
      </c>
      <c r="B2">
        <f>INDEX('School Tables'!$AH$3:$AH$213,MATCH('DOE25'!A2,'School Tables'!$AJ$3:$AJ$213,0))</f>
        <v>319</v>
      </c>
      <c r="C2">
        <f>INDEX('School Tables'!$AI$3:$AI$213,MATCH('DOE25'!A2,'School Tables'!$AJ$3:$AJ$213,0))</f>
        <v>319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6829918.86+3300-392622.63-2342788.16</f>
        <v>4097808.0700000003</v>
      </c>
      <c r="G9" s="18">
        <v>5900</v>
      </c>
      <c r="H9" s="18"/>
      <c r="I9" s="18">
        <v>4263276.5</v>
      </c>
      <c r="J9" s="13">
        <f>SUM(I440)</f>
        <v>837787.54</v>
      </c>
      <c r="K9" s="23" t="s">
        <v>288</v>
      </c>
      <c r="L9" s="23" t="s">
        <v>288</v>
      </c>
      <c r="M9" s="8"/>
      <c r="N9" s="164"/>
    </row>
    <row r="10" spans="1:14" s="3" customFormat="1" ht="12.2" customHeight="1" x14ac:dyDescent="0.15">
      <c r="A10" s="1" t="s">
        <v>562</v>
      </c>
      <c r="B10" s="2" t="s">
        <v>289</v>
      </c>
      <c r="C10" s="6">
        <v>2</v>
      </c>
      <c r="D10" s="2" t="s">
        <v>428</v>
      </c>
      <c r="E10" s="6">
        <v>110</v>
      </c>
      <c r="F10" s="18">
        <f>392622.63+2342788.16</f>
        <v>2735410.79</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5125493.84</v>
      </c>
      <c r="G12" s="18">
        <v>2508014.2400000002</v>
      </c>
      <c r="H12" s="18">
        <v>2297068.13</v>
      </c>
      <c r="I12" s="18">
        <v>857167.09</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65743.05</v>
      </c>
      <c r="H13" s="18">
        <v>363683.78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4368.22</v>
      </c>
      <c r="G14" s="18">
        <v>58254.07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40936.85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20491.98+2429</f>
        <v>22920.98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11986001.9</v>
      </c>
      <c r="G19" s="38">
        <f>SUM(G9:G18)</f>
        <v>2678848.21</v>
      </c>
      <c r="H19" s="38">
        <f>SUM(H9:H18)</f>
        <v>2660751.91</v>
      </c>
      <c r="I19" s="38">
        <f>SUM(I9:I18)</f>
        <v>5120443.59</v>
      </c>
      <c r="J19" s="38">
        <f>SUM(J9:J18)</f>
        <v>837787.54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5387024.1900000004</v>
      </c>
      <c r="G22" s="18">
        <v>1906927.07</v>
      </c>
      <c r="H22" s="18">
        <v>2565091.98</v>
      </c>
      <c r="I22" s="18">
        <v>928700.06</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2831024.2</v>
      </c>
      <c r="G24" s="18">
        <f>458.42+60886.11</f>
        <v>61344.53</v>
      </c>
      <c r="H24" s="18">
        <v>16719.5</v>
      </c>
      <c r="I24" s="18">
        <f>933848.1+193567.18</f>
        <v>1127415.28</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665349.1</v>
      </c>
      <c r="G28" s="18">
        <v>14493.7</v>
      </c>
      <c r="H28" s="18">
        <v>55104.08</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21388.58+164601.54+8728.04+61.12+2651.66+6010+11277.91</f>
        <v>214718.85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35308</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9133424.3399999999</v>
      </c>
      <c r="G32" s="38">
        <f>SUM(G22:G31)</f>
        <v>1982765.3</v>
      </c>
      <c r="H32" s="38">
        <f>SUM(H22:H31)</f>
        <v>2636915.56</v>
      </c>
      <c r="I32" s="38">
        <f>SUM(I22:I31)</f>
        <v>2056115.34</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40936.85</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f>20491.98+2429</f>
        <v>22920.98</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696082.91-40936.85</f>
        <v>655146.06000000006</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3064328.25</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v>23836.35</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370000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1375000+400000</f>
        <v>1775000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837787.54</v>
      </c>
      <c r="K48" s="23" t="s">
        <v>288</v>
      </c>
      <c r="L48" s="23" t="s">
        <v>288</v>
      </c>
      <c r="M48" s="8"/>
      <c r="N48" s="164"/>
    </row>
    <row r="49" spans="1:14" s="3" customFormat="1" ht="12.2" customHeight="1" x14ac:dyDescent="0.15">
      <c r="A49" s="1" t="s">
        <v>855</v>
      </c>
      <c r="B49" s="2" t="s">
        <v>289</v>
      </c>
      <c r="C49" s="6">
        <v>34</v>
      </c>
      <c r="D49" s="2"/>
      <c r="E49" s="6">
        <v>753</v>
      </c>
      <c r="F49" s="18">
        <v>229849.47</v>
      </c>
      <c r="G49" s="18"/>
      <c r="H49" s="18"/>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2229807.11-1375000-400000</f>
        <v>454807.10999999987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2852577.56</v>
      </c>
      <c r="G51" s="38">
        <f>SUM(G35:G50)</f>
        <v>696082.91</v>
      </c>
      <c r="H51" s="38">
        <f>SUM(H35:H50)</f>
        <v>23836.35</v>
      </c>
      <c r="I51" s="38">
        <f>SUM(I35:I50)</f>
        <v>3064328.25</v>
      </c>
      <c r="J51" s="38">
        <f>SUM(J35:J50)</f>
        <v>837787.54</v>
      </c>
      <c r="K51" s="42" t="s">
        <v>288</v>
      </c>
      <c r="L51" s="42" t="s">
        <v>288</v>
      </c>
      <c r="N51" s="130"/>
    </row>
    <row r="52" spans="1:14" s="3" customFormat="1" ht="12.2" customHeight="1" thickTop="1" x14ac:dyDescent="0.15">
      <c r="A52" s="35" t="s">
        <v>455</v>
      </c>
      <c r="B52" s="36" t="s">
        <v>289</v>
      </c>
      <c r="C52" s="6">
        <v>37</v>
      </c>
      <c r="D52" s="36" t="s">
        <v>653</v>
      </c>
      <c r="E52" s="36"/>
      <c r="F52" s="38">
        <f>F51+F32</f>
        <v>11986001.9</v>
      </c>
      <c r="G52" s="38">
        <f>G51+G32</f>
        <v>2678848.21</v>
      </c>
      <c r="H52" s="38">
        <f>H51+H32</f>
        <v>2660751.91</v>
      </c>
      <c r="I52" s="38">
        <f>I51+I32</f>
        <v>5120443.59</v>
      </c>
      <c r="J52" s="38">
        <f>J51+J32</f>
        <v>837787.54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64730068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64730068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69961.22+76325</f>
        <v>146286.22</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26435</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f>946.25+8531.25</f>
        <v>9477.5</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1597552.8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1779751.52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180991.31</v>
      </c>
      <c r="G96" s="18">
        <v>7.79</v>
      </c>
      <c r="H96" s="18"/>
      <c r="I96" s="18"/>
      <c r="J96" s="18">
        <v>22831.15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401199.14+277807.18+400824.04-5529.07</f>
        <v>1074301.29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33528.839999999997</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37274</v>
      </c>
      <c r="G99" s="18">
        <f>27665.67+1191.82</f>
        <v>28857.489999999998</v>
      </c>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11880.44</v>
      </c>
      <c r="G110" s="18"/>
      <c r="H110" s="18">
        <v>9571.6</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263674.58999999997</v>
      </c>
      <c r="G111" s="38">
        <f>SUM(G96:G110)</f>
        <v>1103166.57</v>
      </c>
      <c r="H111" s="38">
        <f>SUM(H96:H110)</f>
        <v>9571.6</v>
      </c>
      <c r="I111" s="38">
        <f>SUM(I96:I110)</f>
        <v>0</v>
      </c>
      <c r="J111" s="38">
        <f>SUM(J96:J110)</f>
        <v>22831.15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66773494.110000007</v>
      </c>
      <c r="G112" s="38">
        <f>G60+G111</f>
        <v>1103166.57</v>
      </c>
      <c r="H112" s="38">
        <f>H60+H79+H94+H111</f>
        <v>9571.6</v>
      </c>
      <c r="I112" s="38">
        <f>I60+I111</f>
        <v>0</v>
      </c>
      <c r="J112" s="38">
        <f>J60+J111</f>
        <v>22831.15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11927483.560000001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7043652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13285.01+2050</f>
        <v>15335.01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18986470.570000004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160367.82999999999</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582232.99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8625</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21499.4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4560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20292.63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241303.88</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772725.22</v>
      </c>
      <c r="G136" s="38">
        <f>SUM(G123:G135)</f>
        <v>20292.63</v>
      </c>
      <c r="H136" s="38">
        <f>SUM(H123:H135)</f>
        <v>245863.88</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19759195.790000003</v>
      </c>
      <c r="G140" s="38">
        <f>G121+SUM(G136:G137)</f>
        <v>20292.63</v>
      </c>
      <c r="H140" s="38">
        <f>H121+SUM(H136:H139)</f>
        <v>245863.88</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197738.83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256372.97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39916.9</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379229.4+75579.59</f>
        <v>454808.99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1176050.03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116948.12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27536.57</v>
      </c>
      <c r="G161" s="18">
        <v>78821.070000000007</v>
      </c>
      <c r="H161" s="18">
        <f>274816.97-140657</f>
        <v>134159.96999999997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140657</f>
        <v>140657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144484.69</v>
      </c>
      <c r="G163" s="38">
        <f>SUM(G150:G162)</f>
        <v>533630.06000000006</v>
      </c>
      <c r="H163" s="38">
        <f>SUM(H150:H162)</f>
        <v>1944895.7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144484.69</v>
      </c>
      <c r="G170" s="38">
        <f>G147+G163+SUM(G164:G169)</f>
        <v>533630.06000000006</v>
      </c>
      <c r="H170" s="38">
        <f>H147+H163+SUM(H164:H169)</f>
        <v>1944895.7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v>5000000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5000000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5529.07</v>
      </c>
      <c r="H180" s="18"/>
      <c r="I180" s="18"/>
      <c r="J180" s="18">
        <v>723500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5529.07</v>
      </c>
      <c r="H184" s="38">
        <f>SUM(H180:H183)</f>
        <v>0</v>
      </c>
      <c r="I184" s="38">
        <f>SUM(I180:I183)</f>
        <v>0</v>
      </c>
      <c r="J184" s="38">
        <f>SUM(J180:J183)</f>
        <v>723500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502374.54</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502374.54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502374.54</v>
      </c>
      <c r="G193" s="38">
        <f>G184+SUM(G189:G192)</f>
        <v>5529.07</v>
      </c>
      <c r="H193" s="38">
        <f>+H184+SUM(H189:H192)</f>
        <v>0</v>
      </c>
      <c r="I193" s="38">
        <f>I178+I184+SUM(I189:I192)</f>
        <v>5000000</v>
      </c>
      <c r="J193" s="38">
        <f>J184</f>
        <v>723500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87179549.13000001</v>
      </c>
      <c r="G194" s="38">
        <f>G112+G140+G170+G193</f>
        <v>1662618.33</v>
      </c>
      <c r="H194" s="38">
        <f>H112+H140+H170+H193</f>
        <v>2200331.1800000002</v>
      </c>
      <c r="I194" s="38">
        <f>I112+I140+I170+I193</f>
        <v>5000000</v>
      </c>
      <c r="J194" s="38">
        <f>J112+J140+J193</f>
        <v>746331.15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240500.59+7303812.46</f>
        <v>7544313.0499999998</v>
      </c>
      <c r="G198" s="18">
        <v>4388303.95</v>
      </c>
      <c r="H198" s="18">
        <f>3102+1577.44+1377.82</f>
        <v>6057.26</v>
      </c>
      <c r="I198" s="18">
        <f>8340+2686+37240.84+4683.89+367.97+97316.82+206854.74</f>
        <v>357490.26</v>
      </c>
      <c r="J198" s="18">
        <f>252.91+3449.93</f>
        <v>3702.8399999999997</v>
      </c>
      <c r="K198" s="18"/>
      <c r="L198" s="13">
        <f>SUM(F198:K198)</f>
        <v>12299867.359999999</v>
      </c>
      <c r="M198" s="8"/>
      <c r="N198" s="164"/>
    </row>
    <row r="199" spans="1:14" s="3" customFormat="1" ht="12.2" customHeight="1" x14ac:dyDescent="0.15">
      <c r="A199" s="1" t="s">
        <v>439</v>
      </c>
      <c r="B199" s="2" t="s">
        <v>341</v>
      </c>
      <c r="C199" s="2" t="s">
        <v>291</v>
      </c>
      <c r="D199" s="2" t="s">
        <v>431</v>
      </c>
      <c r="E199" s="6">
        <v>1200</v>
      </c>
      <c r="F199" s="18">
        <f>174139.07+394272.79+4350775.57+345415.54</f>
        <v>5264602.9700000007</v>
      </c>
      <c r="G199" s="18">
        <v>3293492.3</v>
      </c>
      <c r="H199" s="18">
        <f>320667.6+2725.75+172840.68</f>
        <v>496234.02999999997</v>
      </c>
      <c r="I199" s="18">
        <f>16558.86+18348.2+10784.45</f>
        <v>45691.509999999995</v>
      </c>
      <c r="J199" s="18">
        <v>4263.5600000000004</v>
      </c>
      <c r="K199" s="18">
        <f>215+247.5</f>
        <v>462.5</v>
      </c>
      <c r="L199" s="13">
        <f>SUM(F199:K199)</f>
        <v>9104746.8699999992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129205.68+47677.5+14556.5+17119</f>
        <v>208558.68</v>
      </c>
      <c r="G201" s="18">
        <v>154682.09</v>
      </c>
      <c r="H201" s="18"/>
      <c r="I201" s="18">
        <f>735+259.94+560.52</f>
        <v>1555.46</v>
      </c>
      <c r="J201" s="18"/>
      <c r="K201" s="18"/>
      <c r="L201" s="13">
        <f>SUM(F201:K201)</f>
        <v>364796.23000000004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252483.57+538241.84+385333.21+682698.64+8402.5</f>
        <v>1867159.7599999998</v>
      </c>
      <c r="G203" s="18">
        <v>1042558.48</v>
      </c>
      <c r="H203" s="18">
        <f>240777.62+408.05+2512.29</f>
        <v>243697.96</v>
      </c>
      <c r="I203" s="18">
        <f>482.68+9180.42</f>
        <v>9663.1</v>
      </c>
      <c r="J203" s="18"/>
      <c r="K203" s="18"/>
      <c r="L203" s="13">
        <f t="shared" ref="L203:L209" si="0">SUM(F203:K203)</f>
        <v>3163079.3</v>
      </c>
      <c r="M203" s="8"/>
      <c r="N203" s="164"/>
    </row>
    <row r="204" spans="1:14" s="3" customFormat="1" ht="12.2" customHeight="1" x14ac:dyDescent="0.15">
      <c r="A204" s="1" t="s">
        <v>443</v>
      </c>
      <c r="B204" s="2" t="s">
        <v>341</v>
      </c>
      <c r="C204" s="2" t="s">
        <v>295</v>
      </c>
      <c r="D204" s="2" t="s">
        <v>431</v>
      </c>
      <c r="E204" s="6">
        <v>2200</v>
      </c>
      <c r="F204" s="18">
        <f>35449.08+27920.25+329823.9+63188.06</f>
        <v>456381.29000000004</v>
      </c>
      <c r="G204" s="18">
        <f>274231.35+117869.45+5435.41</f>
        <v>397536.20999999996</v>
      </c>
      <c r="H204" s="18">
        <f>10698.8+20314.77</f>
        <v>31013.57</v>
      </c>
      <c r="I204" s="18">
        <f>30020.69+8910.46+3085.97+40867.36</f>
        <v>82884.479999999996</v>
      </c>
      <c r="J204" s="18"/>
      <c r="K204" s="18">
        <v>596</v>
      </c>
      <c r="L204" s="13">
        <f t="shared" si="0"/>
        <v>968411.54999999993</v>
      </c>
      <c r="M204" s="8"/>
      <c r="N204" s="164"/>
    </row>
    <row r="205" spans="1:14" s="3" customFormat="1" ht="12.2" customHeight="1" x14ac:dyDescent="0.15">
      <c r="A205" s="1" t="s">
        <v>444</v>
      </c>
      <c r="B205" s="2" t="s">
        <v>341</v>
      </c>
      <c r="C205" s="2" t="s">
        <v>296</v>
      </c>
      <c r="D205" s="2" t="s">
        <v>431</v>
      </c>
      <c r="E205" s="6">
        <v>2300</v>
      </c>
      <c r="F205" s="18">
        <v>199297.34</v>
      </c>
      <c r="G205" s="18">
        <v>113355.86</v>
      </c>
      <c r="H205" s="18">
        <v>368138.22</v>
      </c>
      <c r="I205" s="18">
        <v>18241.29</v>
      </c>
      <c r="J205" s="18">
        <v>3704.67</v>
      </c>
      <c r="K205" s="18">
        <v>7839.18</v>
      </c>
      <c r="L205" s="13">
        <f t="shared" si="0"/>
        <v>710576.56</v>
      </c>
      <c r="M205" s="8"/>
      <c r="N205" s="164"/>
    </row>
    <row r="206" spans="1:14" s="3" customFormat="1" ht="12.2" customHeight="1" x14ac:dyDescent="0.15">
      <c r="A206" s="1" t="s">
        <v>445</v>
      </c>
      <c r="B206" s="2" t="s">
        <v>341</v>
      </c>
      <c r="C206" s="2" t="s">
        <v>297</v>
      </c>
      <c r="D206" s="2" t="s">
        <v>431</v>
      </c>
      <c r="E206" s="6">
        <v>2400</v>
      </c>
      <c r="F206" s="18">
        <f>1136457.03</f>
        <v>1136457.03</v>
      </c>
      <c r="G206" s="18">
        <v>673379.83</v>
      </c>
      <c r="H206" s="18">
        <f>1680.43+10203.79+1820.05+5604.36</f>
        <v>19308.63</v>
      </c>
      <c r="I206" s="18">
        <v>7104.28</v>
      </c>
      <c r="J206" s="18"/>
      <c r="K206" s="18">
        <v>4624</v>
      </c>
      <c r="L206" s="13">
        <f t="shared" si="0"/>
        <v>1840873.7699999998</v>
      </c>
      <c r="M206" s="8"/>
      <c r="N206" s="164"/>
    </row>
    <row r="207" spans="1:14" s="3" customFormat="1" ht="12.2" customHeight="1" x14ac:dyDescent="0.15">
      <c r="A207" s="1" t="s">
        <v>446</v>
      </c>
      <c r="B207" s="2" t="s">
        <v>341</v>
      </c>
      <c r="C207" s="2" t="s">
        <v>298</v>
      </c>
      <c r="D207" s="2" t="s">
        <v>431</v>
      </c>
      <c r="E207" s="6">
        <v>2500</v>
      </c>
      <c r="F207" s="18">
        <v>287417.99</v>
      </c>
      <c r="G207" s="18">
        <v>185010.86</v>
      </c>
      <c r="H207" s="18">
        <f>7439.46+239.79</f>
        <v>7679.25</v>
      </c>
      <c r="I207" s="18"/>
      <c r="J207" s="18"/>
      <c r="K207" s="18"/>
      <c r="L207" s="13">
        <f t="shared" si="0"/>
        <v>480108.1</v>
      </c>
      <c r="M207" s="8"/>
      <c r="N207" s="164"/>
    </row>
    <row r="208" spans="1:14" s="3" customFormat="1" ht="12.2" customHeight="1" x14ac:dyDescent="0.15">
      <c r="A208" s="1" t="s">
        <v>447</v>
      </c>
      <c r="B208" s="2" t="s">
        <v>341</v>
      </c>
      <c r="C208" s="2" t="s">
        <v>299</v>
      </c>
      <c r="D208" s="2" t="s">
        <v>431</v>
      </c>
      <c r="E208" s="6">
        <v>2600</v>
      </c>
      <c r="F208" s="18">
        <f>313832.67+886945.54</f>
        <v>1200778.21</v>
      </c>
      <c r="G208" s="18">
        <v>670937.41</v>
      </c>
      <c r="H208" s="18">
        <f>42519.6+7675.34+15091.58+185458.15+134230+45214.72+3331.63+474509.35+72426.43+1665.5+2686.3</f>
        <v>984808.60000000009</v>
      </c>
      <c r="I208" s="18">
        <f>61247.41+78597.23+169222.49+52456.44+28426.65</f>
        <v>389950.22000000003</v>
      </c>
      <c r="J208" s="18">
        <f>2369.01+2450.49+8679</f>
        <v>13498.5</v>
      </c>
      <c r="K208" s="18">
        <v>429.57</v>
      </c>
      <c r="L208" s="13">
        <f t="shared" si="0"/>
        <v>3260402.5100000002</v>
      </c>
      <c r="M208" s="8"/>
      <c r="N208" s="164"/>
    </row>
    <row r="209" spans="1:14" s="3" customFormat="1" ht="12.2" customHeight="1" x14ac:dyDescent="0.15">
      <c r="A209" s="1" t="s">
        <v>448</v>
      </c>
      <c r="B209" s="2" t="s">
        <v>341</v>
      </c>
      <c r="C209" s="2" t="s">
        <v>300</v>
      </c>
      <c r="D209" s="2" t="s">
        <v>431</v>
      </c>
      <c r="E209" s="6">
        <v>2700</v>
      </c>
      <c r="F209" s="18"/>
      <c r="G209" s="18"/>
      <c r="H209" s="18">
        <f>703+1313380.37+688621.06</f>
        <v>2002704.4300000002</v>
      </c>
      <c r="I209" s="18"/>
      <c r="J209" s="18"/>
      <c r="K209" s="18"/>
      <c r="L209" s="13">
        <f t="shared" si="0"/>
        <v>2002704.4300000002</v>
      </c>
      <c r="M209" s="8"/>
      <c r="N209" s="164"/>
    </row>
    <row r="210" spans="1:14" s="3" customFormat="1" ht="12.2" customHeight="1" x14ac:dyDescent="0.15">
      <c r="A210" s="1" t="s">
        <v>449</v>
      </c>
      <c r="B210" s="2" t="s">
        <v>341</v>
      </c>
      <c r="C210" s="2" t="s">
        <v>343</v>
      </c>
      <c r="D210" s="2" t="s">
        <v>431</v>
      </c>
      <c r="E210" s="6">
        <v>2800</v>
      </c>
      <c r="F210" s="18">
        <v>274459.83</v>
      </c>
      <c r="G210" s="18">
        <v>153188.66</v>
      </c>
      <c r="H210" s="18">
        <v>143605.42000000001</v>
      </c>
      <c r="I210" s="18">
        <v>148787.93</v>
      </c>
      <c r="J210" s="18">
        <v>81227.06</v>
      </c>
      <c r="K210" s="18"/>
      <c r="L210" s="13">
        <f>SUM(F210:K210)</f>
        <v>801268.90000000014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18439426.149999999</v>
      </c>
      <c r="G212" s="38">
        <f t="shared" si="1"/>
        <v>11072445.65</v>
      </c>
      <c r="H212" s="38">
        <f t="shared" si="1"/>
        <v>4303247.37</v>
      </c>
      <c r="I212" s="38">
        <f t="shared" si="1"/>
        <v>1061368.53</v>
      </c>
      <c r="J212" s="38">
        <f t="shared" si="1"/>
        <v>106396.63</v>
      </c>
      <c r="K212" s="38">
        <f t="shared" si="1"/>
        <v>13951.25</v>
      </c>
      <c r="L212" s="38">
        <f t="shared" si="1"/>
        <v>34996835.579999998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135057.8+4983199.41</f>
        <v>5118257.21</v>
      </c>
      <c r="G216" s="18">
        <v>3028095.7</v>
      </c>
      <c r="H216" s="18">
        <f>1393.21+15793.95+115.24+15301.25</f>
        <v>32603.65</v>
      </c>
      <c r="I216" s="18">
        <f>20785.58+2614.26+205.38+65410.68+18652.75</f>
        <v>107668.65000000001</v>
      </c>
      <c r="J216" s="18">
        <f>1184.37+995</f>
        <v>2179.37</v>
      </c>
      <c r="K216" s="18"/>
      <c r="L216" s="13">
        <f>SUM(F216:K216)</f>
        <v>8288804.580000001</v>
      </c>
      <c r="M216" s="8"/>
      <c r="N216" s="164"/>
    </row>
    <row r="217" spans="1:14" s="3" customFormat="1" ht="12.2" customHeight="1" x14ac:dyDescent="0.15">
      <c r="A217" s="1" t="s">
        <v>439</v>
      </c>
      <c r="B217" s="2" t="s">
        <v>346</v>
      </c>
      <c r="C217" s="2" t="s">
        <v>291</v>
      </c>
      <c r="D217" s="2" t="s">
        <v>431</v>
      </c>
      <c r="E217" s="6">
        <v>1200</v>
      </c>
      <c r="F217" s="18">
        <f>10462.36+122115.62+1470153.17+60588.06</f>
        <v>1663319.21</v>
      </c>
      <c r="G217" s="18">
        <v>995293.67</v>
      </c>
      <c r="H217" s="18">
        <f>178977.26+1521.35+677.54+391631.24</f>
        <v>572807.39</v>
      </c>
      <c r="I217" s="18">
        <f>299.36+6657.57+5668.24</f>
        <v>12625.169999999998</v>
      </c>
      <c r="J217" s="18">
        <v>9355.6</v>
      </c>
      <c r="K217" s="18">
        <v>165</v>
      </c>
      <c r="L217" s="13">
        <f>SUM(F217:K217)</f>
        <v>3253566.04</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59108.4+54739+2266+133472.38+7360</f>
        <v>256945.78</v>
      </c>
      <c r="G219" s="18">
        <v>144678.99</v>
      </c>
      <c r="H219" s="18">
        <v>19106.5</v>
      </c>
      <c r="I219" s="18">
        <f>146.22+312.85+2305.69</f>
        <v>2764.76</v>
      </c>
      <c r="J219" s="18">
        <f>10921.72+2282.06+2969.82</f>
        <v>16173.599999999999</v>
      </c>
      <c r="K219" s="18">
        <v>4347</v>
      </c>
      <c r="L219" s="13">
        <f>SUM(F219:K219)</f>
        <v>444016.63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353200.9+50564.85+293425.69+157336.75+151973.12</f>
        <v>1006501.3099999999</v>
      </c>
      <c r="G221" s="18">
        <v>556767.07999999996</v>
      </c>
      <c r="H221" s="18">
        <f>134387.51+227.75+1402.21</f>
        <v>136017.47</v>
      </c>
      <c r="I221" s="18">
        <f>269.4+9856.21</f>
        <v>10125.609999999999</v>
      </c>
      <c r="J221" s="18"/>
      <c r="K221" s="18"/>
      <c r="L221" s="13">
        <f t="shared" ref="L221:L227" si="2">SUM(F221:K221)</f>
        <v>1709411.47</v>
      </c>
      <c r="M221" s="8"/>
      <c r="N221" s="164"/>
    </row>
    <row r="222" spans="1:14" s="3" customFormat="1" ht="12.2" customHeight="1" x14ac:dyDescent="0.15">
      <c r="A222" s="1" t="s">
        <v>443</v>
      </c>
      <c r="B222" s="2" t="s">
        <v>346</v>
      </c>
      <c r="C222" s="2" t="s">
        <v>295</v>
      </c>
      <c r="D222" s="2" t="s">
        <v>431</v>
      </c>
      <c r="E222" s="6">
        <v>2200</v>
      </c>
      <c r="F222" s="18">
        <f>19785.53+9632.93+146336.33+78620.1</f>
        <v>254374.88999999998</v>
      </c>
      <c r="G222" s="18">
        <f>143459.1+41154.58+3033.72</f>
        <v>187647.4</v>
      </c>
      <c r="H222" s="18">
        <f>5971.42</f>
        <v>5971.42</v>
      </c>
      <c r="I222" s="18">
        <f>16755.73+5310.56+2070.45+31658.51</f>
        <v>55795.25</v>
      </c>
      <c r="J222" s="18"/>
      <c r="K222" s="18"/>
      <c r="L222" s="13">
        <f t="shared" si="2"/>
        <v>503788.95999999996</v>
      </c>
      <c r="M222" s="8"/>
      <c r="N222" s="164"/>
    </row>
    <row r="223" spans="1:14" s="3" customFormat="1" ht="12.2" customHeight="1" x14ac:dyDescent="0.15">
      <c r="A223" s="1" t="s">
        <v>444</v>
      </c>
      <c r="B223" s="2" t="s">
        <v>346</v>
      </c>
      <c r="C223" s="2" t="s">
        <v>296</v>
      </c>
      <c r="D223" s="2" t="s">
        <v>431</v>
      </c>
      <c r="E223" s="6">
        <v>2300</v>
      </c>
      <c r="F223" s="18">
        <v>111235.72</v>
      </c>
      <c r="G223" s="18">
        <v>63336.47</v>
      </c>
      <c r="H223" s="18">
        <v>205472.49</v>
      </c>
      <c r="I223" s="18">
        <v>10181.18</v>
      </c>
      <c r="J223" s="18">
        <v>2067.7199999999998</v>
      </c>
      <c r="K223" s="18">
        <v>4375.3599999999997</v>
      </c>
      <c r="L223" s="13">
        <f t="shared" si="2"/>
        <v>396668.93999999994</v>
      </c>
      <c r="M223" s="8"/>
      <c r="N223" s="164"/>
    </row>
    <row r="224" spans="1:14" s="3" customFormat="1" ht="12.2" customHeight="1" x14ac:dyDescent="0.15">
      <c r="A224" s="1" t="s">
        <v>445</v>
      </c>
      <c r="B224" s="2" t="s">
        <v>346</v>
      </c>
      <c r="C224" s="2" t="s">
        <v>297</v>
      </c>
      <c r="D224" s="2" t="s">
        <v>431</v>
      </c>
      <c r="E224" s="6">
        <v>2400</v>
      </c>
      <c r="F224" s="18">
        <f>497880.94</f>
        <v>497880.94</v>
      </c>
      <c r="G224" s="18">
        <v>299419.3</v>
      </c>
      <c r="H224" s="18">
        <f>937.92+4696.08+349.55+2604.02</f>
        <v>8587.57</v>
      </c>
      <c r="I224" s="18">
        <v>414.75</v>
      </c>
      <c r="J224" s="18"/>
      <c r="K224" s="18">
        <v>2595</v>
      </c>
      <c r="L224" s="13">
        <f t="shared" si="2"/>
        <v>808897.55999999994</v>
      </c>
      <c r="M224" s="8"/>
      <c r="N224" s="164"/>
    </row>
    <row r="225" spans="1:14" s="3" customFormat="1" ht="12.2" customHeight="1" x14ac:dyDescent="0.15">
      <c r="A225" s="1" t="s">
        <v>446</v>
      </c>
      <c r="B225" s="2" t="s">
        <v>346</v>
      </c>
      <c r="C225" s="2" t="s">
        <v>298</v>
      </c>
      <c r="D225" s="2" t="s">
        <v>431</v>
      </c>
      <c r="E225" s="6">
        <v>2500</v>
      </c>
      <c r="F225" s="18">
        <v>160419.34</v>
      </c>
      <c r="G225" s="18">
        <v>103312.94</v>
      </c>
      <c r="H225" s="18">
        <f>4152.26+133.84</f>
        <v>4286.1000000000004</v>
      </c>
      <c r="I225" s="18"/>
      <c r="J225" s="18"/>
      <c r="K225" s="18"/>
      <c r="L225" s="13">
        <f t="shared" si="2"/>
        <v>268018.38</v>
      </c>
      <c r="M225" s="8"/>
      <c r="N225" s="164"/>
    </row>
    <row r="226" spans="1:14" s="3" customFormat="1" ht="12.2" customHeight="1" x14ac:dyDescent="0.15">
      <c r="A226" s="1" t="s">
        <v>447</v>
      </c>
      <c r="B226" s="2" t="s">
        <v>346</v>
      </c>
      <c r="C226" s="2" t="s">
        <v>299</v>
      </c>
      <c r="D226" s="2" t="s">
        <v>431</v>
      </c>
      <c r="E226" s="6">
        <v>2600</v>
      </c>
      <c r="F226" s="18">
        <f>218875.92+547531.44</f>
        <v>766407.36</v>
      </c>
      <c r="G226" s="18">
        <v>427157.05</v>
      </c>
      <c r="H226" s="18">
        <f>21445.62+4132.8+2239.2+53470.98+18839.58+264842.43+43076.97+161896.24+3775.5</f>
        <v>573719.31999999995</v>
      </c>
      <c r="I226" s="18">
        <f>24295.17+47839.81+86050.83+15866.04</f>
        <v>174051.85</v>
      </c>
      <c r="J226" s="18">
        <f>3244.55+1367.71+2541.18</f>
        <v>7153.4400000000005</v>
      </c>
      <c r="K226" s="18">
        <v>239.76</v>
      </c>
      <c r="L226" s="13">
        <f t="shared" si="2"/>
        <v>1948728.78</v>
      </c>
      <c r="M226" s="8"/>
      <c r="N226" s="164"/>
    </row>
    <row r="227" spans="1:14" s="3" customFormat="1" ht="12.2" customHeight="1" x14ac:dyDescent="0.15">
      <c r="A227" s="1" t="s">
        <v>448</v>
      </c>
      <c r="B227" s="2" t="s">
        <v>346</v>
      </c>
      <c r="C227" s="2" t="s">
        <v>300</v>
      </c>
      <c r="D227" s="2" t="s">
        <v>431</v>
      </c>
      <c r="E227" s="6">
        <v>2700</v>
      </c>
      <c r="F227" s="18"/>
      <c r="G227" s="18"/>
      <c r="H227" s="18">
        <f>29856+985035.28+390326.66</f>
        <v>1405217.94</v>
      </c>
      <c r="I227" s="18"/>
      <c r="J227" s="18"/>
      <c r="K227" s="18"/>
      <c r="L227" s="13">
        <f t="shared" si="2"/>
        <v>1405217.94</v>
      </c>
      <c r="M227" s="8"/>
      <c r="N227" s="164"/>
    </row>
    <row r="228" spans="1:14" s="3" customFormat="1" ht="12.2" customHeight="1" x14ac:dyDescent="0.15">
      <c r="A228" s="1" t="s">
        <v>449</v>
      </c>
      <c r="B228" s="2" t="s">
        <v>346</v>
      </c>
      <c r="C228" s="2" t="s">
        <v>343</v>
      </c>
      <c r="D228" s="2" t="s">
        <v>431</v>
      </c>
      <c r="E228" s="6">
        <v>2800</v>
      </c>
      <c r="F228" s="18">
        <v>153186.88</v>
      </c>
      <c r="G228" s="18">
        <v>85353.13</v>
      </c>
      <c r="H228" s="18">
        <v>80151.86</v>
      </c>
      <c r="I228" s="18">
        <v>83044.429999999993</v>
      </c>
      <c r="J228" s="18">
        <f>290811.7+3824.81</f>
        <v>294636.51</v>
      </c>
      <c r="K228" s="18"/>
      <c r="L228" s="13">
        <f>SUM(F228:K228)</f>
        <v>696372.81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9988528.6399999987</v>
      </c>
      <c r="G230" s="38">
        <f>SUM(G216:G229)</f>
        <v>5891061.7300000004</v>
      </c>
      <c r="H230" s="38">
        <f>SUM(H216:H229)</f>
        <v>3043941.7099999995</v>
      </c>
      <c r="I230" s="38">
        <f>SUM(I216:I229)</f>
        <v>456671.64999999997</v>
      </c>
      <c r="J230" s="38">
        <f>SUM(J216:J229)</f>
        <v>331566.24</v>
      </c>
      <c r="K230" s="38">
        <f t="shared" si="3"/>
        <v>11722.12</v>
      </c>
      <c r="L230" s="38">
        <f t="shared" si="3"/>
        <v>19723492.090000004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315933.73+6672886.74</f>
        <v>6988820.4700000007</v>
      </c>
      <c r="G234" s="18">
        <v>3937310.63</v>
      </c>
      <c r="H234" s="18">
        <f>5572.85+7312.54+3480.15+2485</f>
        <v>18850.54</v>
      </c>
      <c r="I234" s="18">
        <f>14208.81+28580.18+3594.62+282.39+173630.34+7223.31-1350</f>
        <v>226169.65</v>
      </c>
      <c r="J234" s="18">
        <f>4222.82+56820.1</f>
        <v>61042.92</v>
      </c>
      <c r="K234" s="18">
        <v>5388</v>
      </c>
      <c r="L234" s="13">
        <f>SUM(F234:K234)</f>
        <v>11237582.210000001</v>
      </c>
      <c r="M234" s="8"/>
      <c r="N234" s="164"/>
    </row>
    <row r="235" spans="1:14" s="3" customFormat="1" ht="12.2" customHeight="1" x14ac:dyDescent="0.15">
      <c r="A235" s="1" t="s">
        <v>439</v>
      </c>
      <c r="B235" s="2" t="s">
        <v>350</v>
      </c>
      <c r="C235" s="2" t="s">
        <v>291</v>
      </c>
      <c r="D235" s="2" t="s">
        <v>431</v>
      </c>
      <c r="E235" s="6">
        <v>1200</v>
      </c>
      <c r="F235" s="18">
        <f>76376.53+116570.68+1199771.19</f>
        <v>1392718.4</v>
      </c>
      <c r="G235" s="18">
        <v>990787.29</v>
      </c>
      <c r="H235" s="18">
        <f>246093.74+2091.85+10140+1677873.35</f>
        <v>1936198.9400000002</v>
      </c>
      <c r="I235" s="18">
        <f>5090.16+7929.36</f>
        <v>13019.52</v>
      </c>
      <c r="J235" s="18"/>
      <c r="K235" s="18">
        <v>0</v>
      </c>
      <c r="L235" s="13">
        <f>SUM(F235:K235)</f>
        <v>4332724.1499999994</v>
      </c>
      <c r="M235" s="8"/>
      <c r="N235" s="164"/>
    </row>
    <row r="236" spans="1:14" s="3" customFormat="1" ht="12.2" customHeight="1" x14ac:dyDescent="0.15">
      <c r="A236" s="1" t="s">
        <v>440</v>
      </c>
      <c r="B236" s="2" t="s">
        <v>350</v>
      </c>
      <c r="C236" s="2" t="s">
        <v>292</v>
      </c>
      <c r="D236" s="2" t="s">
        <v>431</v>
      </c>
      <c r="E236" s="6">
        <v>1300</v>
      </c>
      <c r="F236" s="18"/>
      <c r="G236" s="18"/>
      <c r="H236" s="18">
        <v>188006.57</v>
      </c>
      <c r="I236" s="18"/>
      <c r="J236" s="18"/>
      <c r="K236" s="18"/>
      <c r="L236" s="13">
        <f>SUM(F236:K236)</f>
        <v>188006.57</v>
      </c>
      <c r="M236" s="8"/>
      <c r="N236" s="164"/>
    </row>
    <row r="237" spans="1:14" s="3" customFormat="1" ht="12.2" customHeight="1" x14ac:dyDescent="0.15">
      <c r="A237" s="1" t="s">
        <v>441</v>
      </c>
      <c r="B237" s="2" t="s">
        <v>350</v>
      </c>
      <c r="C237" s="2" t="s">
        <v>293</v>
      </c>
      <c r="D237" s="2" t="s">
        <v>431</v>
      </c>
      <c r="E237" s="6">
        <v>1400</v>
      </c>
      <c r="F237" s="18">
        <f>48096.26+112130+579182.71+33244.75</f>
        <v>772653.72</v>
      </c>
      <c r="G237" s="18">
        <v>431429.68</v>
      </c>
      <c r="H237" s="18">
        <f>62944.92+16248.47+94873.78+1391.59</f>
        <v>175458.75999999998</v>
      </c>
      <c r="I237" s="18">
        <f>430.17+62454.75-0.01</f>
        <v>62884.909999999996</v>
      </c>
      <c r="J237" s="18">
        <f>15082.38+167+18971.32+7658+17995</f>
        <v>59873.7</v>
      </c>
      <c r="K237" s="18">
        <v>55611.29</v>
      </c>
      <c r="L237" s="13">
        <f>SUM(F237:K237)</f>
        <v>1557912.0599999998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902138.46+186861.77+589447.62+77896.02+124668.18+122486.76</f>
        <v>2003498.81</v>
      </c>
      <c r="G239" s="18">
        <v>1115289.3799999999</v>
      </c>
      <c r="H239" s="18">
        <f>184782.82+313.15+1928.04+161.31+952</f>
        <v>188137.32</v>
      </c>
      <c r="I239" s="18">
        <f>370.44+5764.74+14879.94</f>
        <v>21015.119999999999</v>
      </c>
      <c r="J239" s="18"/>
      <c r="K239" s="18">
        <v>536</v>
      </c>
      <c r="L239" s="13">
        <f t="shared" ref="L239:L245" si="4">SUM(F239:K239)</f>
        <v>3328476.63</v>
      </c>
      <c r="M239" s="8"/>
      <c r="N239" s="164"/>
    </row>
    <row r="240" spans="1:14" s="3" customFormat="1" ht="12.2" customHeight="1" x14ac:dyDescent="0.15">
      <c r="A240" s="1" t="s">
        <v>443</v>
      </c>
      <c r="B240" s="2" t="s">
        <v>350</v>
      </c>
      <c r="C240" s="2" t="s">
        <v>295</v>
      </c>
      <c r="D240" s="2" t="s">
        <v>431</v>
      </c>
      <c r="E240" s="6">
        <v>2200</v>
      </c>
      <c r="F240" s="18">
        <f>27205.1+27918.5+135599.06+78710.83</f>
        <v>269433.49</v>
      </c>
      <c r="G240" s="18">
        <f>200182.38+102268.49+4171.37</f>
        <v>306622.24</v>
      </c>
      <c r="H240" s="18">
        <f>8210.7</f>
        <v>8210.7000000000007</v>
      </c>
      <c r="I240" s="18">
        <f>23039.13+2808.3+3180.58+66034.99</f>
        <v>95063</v>
      </c>
      <c r="J240" s="18"/>
      <c r="K240" s="18">
        <v>596</v>
      </c>
      <c r="L240" s="13">
        <f t="shared" si="4"/>
        <v>679925.42999999993</v>
      </c>
      <c r="M240" s="8"/>
      <c r="N240" s="164"/>
    </row>
    <row r="241" spans="1:14" s="3" customFormat="1" ht="12.2" customHeight="1" x14ac:dyDescent="0.15">
      <c r="A241" s="1" t="s">
        <v>444</v>
      </c>
      <c r="B241" s="2" t="s">
        <v>350</v>
      </c>
      <c r="C241" s="2" t="s">
        <v>296</v>
      </c>
      <c r="D241" s="2" t="s">
        <v>431</v>
      </c>
      <c r="E241" s="6">
        <v>2300</v>
      </c>
      <c r="F241" s="18">
        <v>152949.12</v>
      </c>
      <c r="G241" s="18">
        <v>86965.66</v>
      </c>
      <c r="H241" s="18">
        <v>282524.68</v>
      </c>
      <c r="I241" s="18">
        <v>13999.13</v>
      </c>
      <c r="J241" s="18">
        <v>2843.12</v>
      </c>
      <c r="K241" s="18">
        <v>6016.12</v>
      </c>
      <c r="L241" s="13">
        <f t="shared" si="4"/>
        <v>545297.82999999996</v>
      </c>
      <c r="M241" s="8"/>
      <c r="N241" s="164"/>
    </row>
    <row r="242" spans="1:14" s="3" customFormat="1" ht="12.2" customHeight="1" x14ac:dyDescent="0.15">
      <c r="A242" s="1" t="s">
        <v>445</v>
      </c>
      <c r="B242" s="2" t="s">
        <v>350</v>
      </c>
      <c r="C242" s="2" t="s">
        <v>297</v>
      </c>
      <c r="D242" s="2" t="s">
        <v>431</v>
      </c>
      <c r="E242" s="6">
        <v>2400</v>
      </c>
      <c r="F242" s="18">
        <f>4884+1071638.35</f>
        <v>1076522.3500000001</v>
      </c>
      <c r="G242" s="18">
        <v>638796.59</v>
      </c>
      <c r="H242" s="18">
        <f>1289.63+4675+25588.45+6600.32+4453.18</f>
        <v>42606.58</v>
      </c>
      <c r="I242" s="18">
        <v>7966.88</v>
      </c>
      <c r="J242" s="18"/>
      <c r="K242" s="18">
        <v>5087</v>
      </c>
      <c r="L242" s="13">
        <f t="shared" si="4"/>
        <v>1770979.4</v>
      </c>
      <c r="M242" s="8"/>
      <c r="N242" s="164"/>
    </row>
    <row r="243" spans="1:14" s="3" customFormat="1" ht="12.2" customHeight="1" x14ac:dyDescent="0.15">
      <c r="A243" s="1" t="s">
        <v>446</v>
      </c>
      <c r="B243" s="2" t="s">
        <v>350</v>
      </c>
      <c r="C243" s="2" t="s">
        <v>298</v>
      </c>
      <c r="D243" s="2" t="s">
        <v>431</v>
      </c>
      <c r="E243" s="6">
        <v>2500</v>
      </c>
      <c r="F243" s="18">
        <v>220576.59</v>
      </c>
      <c r="G243" s="18">
        <v>142024.79</v>
      </c>
      <c r="H243" s="18">
        <f>5709.36+184.02</f>
        <v>5893.38</v>
      </c>
      <c r="I243" s="18"/>
      <c r="J243" s="18"/>
      <c r="K243" s="18"/>
      <c r="L243" s="13">
        <f t="shared" si="4"/>
        <v>368494.76</v>
      </c>
      <c r="M243" s="8"/>
      <c r="N243" s="164"/>
    </row>
    <row r="244" spans="1:14" s="3" customFormat="1" ht="12.2" customHeight="1" x14ac:dyDescent="0.15">
      <c r="A244" s="1" t="s">
        <v>447</v>
      </c>
      <c r="B244" s="2" t="s">
        <v>350</v>
      </c>
      <c r="C244" s="2" t="s">
        <v>299</v>
      </c>
      <c r="D244" s="2" t="s">
        <v>431</v>
      </c>
      <c r="E244" s="6">
        <v>2600</v>
      </c>
      <c r="F244" s="18">
        <f>332479.53+783644.18</f>
        <v>1116123.71</v>
      </c>
      <c r="G244" s="18">
        <v>630239.03</v>
      </c>
      <c r="H244" s="18">
        <f>34407.83+6703.2+13471.19+167484.44+23954.19+364158.33+78250.91+7451</f>
        <v>695881.09000000008</v>
      </c>
      <c r="I244" s="18">
        <f>89338.38+111413.82+223727.66+21815.79</f>
        <v>446295.64999999997</v>
      </c>
      <c r="J244" s="18">
        <f>3039.83+1880.61+9950+55205.81</f>
        <v>70076.25</v>
      </c>
      <c r="K244" s="18">
        <v>329.67</v>
      </c>
      <c r="L244" s="13">
        <f t="shared" si="4"/>
        <v>2958945.4</v>
      </c>
      <c r="M244" s="8"/>
      <c r="N244" s="164"/>
    </row>
    <row r="245" spans="1:14" s="3" customFormat="1" ht="12.2" customHeight="1" x14ac:dyDescent="0.15">
      <c r="A245" s="1" t="s">
        <v>448</v>
      </c>
      <c r="B245" s="2" t="s">
        <v>350</v>
      </c>
      <c r="C245" s="2" t="s">
        <v>300</v>
      </c>
      <c r="D245" s="2" t="s">
        <v>431</v>
      </c>
      <c r="E245" s="6">
        <v>2700</v>
      </c>
      <c r="F245" s="18"/>
      <c r="G245" s="18"/>
      <c r="H245" s="18">
        <f>138564.18+985035.28+719625.75</f>
        <v>1843225.21</v>
      </c>
      <c r="I245" s="18"/>
      <c r="J245" s="18"/>
      <c r="K245" s="18"/>
      <c r="L245" s="13">
        <f t="shared" si="4"/>
        <v>1843225.21</v>
      </c>
      <c r="M245" s="8"/>
      <c r="N245" s="164"/>
    </row>
    <row r="246" spans="1:14" s="3" customFormat="1" ht="12.2" customHeight="1" x14ac:dyDescent="0.15">
      <c r="A246" s="1" t="s">
        <v>449</v>
      </c>
      <c r="B246" s="2" t="s">
        <v>350</v>
      </c>
      <c r="C246" s="2" t="s">
        <v>343</v>
      </c>
      <c r="D246" s="2" t="s">
        <v>431</v>
      </c>
      <c r="E246" s="6">
        <v>2800</v>
      </c>
      <c r="F246" s="18">
        <f>210631.96-0.01</f>
        <v>210631.94999999998</v>
      </c>
      <c r="G246" s="18">
        <v>117421.55</v>
      </c>
      <c r="H246" s="18">
        <f>54147.06-0.01+56061.75</f>
        <v>110208.79999999999</v>
      </c>
      <c r="I246" s="18">
        <v>114186.09</v>
      </c>
      <c r="J246" s="18">
        <v>267813.12</v>
      </c>
      <c r="K246" s="18"/>
      <c r="L246" s="13">
        <f>SUM(F246:K246)</f>
        <v>820261.51</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14203928.609999999</v>
      </c>
      <c r="G248" s="38">
        <f t="shared" si="5"/>
        <v>8396886.8399999999</v>
      </c>
      <c r="H248" s="38">
        <f t="shared" si="5"/>
        <v>5495202.5700000003</v>
      </c>
      <c r="I248" s="38">
        <f t="shared" si="5"/>
        <v>1000599.9499999998</v>
      </c>
      <c r="J248" s="38">
        <f t="shared" si="5"/>
        <v>461649.11</v>
      </c>
      <c r="K248" s="38">
        <f t="shared" si="5"/>
        <v>73564.08</v>
      </c>
      <c r="L248" s="38">
        <f t="shared" si="5"/>
        <v>29631831.159999996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32084.83</v>
      </c>
      <c r="G252" s="18">
        <v>33181.019999999997</v>
      </c>
      <c r="H252" s="18"/>
      <c r="I252" s="18">
        <v>12561.95</v>
      </c>
      <c r="J252" s="18"/>
      <c r="K252" s="18"/>
      <c r="L252" s="13">
        <f t="shared" si="6"/>
        <v>77827.8</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32084.83</v>
      </c>
      <c r="G257" s="38">
        <f t="shared" si="7"/>
        <v>33181.019999999997</v>
      </c>
      <c r="H257" s="38">
        <f t="shared" si="7"/>
        <v>0</v>
      </c>
      <c r="I257" s="38">
        <f t="shared" si="7"/>
        <v>12561.95</v>
      </c>
      <c r="J257" s="38">
        <f t="shared" si="7"/>
        <v>0</v>
      </c>
      <c r="K257" s="38">
        <f t="shared" si="7"/>
        <v>0</v>
      </c>
      <c r="L257" s="38">
        <f>SUM(F257:K257)</f>
        <v>77827.8</v>
      </c>
      <c r="M257" s="8"/>
      <c r="N257" s="164"/>
    </row>
    <row r="258" spans="1:14" s="3" customFormat="1" ht="12.2" customHeight="1" thickTop="1" x14ac:dyDescent="0.15">
      <c r="A258" s="35" t="s">
        <v>462</v>
      </c>
      <c r="B258" s="37">
        <v>10</v>
      </c>
      <c r="C258" s="37">
        <v>8</v>
      </c>
      <c r="D258" s="36" t="s">
        <v>431</v>
      </c>
      <c r="E258" s="37"/>
      <c r="F258" s="38">
        <f t="shared" ref="F258:L258" si="8">F212+F230+F248+F257</f>
        <v>42663968.229999997</v>
      </c>
      <c r="G258" s="38">
        <f t="shared" si="8"/>
        <v>25393575.240000002</v>
      </c>
      <c r="H258" s="38">
        <f t="shared" si="8"/>
        <v>12842391.65</v>
      </c>
      <c r="I258" s="38">
        <f t="shared" si="8"/>
        <v>2531202.08</v>
      </c>
      <c r="J258" s="38">
        <f t="shared" si="8"/>
        <v>899611.98</v>
      </c>
      <c r="K258" s="38">
        <f t="shared" si="8"/>
        <v>99237.450000000012</v>
      </c>
      <c r="L258" s="38">
        <f t="shared" si="8"/>
        <v>84429986.629999995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935000</v>
      </c>
      <c r="L261" s="13">
        <f>SUM(F261:K261)</f>
        <v>935000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71415.2+289023.06</f>
        <v>360438.26</v>
      </c>
      <c r="L262" s="13">
        <f>SUM(F262:K262)</f>
        <v>360438.26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5529.07</v>
      </c>
      <c r="L264" s="13">
        <f>SUM(F264:K264)</f>
        <v>5529.07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723500</v>
      </c>
      <c r="L267" s="13">
        <f t="shared" si="9"/>
        <v>723500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2024467.33</v>
      </c>
      <c r="L271" s="38">
        <f t="shared" si="9"/>
        <v>2024467.33</v>
      </c>
      <c r="M271" s="8"/>
      <c r="N271" s="164"/>
    </row>
    <row r="272" spans="1:14" s="33" customFormat="1" ht="12.2" customHeight="1" thickTop="1" x14ac:dyDescent="0.2">
      <c r="A272" s="40" t="s">
        <v>464</v>
      </c>
      <c r="B272" s="37">
        <v>10</v>
      </c>
      <c r="C272" s="37">
        <v>18</v>
      </c>
      <c r="D272" s="36" t="s">
        <v>431</v>
      </c>
      <c r="E272" s="37"/>
      <c r="F272" s="39">
        <f t="shared" ref="F272:L272" si="11">F258+F271</f>
        <v>42663968.229999997</v>
      </c>
      <c r="G272" s="39">
        <f t="shared" si="11"/>
        <v>25393575.240000002</v>
      </c>
      <c r="H272" s="39">
        <f t="shared" si="11"/>
        <v>12842391.65</v>
      </c>
      <c r="I272" s="39">
        <f t="shared" si="11"/>
        <v>2531202.08</v>
      </c>
      <c r="J272" s="39">
        <f t="shared" si="11"/>
        <v>899611.98</v>
      </c>
      <c r="K272" s="39">
        <f t="shared" si="11"/>
        <v>2123704.7800000003</v>
      </c>
      <c r="L272" s="39">
        <f t="shared" si="11"/>
        <v>86454453.959999993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18408+22264+216506.83</f>
        <v>257178.83</v>
      </c>
      <c r="G277" s="18"/>
      <c r="H277" s="18"/>
      <c r="I277" s="18">
        <v>99321.93</v>
      </c>
      <c r="J277" s="18"/>
      <c r="K277" s="18"/>
      <c r="L277" s="13">
        <f>SUM(F277:K277)</f>
        <v>356500.76</v>
      </c>
      <c r="M277" s="8"/>
      <c r="N277" s="164"/>
    </row>
    <row r="278" spans="1:14" s="3" customFormat="1" ht="12.2" customHeight="1" x14ac:dyDescent="0.15">
      <c r="A278" s="1" t="s">
        <v>439</v>
      </c>
      <c r="B278" s="2" t="s">
        <v>357</v>
      </c>
      <c r="C278" s="2" t="s">
        <v>291</v>
      </c>
      <c r="D278" s="2" t="s">
        <v>431</v>
      </c>
      <c r="E278" s="6">
        <v>1200</v>
      </c>
      <c r="F278" s="18">
        <f>276392.89+56751.34+266085.66</f>
        <v>599229.8899999999</v>
      </c>
      <c r="G278" s="18"/>
      <c r="H278" s="18"/>
      <c r="I278" s="18">
        <v>17781.43</v>
      </c>
      <c r="J278" s="18"/>
      <c r="K278" s="18"/>
      <c r="L278" s="13">
        <f>SUM(F278:K278)</f>
        <v>617011.31999999995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27610+28940.82+15277.4</f>
        <v>71828.22</v>
      </c>
      <c r="G280" s="18"/>
      <c r="H280" s="18"/>
      <c r="I280" s="18"/>
      <c r="J280" s="18"/>
      <c r="K280" s="18"/>
      <c r="L280" s="13">
        <f>SUM(F280:K280)</f>
        <v>71828.22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18318.87</v>
      </c>
      <c r="G282" s="18"/>
      <c r="H282" s="18"/>
      <c r="I282" s="18"/>
      <c r="J282" s="18"/>
      <c r="K282" s="18"/>
      <c r="L282" s="13">
        <f t="shared" ref="L282:L288" si="12">SUM(F282:K282)</f>
        <v>18318.87</v>
      </c>
      <c r="M282" s="8"/>
      <c r="N282" s="164"/>
    </row>
    <row r="283" spans="1:14" s="3" customFormat="1" ht="12.2" customHeight="1" x14ac:dyDescent="0.15">
      <c r="A283" s="1" t="s">
        <v>443</v>
      </c>
      <c r="B283" s="2" t="s">
        <v>357</v>
      </c>
      <c r="C283" s="2" t="s">
        <v>295</v>
      </c>
      <c r="D283" s="2" t="s">
        <v>431</v>
      </c>
      <c r="E283" s="6">
        <v>2200</v>
      </c>
      <c r="F283" s="18">
        <v>40672.5</v>
      </c>
      <c r="G283" s="18">
        <v>32154.65</v>
      </c>
      <c r="H283" s="18">
        <f>14856</f>
        <v>14856</v>
      </c>
      <c r="I283" s="18">
        <v>5817.29</v>
      </c>
      <c r="J283" s="18">
        <f>899.38+361.12+865.32+776.74</f>
        <v>2902.5600000000004</v>
      </c>
      <c r="K283" s="18"/>
      <c r="L283" s="13">
        <f t="shared" si="12"/>
        <v>96402.999999999985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155618.88</v>
      </c>
      <c r="I287" s="18"/>
      <c r="J287" s="18"/>
      <c r="K287" s="18"/>
      <c r="L287" s="13">
        <f t="shared" si="12"/>
        <v>155618.88</v>
      </c>
      <c r="M287" s="8"/>
      <c r="N287" s="164"/>
    </row>
    <row r="288" spans="1:14" s="3" customFormat="1" ht="12.2" customHeight="1" x14ac:dyDescent="0.15">
      <c r="A288" s="1" t="s">
        <v>448</v>
      </c>
      <c r="B288" s="2" t="s">
        <v>357</v>
      </c>
      <c r="C288" s="2" t="s">
        <v>300</v>
      </c>
      <c r="D288" s="2" t="s">
        <v>431</v>
      </c>
      <c r="E288" s="6">
        <v>2700</v>
      </c>
      <c r="F288" s="18"/>
      <c r="G288" s="18"/>
      <c r="H288" s="18">
        <v>35629.75</v>
      </c>
      <c r="I288" s="18"/>
      <c r="J288" s="18"/>
      <c r="K288" s="18"/>
      <c r="L288" s="13">
        <f t="shared" si="12"/>
        <v>35629.75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987228.30999999982</v>
      </c>
      <c r="G291" s="39">
        <f t="shared" si="13"/>
        <v>32154.65</v>
      </c>
      <c r="H291" s="39">
        <f t="shared" si="13"/>
        <v>206104.63</v>
      </c>
      <c r="I291" s="39">
        <f t="shared" si="13"/>
        <v>122920.64999999998</v>
      </c>
      <c r="J291" s="39">
        <f t="shared" si="13"/>
        <v>2902.5600000000004</v>
      </c>
      <c r="K291" s="39">
        <f t="shared" si="13"/>
        <v>0</v>
      </c>
      <c r="L291" s="38">
        <f t="shared" si="13"/>
        <v>1351310.7999999998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22384</v>
      </c>
      <c r="G296" s="18"/>
      <c r="H296" s="18"/>
      <c r="I296" s="18">
        <v>5853.63</v>
      </c>
      <c r="J296" s="18"/>
      <c r="K296" s="18"/>
      <c r="L296" s="13">
        <f>SUM(F296:K296)</f>
        <v>28237.63</v>
      </c>
      <c r="M296" s="8"/>
      <c r="N296" s="164"/>
    </row>
    <row r="297" spans="1:14" s="3" customFormat="1" ht="12.2" customHeight="1" x14ac:dyDescent="0.15">
      <c r="A297" s="1" t="s">
        <v>439</v>
      </c>
      <c r="B297" s="2" t="s">
        <v>358</v>
      </c>
      <c r="C297" s="2" t="s">
        <v>291</v>
      </c>
      <c r="D297" s="2" t="s">
        <v>431</v>
      </c>
      <c r="E297" s="6">
        <v>1200</v>
      </c>
      <c r="F297" s="18">
        <v>122578.61</v>
      </c>
      <c r="G297" s="18"/>
      <c r="H297" s="18"/>
      <c r="I297" s="18"/>
      <c r="J297" s="18"/>
      <c r="K297" s="18"/>
      <c r="L297" s="13">
        <f>SUM(F297:K297)</f>
        <v>122578.61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f>1000+4245</f>
        <v>5245</v>
      </c>
      <c r="G299" s="18"/>
      <c r="H299" s="18"/>
      <c r="I299" s="18">
        <v>2400</v>
      </c>
      <c r="J299" s="18"/>
      <c r="K299" s="18">
        <v>1160</v>
      </c>
      <c r="L299" s="13">
        <f>SUM(F299:K299)</f>
        <v>8805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f>6853.14+311.86</f>
        <v>7165</v>
      </c>
      <c r="H301" s="18">
        <f>82908</f>
        <v>82908</v>
      </c>
      <c r="I301" s="18"/>
      <c r="J301" s="18"/>
      <c r="K301" s="18"/>
      <c r="L301" s="13">
        <f t="shared" ref="L301:L307" si="14">SUM(F301:K301)</f>
        <v>90073</v>
      </c>
      <c r="M301" s="8"/>
      <c r="N301" s="164"/>
    </row>
    <row r="302" spans="1:14" s="3" customFormat="1" ht="12.2" customHeight="1" x14ac:dyDescent="0.15">
      <c r="A302" s="1" t="s">
        <v>443</v>
      </c>
      <c r="B302" s="2" t="s">
        <v>358</v>
      </c>
      <c r="C302" s="2" t="s">
        <v>295</v>
      </c>
      <c r="D302" s="2" t="s">
        <v>431</v>
      </c>
      <c r="E302" s="6">
        <v>2200</v>
      </c>
      <c r="F302" s="18">
        <v>5625</v>
      </c>
      <c r="G302" s="18">
        <f>20683.13-7165</f>
        <v>13518.130000000001</v>
      </c>
      <c r="H302" s="18">
        <f>87731-82908</f>
        <v>4823</v>
      </c>
      <c r="I302" s="18">
        <v>267.60000000000002</v>
      </c>
      <c r="J302" s="18">
        <v>1655.68</v>
      </c>
      <c r="K302" s="18"/>
      <c r="L302" s="13">
        <f t="shared" si="14"/>
        <v>25889.41</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46190</v>
      </c>
      <c r="I306" s="18"/>
      <c r="J306" s="18"/>
      <c r="K306" s="18"/>
      <c r="L306" s="13">
        <f t="shared" si="14"/>
        <v>46190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155832.60999999999</v>
      </c>
      <c r="G310" s="39">
        <f t="shared" si="15"/>
        <v>20683.13</v>
      </c>
      <c r="H310" s="39">
        <f t="shared" si="15"/>
        <v>133921</v>
      </c>
      <c r="I310" s="39">
        <f t="shared" si="15"/>
        <v>8521.2300000000014</v>
      </c>
      <c r="J310" s="39">
        <f t="shared" si="15"/>
        <v>1655.68</v>
      </c>
      <c r="K310" s="39">
        <f t="shared" si="15"/>
        <v>1160</v>
      </c>
      <c r="L310" s="38">
        <f t="shared" si="15"/>
        <v>321773.64999999997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f>7973.47+28323</f>
        <v>36296.47</v>
      </c>
      <c r="J315" s="18"/>
      <c r="K315" s="18"/>
      <c r="L315" s="13">
        <f>SUM(F315:K315)</f>
        <v>36296.47</v>
      </c>
      <c r="M315" s="8"/>
      <c r="N315" s="164"/>
    </row>
    <row r="316" spans="1:14" s="3" customFormat="1" ht="12.2" customHeight="1" x14ac:dyDescent="0.15">
      <c r="A316" s="1" t="s">
        <v>439</v>
      </c>
      <c r="B316" s="2" t="s">
        <v>359</v>
      </c>
      <c r="C316" s="2" t="s">
        <v>291</v>
      </c>
      <c r="D316" s="2" t="s">
        <v>431</v>
      </c>
      <c r="E316" s="6">
        <v>1200</v>
      </c>
      <c r="F316" s="18">
        <v>328655.31</v>
      </c>
      <c r="G316" s="18"/>
      <c r="H316" s="18"/>
      <c r="I316" s="18"/>
      <c r="J316" s="18"/>
      <c r="K316" s="18"/>
      <c r="L316" s="13">
        <f>SUM(F316:K316)</f>
        <v>328655.31</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4800</v>
      </c>
      <c r="G320" s="18"/>
      <c r="H320" s="18">
        <v>4968.2</v>
      </c>
      <c r="I320" s="18"/>
      <c r="J320" s="18"/>
      <c r="K320" s="18"/>
      <c r="L320" s="13">
        <f t="shared" ref="L320:L326" si="16">SUM(F320:K320)</f>
        <v>9768.2000000000007</v>
      </c>
      <c r="M320" s="8"/>
      <c r="N320" s="164"/>
    </row>
    <row r="321" spans="1:14" s="3" customFormat="1" ht="12.2" customHeight="1" x14ac:dyDescent="0.15">
      <c r="A321" s="1" t="s">
        <v>443</v>
      </c>
      <c r="B321" s="2" t="s">
        <v>359</v>
      </c>
      <c r="C321" s="2" t="s">
        <v>295</v>
      </c>
      <c r="D321" s="2" t="s">
        <v>431</v>
      </c>
      <c r="E321" s="6">
        <v>2200</v>
      </c>
      <c r="F321" s="18">
        <v>48437.5</v>
      </c>
      <c r="G321" s="18">
        <v>19216.8</v>
      </c>
      <c r="H321" s="18">
        <f>11539.2-4968.2</f>
        <v>6571.0000000000009</v>
      </c>
      <c r="I321" s="18">
        <f>364.51</f>
        <v>364.51</v>
      </c>
      <c r="J321" s="18">
        <v>2255.27</v>
      </c>
      <c r="K321" s="18"/>
      <c r="L321" s="13">
        <f t="shared" si="16"/>
        <v>76845.08</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39495</v>
      </c>
      <c r="I325" s="18"/>
      <c r="J325" s="18"/>
      <c r="K325" s="18"/>
      <c r="L325" s="13">
        <f t="shared" si="16"/>
        <v>39495</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381892.81</v>
      </c>
      <c r="G329" s="39">
        <f t="shared" si="17"/>
        <v>19216.8</v>
      </c>
      <c r="H329" s="39">
        <f t="shared" si="17"/>
        <v>51034.2</v>
      </c>
      <c r="I329" s="39">
        <f t="shared" si="17"/>
        <v>36660.980000000003</v>
      </c>
      <c r="J329" s="39">
        <f t="shared" si="17"/>
        <v>2255.27</v>
      </c>
      <c r="K329" s="39">
        <f t="shared" si="17"/>
        <v>0</v>
      </c>
      <c r="L329" s="38">
        <f t="shared" si="17"/>
        <v>491060.06000000006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27895.17</v>
      </c>
      <c r="G334" s="18"/>
      <c r="H334" s="18">
        <f>2417.5</f>
        <v>2417.5</v>
      </c>
      <c r="I334" s="18">
        <f>1037.4+403.95+509.69</f>
        <v>1951.0400000000002</v>
      </c>
      <c r="J334" s="18">
        <v>2853.19</v>
      </c>
      <c r="K334" s="18"/>
      <c r="L334" s="13">
        <f t="shared" si="18"/>
        <v>35116.9</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27895.17</v>
      </c>
      <c r="G338" s="38">
        <f t="shared" si="19"/>
        <v>0</v>
      </c>
      <c r="H338" s="38">
        <f t="shared" si="19"/>
        <v>2417.5</v>
      </c>
      <c r="I338" s="38">
        <f t="shared" si="19"/>
        <v>1951.0400000000002</v>
      </c>
      <c r="J338" s="38">
        <f t="shared" si="19"/>
        <v>2853.19</v>
      </c>
      <c r="K338" s="38">
        <f t="shared" si="19"/>
        <v>0</v>
      </c>
      <c r="L338" s="38">
        <f t="shared" si="18"/>
        <v>35116.9</v>
      </c>
      <c r="M338" s="8"/>
      <c r="N338" s="164"/>
    </row>
    <row r="339" spans="1:43" s="3" customFormat="1" ht="12.2" customHeight="1" thickTop="1" x14ac:dyDescent="0.15">
      <c r="A339" s="35" t="s">
        <v>468</v>
      </c>
      <c r="B339" s="37">
        <v>14</v>
      </c>
      <c r="C339" s="37">
        <v>7</v>
      </c>
      <c r="D339" s="36" t="s">
        <v>431</v>
      </c>
      <c r="E339" s="37"/>
      <c r="F339" s="38">
        <f t="shared" ref="F339:L339" si="20">F291+F310+F329+F338</f>
        <v>1552848.9</v>
      </c>
      <c r="G339" s="38">
        <f t="shared" si="20"/>
        <v>72054.58</v>
      </c>
      <c r="H339" s="38">
        <f t="shared" si="20"/>
        <v>393477.33</v>
      </c>
      <c r="I339" s="38">
        <f t="shared" si="20"/>
        <v>170053.9</v>
      </c>
      <c r="J339" s="38">
        <f t="shared" si="20"/>
        <v>9666.7000000000007</v>
      </c>
      <c r="K339" s="38">
        <f t="shared" si="20"/>
        <v>1160</v>
      </c>
      <c r="L339" s="38">
        <f t="shared" si="20"/>
        <v>2199261.4099999997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1552848.9</v>
      </c>
      <c r="G353" s="38">
        <f>G339</f>
        <v>72054.58</v>
      </c>
      <c r="H353" s="38">
        <f>H339</f>
        <v>393477.33</v>
      </c>
      <c r="I353" s="38">
        <f>I339</f>
        <v>170053.9</v>
      </c>
      <c r="J353" s="38">
        <f>J339</f>
        <v>9666.7000000000007</v>
      </c>
      <c r="K353" s="38">
        <f>K339+K352</f>
        <v>1160</v>
      </c>
      <c r="L353" s="38">
        <f>L339+L352</f>
        <v>2199261.4099999997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215523.35+66542.26</f>
        <v>282065.61</v>
      </c>
      <c r="G359" s="18">
        <v>20897.689999999999</v>
      </c>
      <c r="H359" s="18">
        <v>14726.4</v>
      </c>
      <c r="I359" s="18">
        <v>336128.13</v>
      </c>
      <c r="J359" s="18">
        <f>43603.02+41412.31+41412.31+3435</f>
        <v>129862.63999999998</v>
      </c>
      <c r="K359" s="18">
        <v>1009.3</v>
      </c>
      <c r="L359" s="13">
        <f>SUM(F359:K359)</f>
        <v>784689.77000000014</v>
      </c>
      <c r="M359" s="8"/>
      <c r="N359" s="164"/>
    </row>
    <row r="360" spans="1:22" s="3" customFormat="1" ht="12.2" customHeight="1" x14ac:dyDescent="0.15">
      <c r="A360" s="1" t="s">
        <v>542</v>
      </c>
      <c r="B360" s="2" t="s">
        <v>366</v>
      </c>
      <c r="C360" s="6">
        <v>2</v>
      </c>
      <c r="D360" s="2" t="s">
        <v>431</v>
      </c>
      <c r="E360" s="6"/>
      <c r="F360" s="18">
        <f>134179.77+44361.5</f>
        <v>178541.27</v>
      </c>
      <c r="G360" s="18">
        <v>13931.8</v>
      </c>
      <c r="H360" s="18">
        <v>9817.6</v>
      </c>
      <c r="I360" s="18">
        <v>224085.42</v>
      </c>
      <c r="J360" s="18">
        <f>7075+41412.31</f>
        <v>48487.31</v>
      </c>
      <c r="K360" s="18">
        <v>672.86</v>
      </c>
      <c r="L360" s="13">
        <f>SUM(F360:K360)</f>
        <v>475536.25999999995</v>
      </c>
      <c r="M360" s="8"/>
      <c r="N360" s="164"/>
    </row>
    <row r="361" spans="1:22" s="3" customFormat="1" ht="12.2" customHeight="1" x14ac:dyDescent="0.15">
      <c r="A361" s="3" t="s">
        <v>543</v>
      </c>
      <c r="B361" s="2" t="s">
        <v>366</v>
      </c>
      <c r="C361" s="6">
        <v>3</v>
      </c>
      <c r="D361" s="2" t="s">
        <v>431</v>
      </c>
      <c r="E361" s="6"/>
      <c r="F361" s="18">
        <f>123119.98+59717.41</f>
        <v>182837.39</v>
      </c>
      <c r="G361" s="18">
        <f>36813.2+27750.61+18754.34</f>
        <v>83318.149999999994</v>
      </c>
      <c r="H361" s="18">
        <v>13215.99</v>
      </c>
      <c r="I361" s="18">
        <f>861867.01-560213.55</f>
        <v>301653.45999999996</v>
      </c>
      <c r="J361" s="18">
        <f>40451.32-2013.52+44764.34</f>
        <v>83202.14</v>
      </c>
      <c r="K361" s="18">
        <f>2587.94-1682.16</f>
        <v>905.78</v>
      </c>
      <c r="L361" s="13">
        <f>SUM(F361:K361)</f>
        <v>665132.91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643444.27</v>
      </c>
      <c r="G363" s="38">
        <f t="shared" si="22"/>
        <v>118147.63999999998</v>
      </c>
      <c r="H363" s="38">
        <f t="shared" si="22"/>
        <v>37759.99</v>
      </c>
      <c r="I363" s="38">
        <f t="shared" si="22"/>
        <v>861867.01</v>
      </c>
      <c r="J363" s="38">
        <f t="shared" si="22"/>
        <v>261552.08999999997</v>
      </c>
      <c r="K363" s="38">
        <f t="shared" si="22"/>
        <v>2587.9399999999996</v>
      </c>
      <c r="L363" s="38">
        <f t="shared" si="22"/>
        <v>1925358.94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286194.08</v>
      </c>
      <c r="G368" s="18">
        <v>190796.05</v>
      </c>
      <c r="H368" s="18">
        <f>733830.98-476990.13</f>
        <v>256840.84999999998</v>
      </c>
      <c r="I368" s="13">
        <f>SUM(F368:H368)</f>
        <v>733830.98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336128.13-286194.08</f>
        <v>49934.049999999988</v>
      </c>
      <c r="G369" s="53">
        <f>224085.42-190796.05</f>
        <v>33289.370000000024</v>
      </c>
      <c r="H369" s="53">
        <f>301653.46-256840.85</f>
        <v>44812.610000000015</v>
      </c>
      <c r="I369" s="13">
        <f>SUM(F369:H369)</f>
        <v>128036.03000000003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336128.13</v>
      </c>
      <c r="G370" s="38">
        <f>SUM(G368:G369)</f>
        <v>224085.42</v>
      </c>
      <c r="H370" s="38">
        <f>SUM(H368:H369)</f>
        <v>301653.45999999996</v>
      </c>
      <c r="I370" s="38">
        <f>SUM(I368:I369)</f>
        <v>861867.01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1935671.75</v>
      </c>
      <c r="I380" s="18"/>
      <c r="J380" s="18"/>
      <c r="K380" s="18"/>
      <c r="L380" s="13">
        <f t="shared" si="23"/>
        <v>1935671.75</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1935671.75</v>
      </c>
      <c r="I383" s="38">
        <f t="shared" si="24"/>
        <v>0</v>
      </c>
      <c r="J383" s="38">
        <f t="shared" si="24"/>
        <v>0</v>
      </c>
      <c r="K383" s="38">
        <f t="shared" si="24"/>
        <v>0</v>
      </c>
      <c r="L383" s="38">
        <f t="shared" si="24"/>
        <v>1935671.75</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v>569.85</v>
      </c>
      <c r="I389" s="18"/>
      <c r="J389" s="23" t="s">
        <v>288</v>
      </c>
      <c r="K389" s="23" t="s">
        <v>288</v>
      </c>
      <c r="L389" s="13">
        <f t="shared" si="25"/>
        <v>569.85</v>
      </c>
      <c r="M389" s="8"/>
      <c r="N389" s="164"/>
    </row>
    <row r="390" spans="1:14" s="3" customFormat="1" ht="12.2" customHeight="1" x14ac:dyDescent="0.15">
      <c r="A390" s="62" t="s">
        <v>552</v>
      </c>
      <c r="B390" s="2" t="s">
        <v>381</v>
      </c>
      <c r="C390" s="6">
        <v>3</v>
      </c>
      <c r="D390" s="2" t="s">
        <v>432</v>
      </c>
      <c r="E390" s="6"/>
      <c r="F390" s="18"/>
      <c r="G390" s="18">
        <v>445000</v>
      </c>
      <c r="H390" s="18">
        <v>10314.32</v>
      </c>
      <c r="I390" s="18"/>
      <c r="J390" s="23" t="s">
        <v>288</v>
      </c>
      <c r="K390" s="23" t="s">
        <v>288</v>
      </c>
      <c r="L390" s="13">
        <f t="shared" si="25"/>
        <v>455314.32</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f>723500-445000</f>
        <v>278500</v>
      </c>
      <c r="H393" s="18">
        <f>2116.45+4397.98+1677.43</f>
        <v>8191.86</v>
      </c>
      <c r="I393" s="18"/>
      <c r="J393" s="23" t="s">
        <v>288</v>
      </c>
      <c r="K393" s="23" t="s">
        <v>288</v>
      </c>
      <c r="L393" s="13">
        <f t="shared" si="25"/>
        <v>286691.86</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723500</v>
      </c>
      <c r="H394" s="97">
        <f>SUM(H388:H393)</f>
        <v>19076.03</v>
      </c>
      <c r="I394" s="54">
        <f>SUM(I388:I393)</f>
        <v>0</v>
      </c>
      <c r="J394" s="42" t="s">
        <v>288</v>
      </c>
      <c r="K394" s="42" t="s">
        <v>288</v>
      </c>
      <c r="L394" s="38">
        <f>SUM(L388:L393)</f>
        <v>742576.03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3755.12</v>
      </c>
      <c r="I398" s="18"/>
      <c r="J398" s="23" t="s">
        <v>288</v>
      </c>
      <c r="K398" s="23" t="s">
        <v>288</v>
      </c>
      <c r="L398" s="13">
        <f t="shared" si="26"/>
        <v>3755.12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3755.12</v>
      </c>
      <c r="I402" s="38">
        <f>SUM(I396:I401)</f>
        <v>0</v>
      </c>
      <c r="J402" s="42" t="s">
        <v>288</v>
      </c>
      <c r="K402" s="42" t="s">
        <v>288</v>
      </c>
      <c r="L402" s="38">
        <f>SUM(L396:L401)</f>
        <v>3755.12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723500</v>
      </c>
      <c r="H409" s="38">
        <f>H394+H402+H408</f>
        <v>22831.149999999998</v>
      </c>
      <c r="I409" s="38">
        <f>I394+I402+I408</f>
        <v>0</v>
      </c>
      <c r="J409" s="23" t="s">
        <v>288</v>
      </c>
      <c r="K409" s="23" t="s">
        <v>288</v>
      </c>
      <c r="L409" s="38">
        <f>L394+L402+L408</f>
        <v>746331.15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f>551938.54-227038.54</f>
        <v>324900</v>
      </c>
      <c r="L416" s="13">
        <f t="shared" si="27"/>
        <v>324900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f>227038.54-49564</f>
        <v>177474.54</v>
      </c>
      <c r="L419" s="13">
        <f t="shared" si="27"/>
        <v>177474.54</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502374.54000000004</v>
      </c>
      <c r="L420" s="38">
        <f t="shared" si="28"/>
        <v>502374.54000000004</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502374.54000000004</v>
      </c>
      <c r="L435" s="38">
        <f t="shared" si="32"/>
        <v>502374.54000000004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837787.54-249235.8</f>
        <v>588551.74</v>
      </c>
      <c r="G440" s="18">
        <f>32839.54+216396.26</f>
        <v>249235.80000000002</v>
      </c>
      <c r="H440" s="18"/>
      <c r="I440" s="13">
        <f t="shared" ref="I440:I446" si="33">SUM(F440:H440)</f>
        <v>837787.54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588551.74</v>
      </c>
      <c r="G447" s="13">
        <f>SUM(G440:G446)</f>
        <v>249235.80000000002</v>
      </c>
      <c r="H447" s="13">
        <f>SUM(H440:H446)</f>
        <v>0</v>
      </c>
      <c r="I447" s="13">
        <f>SUM(I440:I446)</f>
        <v>837787.54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588551.74</v>
      </c>
      <c r="G460" s="18">
        <v>249235.8</v>
      </c>
      <c r="H460" s="18"/>
      <c r="I460" s="13">
        <f t="shared" si="34"/>
        <v>837787.54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588551.74</v>
      </c>
      <c r="G461" s="65">
        <f>SUM(G455:G460)</f>
        <v>249235.8</v>
      </c>
      <c r="H461" s="65">
        <f>SUM(H455:H460)</f>
        <v>0</v>
      </c>
      <c r="I461" s="65">
        <f>SUM(I455:I460)</f>
        <v>837787.54</v>
      </c>
      <c r="J461" s="23" t="s">
        <v>288</v>
      </c>
      <c r="K461" s="23" t="s">
        <v>288</v>
      </c>
      <c r="L461" s="23" t="s">
        <v>288</v>
      </c>
      <c r="N461" s="130"/>
    </row>
    <row r="462" spans="1:86" ht="12.2" customHeight="1" thickTop="1" x14ac:dyDescent="0.2">
      <c r="A462" s="40" t="s">
        <v>424</v>
      </c>
      <c r="B462" s="41">
        <v>18</v>
      </c>
      <c r="C462" s="64">
        <v>21</v>
      </c>
      <c r="D462" s="114" t="s">
        <v>432</v>
      </c>
      <c r="E462" s="64"/>
      <c r="F462" s="39">
        <f>F453+F461</f>
        <v>588551.74</v>
      </c>
      <c r="G462" s="39">
        <f>G453+G461</f>
        <v>249235.8</v>
      </c>
      <c r="H462" s="39">
        <f>H453+H461</f>
        <v>0</v>
      </c>
      <c r="I462" s="39">
        <f>I453+I461</f>
        <v>837787.54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2127482.39</v>
      </c>
      <c r="G466" s="18">
        <v>958823.52</v>
      </c>
      <c r="H466" s="18">
        <v>22766.58</v>
      </c>
      <c r="I466" s="18">
        <v>0</v>
      </c>
      <c r="J466" s="18">
        <v>593830.93000000005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87179549.129999995</v>
      </c>
      <c r="G469" s="18">
        <v>1662618.33</v>
      </c>
      <c r="H469" s="18">
        <v>2200331.1800000002</v>
      </c>
      <c r="I469" s="18">
        <v>5000000</v>
      </c>
      <c r="J469" s="18">
        <v>746331.15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87179549.129999995</v>
      </c>
      <c r="G471" s="19">
        <f>SUM(G469:G470)</f>
        <v>1662618.33</v>
      </c>
      <c r="H471" s="19">
        <f>SUM(H469:H470)</f>
        <v>2200331.1800000002</v>
      </c>
      <c r="I471" s="19">
        <f>SUM(I469:I470)</f>
        <v>5000000</v>
      </c>
      <c r="J471" s="19">
        <f>SUM(J469:J470)</f>
        <v>746331.15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86454453.959999993</v>
      </c>
      <c r="G473" s="18">
        <v>1925358.94</v>
      </c>
      <c r="H473" s="18">
        <v>2199261.41</v>
      </c>
      <c r="I473" s="18">
        <v>1935671.75</v>
      </c>
      <c r="J473" s="18">
        <v>502374.54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86454453.959999993</v>
      </c>
      <c r="G475" s="19">
        <f>SUM(G473:G474)</f>
        <v>1925358.94</v>
      </c>
      <c r="H475" s="19">
        <f>SUM(H473:H474)</f>
        <v>2199261.41</v>
      </c>
      <c r="I475" s="19">
        <f>SUM(I473:I474)</f>
        <v>1935671.75</v>
      </c>
      <c r="J475" s="19">
        <f>SUM(J473:J474)</f>
        <v>502374.54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2852577.5600000024</v>
      </c>
      <c r="G477" s="19">
        <f>(G466+G471)- G475</f>
        <v>696082.91000000015</v>
      </c>
      <c r="H477" s="19">
        <f>(H466+H471)- H475</f>
        <v>23836.350000000093</v>
      </c>
      <c r="I477" s="19">
        <f>(I466+I471)- I475</f>
        <v>3064328.25</v>
      </c>
      <c r="J477" s="19">
        <f>(J466+J471)- J475</f>
        <v>837787.54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v>12</v>
      </c>
      <c r="H491" s="111">
        <v>10</v>
      </c>
      <c r="I491" s="111">
        <v>15</v>
      </c>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t="s">
        <v>1845</v>
      </c>
      <c r="I492" s="111" t="s">
        <v>1847</v>
      </c>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t="s">
        <v>1846</v>
      </c>
      <c r="I493" s="111" t="s">
        <v>1848</v>
      </c>
      <c r="J493" s="111"/>
      <c r="K493" s="23" t="s">
        <v>288</v>
      </c>
      <c r="L493" s="23" t="s">
        <v>288</v>
      </c>
      <c r="N493" s="130"/>
    </row>
    <row r="494" spans="1:14" ht="12.2" customHeight="1" x14ac:dyDescent="0.2">
      <c r="A494" s="21" t="s">
        <v>617</v>
      </c>
      <c r="B494" s="22">
        <v>20</v>
      </c>
      <c r="C494" s="22">
        <v>4</v>
      </c>
      <c r="D494" s="2" t="s">
        <v>432</v>
      </c>
      <c r="E494" s="22"/>
      <c r="F494" s="18">
        <v>2720000</v>
      </c>
      <c r="G494" s="18">
        <v>2955000</v>
      </c>
      <c r="H494" s="18">
        <v>3895000</v>
      </c>
      <c r="I494" s="18">
        <v>5000000</v>
      </c>
      <c r="J494" s="18"/>
      <c r="K494" s="23" t="s">
        <v>288</v>
      </c>
      <c r="L494" s="23" t="s">
        <v>288</v>
      </c>
      <c r="N494" s="130"/>
    </row>
    <row r="495" spans="1:14" ht="12.2" customHeight="1" x14ac:dyDescent="0.2">
      <c r="A495" s="21" t="s">
        <v>618</v>
      </c>
      <c r="B495" s="22">
        <v>20</v>
      </c>
      <c r="C495" s="22">
        <v>5</v>
      </c>
      <c r="D495" s="2" t="s">
        <v>432</v>
      </c>
      <c r="E495" s="22"/>
      <c r="F495" s="18">
        <v>2.69</v>
      </c>
      <c r="G495" s="18">
        <v>1.94</v>
      </c>
      <c r="H495" s="18">
        <v>2.14</v>
      </c>
      <c r="I495" s="18">
        <v>3.09</v>
      </c>
      <c r="J495" s="18"/>
      <c r="K495" s="23" t="s">
        <v>288</v>
      </c>
      <c r="L495" s="23" t="s">
        <v>288</v>
      </c>
      <c r="N495" s="130"/>
    </row>
    <row r="496" spans="1:14" ht="12.2" customHeight="1" x14ac:dyDescent="0.2">
      <c r="A496" s="21" t="s">
        <v>619</v>
      </c>
      <c r="B496" s="22">
        <v>20</v>
      </c>
      <c r="C496" s="22">
        <v>6</v>
      </c>
      <c r="D496" s="2" t="s">
        <v>432</v>
      </c>
      <c r="E496" s="22"/>
      <c r="F496" s="18">
        <v>1555000</v>
      </c>
      <c r="G496" s="18">
        <v>810000</v>
      </c>
      <c r="H496" s="18">
        <v>775000</v>
      </c>
      <c r="I496" s="18">
        <v>0</v>
      </c>
      <c r="J496" s="18"/>
      <c r="K496" s="19">
        <f>SUM(F496:J496)</f>
        <v>3140000</v>
      </c>
      <c r="L496" s="23" t="s">
        <v>288</v>
      </c>
      <c r="N496" s="130"/>
    </row>
    <row r="497" spans="1:14" ht="12.2" customHeight="1" x14ac:dyDescent="0.2">
      <c r="A497" s="21" t="s">
        <v>620</v>
      </c>
      <c r="B497" s="22">
        <v>20</v>
      </c>
      <c r="C497" s="22">
        <v>7</v>
      </c>
      <c r="D497" s="2" t="s">
        <v>432</v>
      </c>
      <c r="E497" s="22"/>
      <c r="F497" s="18">
        <v>0</v>
      </c>
      <c r="G497" s="18">
        <v>0</v>
      </c>
      <c r="H497" s="18">
        <v>0</v>
      </c>
      <c r="I497" s="18">
        <v>5000000</v>
      </c>
      <c r="J497" s="18"/>
      <c r="K497" s="19">
        <f t="shared" ref="K497:K504" si="35">SUM(F497:J497)</f>
        <v>5000000</v>
      </c>
      <c r="L497" s="23" t="s">
        <v>288</v>
      </c>
      <c r="N497" s="130"/>
    </row>
    <row r="498" spans="1:14" ht="12.2" customHeight="1" x14ac:dyDescent="0.2">
      <c r="A498" s="21" t="s">
        <v>621</v>
      </c>
      <c r="B498" s="22">
        <v>20</v>
      </c>
      <c r="C498" s="22">
        <v>8</v>
      </c>
      <c r="D498" s="2" t="s">
        <v>432</v>
      </c>
      <c r="E498" s="22"/>
      <c r="F498" s="18">
        <v>270000</v>
      </c>
      <c r="G498" s="18">
        <v>275000</v>
      </c>
      <c r="H498" s="18">
        <v>390000</v>
      </c>
      <c r="I498" s="18"/>
      <c r="J498" s="18"/>
      <c r="K498" s="19">
        <f t="shared" si="35"/>
        <v>935000</v>
      </c>
      <c r="L498" s="23" t="s">
        <v>288</v>
      </c>
      <c r="N498" s="130"/>
    </row>
    <row r="499" spans="1:14" ht="12.2" customHeight="1" x14ac:dyDescent="0.2">
      <c r="A499" s="143" t="s">
        <v>622</v>
      </c>
      <c r="B499" s="144">
        <v>20</v>
      </c>
      <c r="C499" s="144">
        <v>9</v>
      </c>
      <c r="D499" s="145" t="s">
        <v>432</v>
      </c>
      <c r="E499" s="144"/>
      <c r="F499" s="146">
        <f>1555000-270000</f>
        <v>1285000</v>
      </c>
      <c r="G499" s="146">
        <f>810000-275000</f>
        <v>535000</v>
      </c>
      <c r="H499" s="146">
        <v>385000</v>
      </c>
      <c r="I499" s="18">
        <v>4457900</v>
      </c>
      <c r="J499" s="146"/>
      <c r="K499" s="147">
        <f t="shared" si="35"/>
        <v>6662900</v>
      </c>
      <c r="L499" s="148" t="s">
        <v>288</v>
      </c>
      <c r="N499" s="130"/>
    </row>
    <row r="500" spans="1:14" ht="12.2" customHeight="1" thickBot="1" x14ac:dyDescent="0.25">
      <c r="A500" s="21" t="s">
        <v>623</v>
      </c>
      <c r="B500" s="22">
        <v>20</v>
      </c>
      <c r="C500" s="22">
        <v>10</v>
      </c>
      <c r="D500" s="2" t="s">
        <v>432</v>
      </c>
      <c r="E500" s="22"/>
      <c r="F500" s="18">
        <f>123870.55-38122.83</f>
        <v>85747.72</v>
      </c>
      <c r="G500" s="18">
        <f>28618.77-15971.88</f>
        <v>12646.890000000001</v>
      </c>
      <c r="H500" s="18">
        <v>5775</v>
      </c>
      <c r="I500" s="18">
        <f>1621277.05+111321.99</f>
        <v>1732599.04</v>
      </c>
      <c r="J500" s="18"/>
      <c r="K500" s="19">
        <f t="shared" si="35"/>
        <v>1836768.6500000001</v>
      </c>
      <c r="L500" s="23" t="s">
        <v>288</v>
      </c>
      <c r="N500" s="130"/>
    </row>
    <row r="501" spans="1:14" ht="12.2" customHeight="1" thickTop="1" x14ac:dyDescent="0.2">
      <c r="A501" s="97" t="s">
        <v>624</v>
      </c>
      <c r="B501" s="41">
        <v>20</v>
      </c>
      <c r="C501" s="41">
        <v>11</v>
      </c>
      <c r="D501" s="36" t="s">
        <v>432</v>
      </c>
      <c r="E501" s="41"/>
      <c r="F501" s="39">
        <f>SUM(F499:F500)</f>
        <v>1370747.72</v>
      </c>
      <c r="G501" s="39">
        <f>SUM(G499:G500)</f>
        <v>547646.89</v>
      </c>
      <c r="H501" s="39">
        <f>SUM(H499:H500)</f>
        <v>390775</v>
      </c>
      <c r="I501" s="39">
        <f>SUM(I499:I500)</f>
        <v>6190499.04</v>
      </c>
      <c r="J501" s="39">
        <f>SUM(J499:J500)</f>
        <v>0</v>
      </c>
      <c r="K501" s="39">
        <f t="shared" si="35"/>
        <v>8499668.6500000004</v>
      </c>
      <c r="L501" s="42" t="s">
        <v>288</v>
      </c>
      <c r="N501" s="130"/>
    </row>
    <row r="502" spans="1:14" ht="12.2" customHeight="1" x14ac:dyDescent="0.2">
      <c r="A502" s="143" t="s">
        <v>651</v>
      </c>
      <c r="B502" s="144">
        <v>20</v>
      </c>
      <c r="C502" s="144">
        <v>12</v>
      </c>
      <c r="D502" s="145" t="s">
        <v>432</v>
      </c>
      <c r="E502" s="144"/>
      <c r="F502" s="146">
        <v>265000</v>
      </c>
      <c r="G502" s="146">
        <v>270000</v>
      </c>
      <c r="H502" s="146">
        <v>385000</v>
      </c>
      <c r="I502" s="146">
        <v>297500</v>
      </c>
      <c r="J502" s="146"/>
      <c r="K502" s="147">
        <f t="shared" si="35"/>
        <v>1217500</v>
      </c>
      <c r="L502" s="148" t="s">
        <v>288</v>
      </c>
      <c r="N502" s="130"/>
    </row>
    <row r="503" spans="1:14" ht="12.2" customHeight="1" thickBot="1" x14ac:dyDescent="0.25">
      <c r="A503" s="21" t="s">
        <v>625</v>
      </c>
      <c r="B503" s="22">
        <v>20</v>
      </c>
      <c r="C503" s="22">
        <v>13</v>
      </c>
      <c r="D503" s="2" t="s">
        <v>432</v>
      </c>
      <c r="E503" s="22"/>
      <c r="F503" s="18">
        <v>31030.76</v>
      </c>
      <c r="G503" s="18">
        <v>9500.01</v>
      </c>
      <c r="H503" s="18">
        <v>5775</v>
      </c>
      <c r="I503" s="18">
        <f>111321.99+110706.95</f>
        <v>222028.94</v>
      </c>
      <c r="J503" s="18"/>
      <c r="K503" s="19">
        <f t="shared" si="35"/>
        <v>268334.71000000002</v>
      </c>
      <c r="L503" s="23" t="s">
        <v>288</v>
      </c>
      <c r="N503" s="130"/>
    </row>
    <row r="504" spans="1:14" ht="12.2" customHeight="1" thickTop="1" x14ac:dyDescent="0.2">
      <c r="A504" s="97" t="s">
        <v>626</v>
      </c>
      <c r="B504" s="41">
        <v>20</v>
      </c>
      <c r="C504" s="41">
        <v>14</v>
      </c>
      <c r="D504" s="36" t="s">
        <v>432</v>
      </c>
      <c r="E504" s="41"/>
      <c r="F504" s="39">
        <f>SUM(F502:F503)</f>
        <v>296030.76</v>
      </c>
      <c r="G504" s="39">
        <f>SUM(G502:G503)</f>
        <v>279500.01</v>
      </c>
      <c r="H504" s="39">
        <f>SUM(H502:H503)</f>
        <v>390775</v>
      </c>
      <c r="I504" s="39">
        <f>SUM(I502:I503)</f>
        <v>519528.94</v>
      </c>
      <c r="J504" s="39">
        <f>SUM(J502:J503)</f>
        <v>0</v>
      </c>
      <c r="K504" s="39">
        <f t="shared" si="35"/>
        <v>1485834.71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3961589</v>
      </c>
      <c r="G508" s="101">
        <v>519895</v>
      </c>
      <c r="H508" s="101">
        <v>766706</v>
      </c>
      <c r="I508" s="101">
        <v>3714777</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394272.79+4350775.57+211493.54+599229.89</f>
        <v>5555771.79</v>
      </c>
      <c r="G522" s="18">
        <v>3155678.38</v>
      </c>
      <c r="H522" s="18">
        <f>323393.35+496234.03</f>
        <v>819627.38</v>
      </c>
      <c r="I522" s="18">
        <f>45691.51+17781.43</f>
        <v>63472.94</v>
      </c>
      <c r="J522" s="18">
        <v>4263.5600000000004</v>
      </c>
      <c r="K522" s="18">
        <v>392.38</v>
      </c>
      <c r="L522" s="69">
        <f>SUM(F522:K522)</f>
        <v>9599206.4300000016</v>
      </c>
      <c r="N522" s="130"/>
    </row>
    <row r="523" spans="1:14" ht="12.2" customHeight="1" x14ac:dyDescent="0.2">
      <c r="A523" s="21" t="s">
        <v>634</v>
      </c>
      <c r="B523" s="22">
        <v>21</v>
      </c>
      <c r="C523" s="22">
        <v>2</v>
      </c>
      <c r="D523" s="2" t="s">
        <v>432</v>
      </c>
      <c r="E523" s="22"/>
      <c r="F523" s="18">
        <f>122115.62+1470153.17+46498.21+85181.63+37396.98</f>
        <v>1761345.6099999999</v>
      </c>
      <c r="G523" s="18">
        <v>1000444.31</v>
      </c>
      <c r="H523" s="18">
        <f>180498.61+572807.39</f>
        <v>753306</v>
      </c>
      <c r="I523" s="18">
        <v>12625.17</v>
      </c>
      <c r="J523" s="18">
        <v>9355.6</v>
      </c>
      <c r="K523" s="18">
        <v>99</v>
      </c>
      <c r="L523" s="69">
        <f>SUM(F523:K523)</f>
        <v>3537175.69</v>
      </c>
      <c r="N523" s="130"/>
    </row>
    <row r="524" spans="1:14" ht="12.2" customHeight="1" thickBot="1" x14ac:dyDescent="0.25">
      <c r="A524" s="21" t="s">
        <v>635</v>
      </c>
      <c r="B524" s="22">
        <v>21</v>
      </c>
      <c r="C524" s="22">
        <v>3</v>
      </c>
      <c r="D524" s="2" t="s">
        <v>432</v>
      </c>
      <c r="E524" s="22"/>
      <c r="F524" s="18">
        <f>116570.68+1199771.19+49626.78+300041.5+28613.81</f>
        <v>1694623.96</v>
      </c>
      <c r="G524" s="18">
        <v>962546.41</v>
      </c>
      <c r="H524" s="18">
        <f>248185.59+1936198.94</f>
        <v>2184384.5299999998</v>
      </c>
      <c r="I524" s="18">
        <v>13019.52</v>
      </c>
      <c r="J524" s="18"/>
      <c r="K524" s="18">
        <v>136.12</v>
      </c>
      <c r="L524" s="69">
        <f>SUM(F524:K524)</f>
        <v>4854710.54</v>
      </c>
      <c r="N524" s="130"/>
    </row>
    <row r="525" spans="1:14" ht="12.2" customHeight="1" thickTop="1" x14ac:dyDescent="0.2">
      <c r="A525" s="97" t="s">
        <v>63</v>
      </c>
      <c r="B525" s="41">
        <v>21</v>
      </c>
      <c r="C525" s="41">
        <v>4</v>
      </c>
      <c r="D525" s="115" t="s">
        <v>432</v>
      </c>
      <c r="E525" s="41"/>
      <c r="F525" s="81">
        <f>SUM(F522:F524)</f>
        <v>9011741.3599999994</v>
      </c>
      <c r="G525" s="81">
        <f t="shared" ref="G525:L525" si="36">SUM(G522:G524)</f>
        <v>5118669.0999999996</v>
      </c>
      <c r="H525" s="81">
        <f t="shared" si="36"/>
        <v>3757317.9099999997</v>
      </c>
      <c r="I525" s="81">
        <f t="shared" si="36"/>
        <v>89117.63</v>
      </c>
      <c r="J525" s="81">
        <f t="shared" si="36"/>
        <v>13619.16</v>
      </c>
      <c r="K525" s="81">
        <f t="shared" si="36"/>
        <v>627.5</v>
      </c>
      <c r="L525" s="70">
        <f t="shared" si="36"/>
        <v>17991092.66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1893210.87-4800</f>
        <v>1888410.87</v>
      </c>
      <c r="G527" s="18">
        <v>1070951.8600000001</v>
      </c>
      <c r="H527" s="18">
        <v>358985.67</v>
      </c>
      <c r="I527" s="18">
        <v>30395.87</v>
      </c>
      <c r="J527" s="18">
        <v>6031.55</v>
      </c>
      <c r="K527" s="18">
        <v>78.69</v>
      </c>
      <c r="L527" s="69">
        <f>SUM(F527:K527)</f>
        <v>3354854.5100000002</v>
      </c>
      <c r="M527" s="8"/>
      <c r="N527" s="164"/>
    </row>
    <row r="528" spans="1:14" s="3" customFormat="1" ht="12.2" customHeight="1" x14ac:dyDescent="0.15">
      <c r="A528" s="21" t="s">
        <v>634</v>
      </c>
      <c r="B528" s="22">
        <v>21</v>
      </c>
      <c r="C528" s="22">
        <v>6</v>
      </c>
      <c r="D528" s="2" t="s">
        <v>432</v>
      </c>
      <c r="E528" s="22"/>
      <c r="F528" s="18">
        <v>1006501.31</v>
      </c>
      <c r="G528" s="18">
        <v>571692.74</v>
      </c>
      <c r="H528" s="18">
        <v>158121.18</v>
      </c>
      <c r="I528" s="18">
        <v>16965.14</v>
      </c>
      <c r="J528" s="18">
        <v>3366.45</v>
      </c>
      <c r="K528" s="18">
        <v>43.92</v>
      </c>
      <c r="L528" s="69">
        <f>SUM(F528:K528)</f>
        <v>1756690.7399999998</v>
      </c>
      <c r="M528" s="8"/>
      <c r="N528" s="164"/>
    </row>
    <row r="529" spans="1:14" s="3" customFormat="1" ht="12.2" customHeight="1" thickBot="1" x14ac:dyDescent="0.2">
      <c r="A529" s="21" t="s">
        <v>635</v>
      </c>
      <c r="B529" s="22">
        <v>21</v>
      </c>
      <c r="C529" s="22">
        <v>7</v>
      </c>
      <c r="D529" s="2" t="s">
        <v>432</v>
      </c>
      <c r="E529" s="22"/>
      <c r="F529" s="18">
        <v>2008298.81</v>
      </c>
      <c r="G529" s="18">
        <v>1140713.72</v>
      </c>
      <c r="H529" s="18">
        <v>148163.18</v>
      </c>
      <c r="I529" s="18">
        <v>23327.06</v>
      </c>
      <c r="J529" s="18">
        <v>4628.87</v>
      </c>
      <c r="K529" s="18">
        <v>60.39</v>
      </c>
      <c r="L529" s="69">
        <f>SUM(F529:K529)</f>
        <v>3325192.0300000007</v>
      </c>
      <c r="M529" s="8"/>
      <c r="N529" s="164"/>
    </row>
    <row r="530" spans="1:14" s="3" customFormat="1" ht="12.2" customHeight="1" thickTop="1" x14ac:dyDescent="0.15">
      <c r="A530" s="97" t="s">
        <v>65</v>
      </c>
      <c r="B530" s="41">
        <v>21</v>
      </c>
      <c r="C530" s="41">
        <v>8</v>
      </c>
      <c r="D530" s="115" t="s">
        <v>432</v>
      </c>
      <c r="E530" s="41"/>
      <c r="F530" s="70">
        <f>SUM(F527:F529)</f>
        <v>4903210.99</v>
      </c>
      <c r="G530" s="70">
        <f t="shared" ref="G530:L530" si="37">SUM(G527:G529)</f>
        <v>2783358.3200000003</v>
      </c>
      <c r="H530" s="70">
        <f t="shared" si="37"/>
        <v>665270.03</v>
      </c>
      <c r="I530" s="70">
        <f t="shared" si="37"/>
        <v>70688.069999999992</v>
      </c>
      <c r="J530" s="70">
        <f t="shared" si="37"/>
        <v>14026.869999999999</v>
      </c>
      <c r="K530" s="70">
        <f t="shared" si="37"/>
        <v>183</v>
      </c>
      <c r="L530" s="70">
        <f t="shared" si="37"/>
        <v>8436737.2800000012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94650.26</v>
      </c>
      <c r="G532" s="18">
        <v>53761.35</v>
      </c>
      <c r="H532" s="18"/>
      <c r="I532" s="18"/>
      <c r="J532" s="18"/>
      <c r="K532" s="18"/>
      <c r="L532" s="69">
        <f>SUM(F532:K532)</f>
        <v>148411.60999999999</v>
      </c>
      <c r="M532" s="8"/>
      <c r="N532" s="164"/>
    </row>
    <row r="533" spans="1:14" s="3" customFormat="1" ht="12.2" customHeight="1" x14ac:dyDescent="0.15">
      <c r="A533" s="21" t="s">
        <v>634</v>
      </c>
      <c r="B533" s="22">
        <v>21</v>
      </c>
      <c r="C533" s="22">
        <v>10</v>
      </c>
      <c r="D533" s="2" t="s">
        <v>432</v>
      </c>
      <c r="E533" s="22"/>
      <c r="F533" s="18">
        <v>52828.05</v>
      </c>
      <c r="G533" s="18">
        <v>30006.33</v>
      </c>
      <c r="H533" s="18"/>
      <c r="I533" s="18"/>
      <c r="J533" s="18"/>
      <c r="K533" s="18"/>
      <c r="L533" s="69">
        <f>SUM(F533:K533)</f>
        <v>82834.38</v>
      </c>
      <c r="M533" s="8"/>
      <c r="N533" s="164"/>
    </row>
    <row r="534" spans="1:14" s="3" customFormat="1" ht="12.2" customHeight="1" thickBot="1" x14ac:dyDescent="0.2">
      <c r="A534" s="21" t="s">
        <v>635</v>
      </c>
      <c r="B534" s="22">
        <v>21</v>
      </c>
      <c r="C534" s="22">
        <v>11</v>
      </c>
      <c r="D534" s="2" t="s">
        <v>432</v>
      </c>
      <c r="E534" s="22"/>
      <c r="F534" s="18">
        <v>72638.570000000007</v>
      </c>
      <c r="G534" s="18">
        <v>41258.71</v>
      </c>
      <c r="H534" s="18"/>
      <c r="I534" s="18"/>
      <c r="J534" s="18"/>
      <c r="K534" s="18"/>
      <c r="L534" s="69">
        <f>SUM(F534:K534)</f>
        <v>113897.28</v>
      </c>
      <c r="M534" s="8"/>
      <c r="N534" s="164"/>
    </row>
    <row r="535" spans="1:14" s="3" customFormat="1" ht="12.2" customHeight="1" thickTop="1" x14ac:dyDescent="0.15">
      <c r="A535" s="97" t="s">
        <v>67</v>
      </c>
      <c r="B535" s="41">
        <v>21</v>
      </c>
      <c r="C535" s="41">
        <v>12</v>
      </c>
      <c r="D535" s="115" t="s">
        <v>432</v>
      </c>
      <c r="E535" s="41"/>
      <c r="F535" s="70">
        <f>SUM(F532:F534)</f>
        <v>220116.88</v>
      </c>
      <c r="G535" s="70">
        <f t="shared" ref="G535:L535" si="38">SUM(G532:G534)</f>
        <v>125026.38999999998</v>
      </c>
      <c r="H535" s="70">
        <f t="shared" si="38"/>
        <v>0</v>
      </c>
      <c r="I535" s="70">
        <f t="shared" si="38"/>
        <v>0</v>
      </c>
      <c r="J535" s="70">
        <f t="shared" si="38"/>
        <v>0</v>
      </c>
      <c r="K535" s="70">
        <f t="shared" si="38"/>
        <v>0</v>
      </c>
      <c r="L535" s="70">
        <f t="shared" si="38"/>
        <v>345143.27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4986.07</v>
      </c>
      <c r="I537" s="18"/>
      <c r="J537" s="18"/>
      <c r="K537" s="18"/>
      <c r="L537" s="69">
        <f>SUM(F537:K537)</f>
        <v>4986.07</v>
      </c>
      <c r="M537" s="8"/>
      <c r="N537" s="164"/>
    </row>
    <row r="538" spans="1:14" s="3" customFormat="1" ht="12.2" customHeight="1" x14ac:dyDescent="0.15">
      <c r="A538" s="21" t="s">
        <v>634</v>
      </c>
      <c r="B538" s="22">
        <v>21</v>
      </c>
      <c r="C538" s="22">
        <v>14</v>
      </c>
      <c r="D538" s="2" t="s">
        <v>432</v>
      </c>
      <c r="E538" s="22"/>
      <c r="F538" s="18"/>
      <c r="G538" s="18"/>
      <c r="H538" s="18">
        <v>2782.92</v>
      </c>
      <c r="I538" s="18"/>
      <c r="J538" s="18"/>
      <c r="K538" s="18"/>
      <c r="L538" s="69">
        <f>SUM(F538:K538)</f>
        <v>2782.92</v>
      </c>
      <c r="M538" s="8"/>
      <c r="N538" s="164"/>
    </row>
    <row r="539" spans="1:14" s="3" customFormat="1" ht="12.2" customHeight="1" thickBot="1" x14ac:dyDescent="0.2">
      <c r="A539" s="21" t="s">
        <v>635</v>
      </c>
      <c r="B539" s="22">
        <v>21</v>
      </c>
      <c r="C539" s="22">
        <v>15</v>
      </c>
      <c r="D539" s="2" t="s">
        <v>432</v>
      </c>
      <c r="E539" s="22"/>
      <c r="F539" s="18"/>
      <c r="G539" s="18"/>
      <c r="H539" s="18">
        <f>11595.52-2782.92-4986.07</f>
        <v>3826.5300000000007</v>
      </c>
      <c r="I539" s="18"/>
      <c r="J539" s="18"/>
      <c r="K539" s="18"/>
      <c r="L539" s="69">
        <f>SUM(F539:K539)</f>
        <v>3826.5300000000007</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11595.52</v>
      </c>
      <c r="I540" s="70">
        <f t="shared" si="39"/>
        <v>0</v>
      </c>
      <c r="J540" s="70">
        <f t="shared" si="39"/>
        <v>0</v>
      </c>
      <c r="K540" s="70">
        <f t="shared" si="39"/>
        <v>0</v>
      </c>
      <c r="L540" s="70">
        <f t="shared" si="39"/>
        <v>11595.52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65742.08+538984.94+83894.04</f>
        <v>688621.05999999994</v>
      </c>
      <c r="I542" s="18"/>
      <c r="J542" s="18"/>
      <c r="K542" s="18"/>
      <c r="L542" s="69">
        <f>SUM(F542:K542)</f>
        <v>688621.05999999994</v>
      </c>
      <c r="M542" s="8"/>
      <c r="N542" s="164"/>
    </row>
    <row r="543" spans="1:14" s="3" customFormat="1" ht="12.2" customHeight="1" x14ac:dyDescent="0.15">
      <c r="A543" s="21" t="s">
        <v>634</v>
      </c>
      <c r="B543" s="22">
        <v>21</v>
      </c>
      <c r="C543" s="22">
        <v>18</v>
      </c>
      <c r="D543" s="2" t="s">
        <v>432</v>
      </c>
      <c r="E543" s="22"/>
      <c r="F543" s="18"/>
      <c r="G543" s="18"/>
      <c r="H543" s="18">
        <f>224485.14+165841.52</f>
        <v>390326.66000000003</v>
      </c>
      <c r="I543" s="18"/>
      <c r="J543" s="18"/>
      <c r="K543" s="18"/>
      <c r="L543" s="69">
        <f>SUM(F543:K543)</f>
        <v>390326.66000000003</v>
      </c>
      <c r="M543" s="8"/>
      <c r="N543" s="164"/>
    </row>
    <row r="544" spans="1:14" s="3" customFormat="1" ht="12.2" customHeight="1" thickBot="1" x14ac:dyDescent="0.2">
      <c r="A544" s="21" t="s">
        <v>635</v>
      </c>
      <c r="B544" s="22">
        <v>21</v>
      </c>
      <c r="C544" s="22">
        <v>19</v>
      </c>
      <c r="D544" s="2" t="s">
        <v>432</v>
      </c>
      <c r="E544" s="22"/>
      <c r="F544" s="18"/>
      <c r="G544" s="18"/>
      <c r="H544" s="18">
        <f>511505.41+207271.84+848.5</f>
        <v>719625.75</v>
      </c>
      <c r="I544" s="18"/>
      <c r="J544" s="18"/>
      <c r="K544" s="18"/>
      <c r="L544" s="69">
        <f>SUM(F544:K544)</f>
        <v>719625.75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1798573.47</v>
      </c>
      <c r="I545" s="140">
        <f t="shared" si="40"/>
        <v>0</v>
      </c>
      <c r="J545" s="140">
        <f t="shared" si="40"/>
        <v>0</v>
      </c>
      <c r="K545" s="140">
        <f t="shared" si="40"/>
        <v>0</v>
      </c>
      <c r="L545" s="140">
        <f t="shared" si="40"/>
        <v>1798573.47</v>
      </c>
      <c r="M545" s="8"/>
      <c r="N545" s="164"/>
    </row>
    <row r="546" spans="1:14" s="3" customFormat="1" ht="12.2" customHeight="1" thickTop="1" x14ac:dyDescent="0.15">
      <c r="A546" s="75" t="s">
        <v>72</v>
      </c>
      <c r="B546" s="41">
        <v>21</v>
      </c>
      <c r="C546" s="41">
        <v>21</v>
      </c>
      <c r="D546" s="115" t="s">
        <v>432</v>
      </c>
      <c r="E546" s="41"/>
      <c r="F546" s="70">
        <f>F525+F530+F535+F540+F545</f>
        <v>14135069.23</v>
      </c>
      <c r="G546" s="70">
        <f t="shared" ref="G546:L546" si="41">G525+G530+G535+G540+G545</f>
        <v>8027053.8099999996</v>
      </c>
      <c r="H546" s="70">
        <f t="shared" si="41"/>
        <v>6232756.9299999988</v>
      </c>
      <c r="I546" s="70">
        <f t="shared" si="41"/>
        <v>159805.70000000001</v>
      </c>
      <c r="J546" s="70">
        <f t="shared" si="41"/>
        <v>27646.03</v>
      </c>
      <c r="K546" s="70">
        <f t="shared" si="41"/>
        <v>810.5</v>
      </c>
      <c r="L546" s="70">
        <f t="shared" si="41"/>
        <v>28583142.199999999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9599206.4300000016</v>
      </c>
      <c r="G550" s="69">
        <f>L527</f>
        <v>3354854.5100000002</v>
      </c>
      <c r="H550" s="69">
        <f>L532</f>
        <v>148411.60999999999</v>
      </c>
      <c r="I550" s="69">
        <f>L537</f>
        <v>4986.07</v>
      </c>
      <c r="J550" s="69">
        <f>L542</f>
        <v>688621.05999999994</v>
      </c>
      <c r="K550" s="69">
        <f>SUM(F550:J550)</f>
        <v>13796079.680000002</v>
      </c>
      <c r="L550" s="23" t="s">
        <v>288</v>
      </c>
      <c r="M550" s="8"/>
      <c r="N550" s="164"/>
    </row>
    <row r="551" spans="1:14" s="3" customFormat="1" ht="12.2" customHeight="1" x14ac:dyDescent="0.15">
      <c r="A551" s="21" t="s">
        <v>634</v>
      </c>
      <c r="B551" s="22">
        <v>21</v>
      </c>
      <c r="C551" s="22">
        <v>23</v>
      </c>
      <c r="D551" s="2" t="s">
        <v>432</v>
      </c>
      <c r="E551" s="22"/>
      <c r="F551" s="69">
        <f>L523</f>
        <v>3537175.69</v>
      </c>
      <c r="G551" s="69">
        <f>L528</f>
        <v>1756690.7399999998</v>
      </c>
      <c r="H551" s="69">
        <f>L533</f>
        <v>82834.38</v>
      </c>
      <c r="I551" s="69">
        <f>L538</f>
        <v>2782.92</v>
      </c>
      <c r="J551" s="69">
        <f>L543</f>
        <v>390326.66000000003</v>
      </c>
      <c r="K551" s="69">
        <f>SUM(F551:J551)</f>
        <v>5769810.3899999997</v>
      </c>
      <c r="L551" s="23" t="s">
        <v>288</v>
      </c>
      <c r="M551" s="8"/>
      <c r="N551" s="164"/>
    </row>
    <row r="552" spans="1:14" s="3" customFormat="1" ht="12.2" customHeight="1" thickBot="1" x14ac:dyDescent="0.2">
      <c r="A552" s="21" t="s">
        <v>635</v>
      </c>
      <c r="B552" s="22">
        <v>21</v>
      </c>
      <c r="C552" s="22">
        <v>24</v>
      </c>
      <c r="D552" s="2" t="s">
        <v>432</v>
      </c>
      <c r="E552" s="22"/>
      <c r="F552" s="69">
        <f>L524</f>
        <v>4854710.54</v>
      </c>
      <c r="G552" s="69">
        <f>L529</f>
        <v>3325192.0300000007</v>
      </c>
      <c r="H552" s="69">
        <f>L534</f>
        <v>113897.28</v>
      </c>
      <c r="I552" s="69">
        <f>L539</f>
        <v>3826.5300000000007</v>
      </c>
      <c r="J552" s="69">
        <f>L544</f>
        <v>719625.75</v>
      </c>
      <c r="K552" s="69">
        <f>SUM(F552:J552)</f>
        <v>9017252.1300000008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17991092.66</v>
      </c>
      <c r="G553" s="70">
        <f t="shared" si="42"/>
        <v>8436737.2800000012</v>
      </c>
      <c r="H553" s="70">
        <f t="shared" si="42"/>
        <v>345143.27</v>
      </c>
      <c r="I553" s="70">
        <f t="shared" si="42"/>
        <v>11595.52</v>
      </c>
      <c r="J553" s="70">
        <f t="shared" si="42"/>
        <v>1798573.47</v>
      </c>
      <c r="K553" s="70">
        <f t="shared" si="42"/>
        <v>28583142.200000003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74992.06</v>
      </c>
      <c r="G563" s="18">
        <v>42595.49</v>
      </c>
      <c r="H563" s="18"/>
      <c r="I563" s="18">
        <v>735.09</v>
      </c>
      <c r="J563" s="18"/>
      <c r="K563" s="18"/>
      <c r="L563" s="69">
        <f>SUM(F563:K563)</f>
        <v>118322.63999999998</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64905.1</v>
      </c>
      <c r="G565" s="18">
        <v>36866.1</v>
      </c>
      <c r="H565" s="18"/>
      <c r="I565" s="18">
        <v>636.34</v>
      </c>
      <c r="J565" s="18"/>
      <c r="K565" s="18"/>
      <c r="L565" s="69">
        <f>SUM(F565:K565)</f>
        <v>102407.54</v>
      </c>
      <c r="M565" s="8"/>
      <c r="N565" s="164"/>
    </row>
    <row r="566" spans="1:14" s="3" customFormat="1" ht="12.2" customHeight="1" thickTop="1" x14ac:dyDescent="0.15">
      <c r="A566" s="97" t="s">
        <v>65</v>
      </c>
      <c r="B566" s="41">
        <v>22</v>
      </c>
      <c r="C566" s="41">
        <v>8</v>
      </c>
      <c r="D566" s="115" t="s">
        <v>432</v>
      </c>
      <c r="E566" s="41"/>
      <c r="F566" s="70">
        <f t="shared" ref="F566:L566" si="44">SUM(F563:F565)</f>
        <v>139897.16</v>
      </c>
      <c r="G566" s="70">
        <f t="shared" si="44"/>
        <v>79461.59</v>
      </c>
      <c r="H566" s="70">
        <f t="shared" si="44"/>
        <v>0</v>
      </c>
      <c r="I566" s="70">
        <f t="shared" si="44"/>
        <v>1371.43</v>
      </c>
      <c r="J566" s="70">
        <f t="shared" si="44"/>
        <v>0</v>
      </c>
      <c r="K566" s="70">
        <f t="shared" si="44"/>
        <v>0</v>
      </c>
      <c r="L566" s="70">
        <f t="shared" si="44"/>
        <v>220730.18</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f>125512.66+109441.62+110461.26+2119.5</f>
        <v>347535.04</v>
      </c>
      <c r="G568" s="18">
        <v>197399.9</v>
      </c>
      <c r="H568" s="18"/>
      <c r="I568" s="18">
        <v>546.34</v>
      </c>
      <c r="J568" s="18"/>
      <c r="K568" s="18">
        <v>247.5</v>
      </c>
      <c r="L568" s="69">
        <f>SUM(F568:K568)</f>
        <v>545728.77999999991</v>
      </c>
      <c r="M568" s="8"/>
      <c r="N568" s="164"/>
    </row>
    <row r="569" spans="1:14" s="3" customFormat="1" ht="12.2" customHeight="1" x14ac:dyDescent="0.15">
      <c r="A569" s="21" t="s">
        <v>634</v>
      </c>
      <c r="B569" s="22">
        <v>22</v>
      </c>
      <c r="C569" s="22">
        <v>10</v>
      </c>
      <c r="D569" s="2" t="s">
        <v>432</v>
      </c>
      <c r="E569" s="22"/>
      <c r="F569" s="18">
        <f>60588.06+2119.5</f>
        <v>62707.56</v>
      </c>
      <c r="G569" s="18">
        <v>35617.89</v>
      </c>
      <c r="H569" s="18"/>
      <c r="I569" s="18">
        <f>299.36+364.22</f>
        <v>663.58</v>
      </c>
      <c r="J569" s="18"/>
      <c r="K569" s="18">
        <v>165</v>
      </c>
      <c r="L569" s="69">
        <f>SUM(F569:K569)</f>
        <v>99154.03</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410242.6</v>
      </c>
      <c r="G571" s="140">
        <f t="shared" ref="G571:L571" si="45">SUM(G568:G570)</f>
        <v>233017.78999999998</v>
      </c>
      <c r="H571" s="140">
        <f t="shared" si="45"/>
        <v>0</v>
      </c>
      <c r="I571" s="140">
        <f t="shared" si="45"/>
        <v>1209.92</v>
      </c>
      <c r="J571" s="140">
        <f t="shared" si="45"/>
        <v>0</v>
      </c>
      <c r="K571" s="140">
        <f t="shared" si="45"/>
        <v>412.5</v>
      </c>
      <c r="L571" s="140">
        <f t="shared" si="45"/>
        <v>644882.80999999994</v>
      </c>
      <c r="M571" s="8"/>
      <c r="N571" s="164"/>
    </row>
    <row r="572" spans="1:14" s="3" customFormat="1" ht="12.2" customHeight="1" thickTop="1" x14ac:dyDescent="0.15">
      <c r="A572" s="75" t="s">
        <v>88</v>
      </c>
      <c r="B572" s="41">
        <v>22</v>
      </c>
      <c r="C572" s="41">
        <v>13</v>
      </c>
      <c r="D572" s="115" t="s">
        <v>432</v>
      </c>
      <c r="E572" s="41"/>
      <c r="F572" s="70">
        <f>F561+F566+F571</f>
        <v>550139.76</v>
      </c>
      <c r="G572" s="70">
        <f t="shared" ref="G572:L572" si="46">G561+G566+G571</f>
        <v>312479.38</v>
      </c>
      <c r="H572" s="70">
        <f t="shared" si="46"/>
        <v>0</v>
      </c>
      <c r="I572" s="70">
        <f t="shared" si="46"/>
        <v>2581.3500000000004</v>
      </c>
      <c r="J572" s="70">
        <f t="shared" si="46"/>
        <v>0</v>
      </c>
      <c r="K572" s="70">
        <f t="shared" si="46"/>
        <v>412.5</v>
      </c>
      <c r="L572" s="70">
        <f t="shared" si="46"/>
        <v>865612.99</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55036.54</v>
      </c>
      <c r="G580" s="18"/>
      <c r="H580" s="18"/>
      <c r="I580" s="69">
        <f t="shared" si="47"/>
        <v>55036.54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9384</v>
      </c>
      <c r="I582" s="69">
        <f t="shared" si="47"/>
        <v>9384</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117804.14</v>
      </c>
      <c r="G583" s="18">
        <f>677.54+389201.24</f>
        <v>389878.77999999997</v>
      </c>
      <c r="H583" s="18">
        <v>1644409.3</v>
      </c>
      <c r="I583" s="69">
        <f t="shared" si="47"/>
        <v>2152092.2200000002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10140</v>
      </c>
      <c r="I584" s="69">
        <f t="shared" si="47"/>
        <v>10140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188006.57</v>
      </c>
      <c r="I585" s="69">
        <f t="shared" si="47"/>
        <v>188006.57</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172840.68</v>
      </c>
      <c r="G589" s="79">
        <f t="shared" ref="G589:I589" si="48">SUM(G576:G588)</f>
        <v>389878.77999999997</v>
      </c>
      <c r="H589" s="79">
        <f t="shared" si="48"/>
        <v>1851939.87</v>
      </c>
      <c r="I589" s="79">
        <f t="shared" si="48"/>
        <v>2414659.33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1313380.3700000001</v>
      </c>
      <c r="I592" s="18">
        <v>985035.28</v>
      </c>
      <c r="J592" s="18">
        <f>985035.28-35553</f>
        <v>949482.28</v>
      </c>
      <c r="K592" s="80">
        <f t="shared" ref="K592:K598" si="49">SUM(H592:J592)</f>
        <v>3247897.9300000006</v>
      </c>
      <c r="L592" s="23" t="s">
        <v>288</v>
      </c>
      <c r="M592" s="8"/>
      <c r="N592" s="164"/>
    </row>
    <row r="593" spans="1:14" s="3" customFormat="1" ht="12.2" customHeight="1" x14ac:dyDescent="0.15">
      <c r="A593" s="3" t="s">
        <v>638</v>
      </c>
      <c r="B593" s="22">
        <v>23</v>
      </c>
      <c r="C593" s="22">
        <v>2</v>
      </c>
      <c r="D593" s="2" t="s">
        <v>432</v>
      </c>
      <c r="E593" s="22"/>
      <c r="F593" s="78">
        <v>2722</v>
      </c>
      <c r="G593" s="79" t="s">
        <v>97</v>
      </c>
      <c r="H593" s="18">
        <f>65742.08+538984.94+83894.04</f>
        <v>688621.05999999994</v>
      </c>
      <c r="I593" s="18">
        <f>224485.14+165841.52</f>
        <v>390326.66000000003</v>
      </c>
      <c r="J593" s="18">
        <f>511505.41+207271.84+848.5</f>
        <v>719625.75</v>
      </c>
      <c r="K593" s="80">
        <f t="shared" si="49"/>
        <v>1798573.47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35553</v>
      </c>
      <c r="K594" s="80">
        <f t="shared" si="49"/>
        <v>35553</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28712.05</v>
      </c>
      <c r="J595" s="18">
        <v>116852.29</v>
      </c>
      <c r="K595" s="80">
        <f t="shared" si="49"/>
        <v>145564.34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703</v>
      </c>
      <c r="I596" s="18">
        <v>1143.95</v>
      </c>
      <c r="J596" s="18">
        <f>785.39+20926.5</f>
        <v>21711.89</v>
      </c>
      <c r="K596" s="80">
        <f t="shared" si="49"/>
        <v>23558.84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2002704.4300000002</v>
      </c>
      <c r="I599" s="81">
        <f>SUM(I592:I598)</f>
        <v>1405217.94</v>
      </c>
      <c r="J599" s="81">
        <f>SUM(J592:J598)</f>
        <v>1843225.21</v>
      </c>
      <c r="K599" s="81">
        <f>SUM(K592:K598)</f>
        <v>5251147.58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106396.63+2902.56</f>
        <v>109299.19</v>
      </c>
      <c r="I605" s="18">
        <f>1655.68+331566.24</f>
        <v>333221.92</v>
      </c>
      <c r="J605" s="18">
        <f>2853.19+461649.11+2255.27</f>
        <v>466757.57</v>
      </c>
      <c r="K605" s="80">
        <f>SUM(H605:J605)</f>
        <v>909278.67999999993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109299.19</v>
      </c>
      <c r="I606" s="81">
        <f>SUM(I603:I605)</f>
        <v>333221.92</v>
      </c>
      <c r="J606" s="81">
        <f>SUM(J603:J605)</f>
        <v>466757.57</v>
      </c>
      <c r="K606" s="81">
        <f>SUM(K603:K605)</f>
        <v>909278.67999999993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1350+113602.04+15829+22284.08+30597.4+17367.4+6664.15</f>
        <v>207694.06999999998</v>
      </c>
      <c r="G612" s="18">
        <v>117970.23</v>
      </c>
      <c r="H612" s="18"/>
      <c r="I612" s="18">
        <f>560.52+994.94</f>
        <v>1555.46</v>
      </c>
      <c r="J612" s="18"/>
      <c r="K612" s="18"/>
      <c r="L612" s="69">
        <f>SUM(F612:K612)</f>
        <v>327219.76</v>
      </c>
      <c r="M612" s="8"/>
      <c r="N612" s="164"/>
    </row>
    <row r="613" spans="1:14" s="3" customFormat="1" ht="12.2" customHeight="1" x14ac:dyDescent="0.15">
      <c r="A613" s="21" t="s">
        <v>634</v>
      </c>
      <c r="B613" s="22">
        <v>23</v>
      </c>
      <c r="C613" s="22">
        <v>14</v>
      </c>
      <c r="D613" s="2" t="s">
        <v>432</v>
      </c>
      <c r="E613" s="22"/>
      <c r="F613" s="18">
        <f>11795+37867.34+12550+2221.39</f>
        <v>64433.729999999996</v>
      </c>
      <c r="G613" s="18">
        <v>36598.36</v>
      </c>
      <c r="H613" s="18"/>
      <c r="I613" s="18">
        <f>312.85+146.22</f>
        <v>459.07000000000005</v>
      </c>
      <c r="J613" s="18"/>
      <c r="K613" s="18"/>
      <c r="L613" s="69">
        <f>SUM(F613:K613)</f>
        <v>101491.16</v>
      </c>
      <c r="M613" s="8"/>
      <c r="N613" s="164"/>
    </row>
    <row r="614" spans="1:14" s="3" customFormat="1" ht="12.2" customHeight="1" thickBot="1" x14ac:dyDescent="0.2">
      <c r="A614" s="21" t="s">
        <v>645</v>
      </c>
      <c r="B614" s="22">
        <v>23</v>
      </c>
      <c r="C614" s="22">
        <v>15</v>
      </c>
      <c r="D614" s="2" t="s">
        <v>432</v>
      </c>
      <c r="E614" s="22"/>
      <c r="F614" s="18">
        <f>33827+37867.34+2221.38</f>
        <v>73915.72</v>
      </c>
      <c r="G614" s="18">
        <v>41984.13</v>
      </c>
      <c r="H614" s="18"/>
      <c r="I614" s="18">
        <v>430.17</v>
      </c>
      <c r="J614" s="18"/>
      <c r="K614" s="18"/>
      <c r="L614" s="69">
        <f>SUM(F614:K614)</f>
        <v>116330.02</v>
      </c>
      <c r="M614" s="8"/>
      <c r="N614" s="164"/>
    </row>
    <row r="615" spans="1:14" s="3" customFormat="1" ht="12.2" customHeight="1" thickTop="1" x14ac:dyDescent="0.15">
      <c r="A615" s="75" t="s">
        <v>340</v>
      </c>
      <c r="B615" s="41">
        <v>23</v>
      </c>
      <c r="C615" s="41">
        <v>16</v>
      </c>
      <c r="D615" s="36" t="s">
        <v>432</v>
      </c>
      <c r="E615" s="41"/>
      <c r="F615" s="81">
        <f t="shared" ref="F615:L615" si="50">SUM(F612:F614)</f>
        <v>346043.52</v>
      </c>
      <c r="G615" s="81">
        <f t="shared" si="50"/>
        <v>196552.72</v>
      </c>
      <c r="H615" s="81">
        <f t="shared" si="50"/>
        <v>0</v>
      </c>
      <c r="I615" s="81">
        <f t="shared" si="50"/>
        <v>2444.7000000000003</v>
      </c>
      <c r="J615" s="81">
        <f t="shared" si="50"/>
        <v>0</v>
      </c>
      <c r="K615" s="81">
        <f t="shared" si="50"/>
        <v>0</v>
      </c>
      <c r="L615" s="70">
        <f t="shared" si="50"/>
        <v>545040.94000000006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11986001.9</v>
      </c>
      <c r="H618" s="80">
        <f>SUM(F52)</f>
        <v>11986001.9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2678848.21</v>
      </c>
      <c r="H619" s="80">
        <f>SUM(G52)</f>
        <v>2678848.21</v>
      </c>
      <c r="I619" s="87" t="s">
        <v>872</v>
      </c>
      <c r="J619" s="80">
        <f>G619-H619</f>
        <v>0</v>
      </c>
      <c r="K619" s="80"/>
      <c r="L619" s="80"/>
      <c r="M619" s="8"/>
    </row>
    <row r="620" spans="1:14" s="3" customFormat="1" ht="12.2" customHeight="1" x14ac:dyDescent="0.15">
      <c r="A620" s="74"/>
      <c r="B620" s="22"/>
      <c r="C620" s="22"/>
      <c r="D620" s="22"/>
      <c r="E620" s="22"/>
      <c r="F620" s="87" t="s">
        <v>685</v>
      </c>
      <c r="G620" s="80">
        <f>SUM(H19)</f>
        <v>2660751.91</v>
      </c>
      <c r="H620" s="80">
        <f>SUM(H52)</f>
        <v>2660751.91</v>
      </c>
      <c r="I620" s="87" t="s">
        <v>873</v>
      </c>
      <c r="J620" s="80">
        <f>G620-H620</f>
        <v>0</v>
      </c>
      <c r="K620" s="80"/>
      <c r="L620" s="80"/>
      <c r="M620" s="8"/>
    </row>
    <row r="621" spans="1:14" s="3" customFormat="1" ht="12.2" customHeight="1" x14ac:dyDescent="0.15">
      <c r="A621" s="74"/>
      <c r="B621" s="22"/>
      <c r="C621" s="22"/>
      <c r="D621" s="22"/>
      <c r="E621" s="22"/>
      <c r="F621" s="87" t="s">
        <v>686</v>
      </c>
      <c r="G621" s="80">
        <f>SUM(I19)</f>
        <v>5120443.59</v>
      </c>
      <c r="H621" s="80">
        <f>SUM(I52)</f>
        <v>5120443.59</v>
      </c>
      <c r="I621" s="87" t="s">
        <v>874</v>
      </c>
      <c r="J621" s="80">
        <f>G621-H621</f>
        <v>0</v>
      </c>
      <c r="K621" s="80"/>
      <c r="L621" s="80"/>
      <c r="M621" s="8"/>
    </row>
    <row r="622" spans="1:14" s="3" customFormat="1" ht="12.2" customHeight="1" x14ac:dyDescent="0.15">
      <c r="A622" s="74"/>
      <c r="B622" s="22"/>
      <c r="C622" s="22"/>
      <c r="D622" s="22"/>
      <c r="E622" s="22"/>
      <c r="F622" s="87" t="s">
        <v>687</v>
      </c>
      <c r="G622" s="80">
        <f>SUM(J19)</f>
        <v>837787.54</v>
      </c>
      <c r="H622" s="80">
        <f>SUM(J52)</f>
        <v>837787.54</v>
      </c>
      <c r="I622" s="87" t="s">
        <v>875</v>
      </c>
      <c r="J622" s="80">
        <f>G622-H622</f>
        <v>0</v>
      </c>
      <c r="K622" s="80"/>
      <c r="L622" s="80"/>
      <c r="M622" s="8"/>
    </row>
    <row r="623" spans="1:14" s="3" customFormat="1" ht="12.2" customHeight="1" x14ac:dyDescent="0.15">
      <c r="A623" s="74"/>
      <c r="B623" s="22"/>
      <c r="C623" s="22"/>
      <c r="D623" s="22"/>
      <c r="E623" s="22"/>
      <c r="F623" s="87" t="s">
        <v>861</v>
      </c>
      <c r="G623" s="80">
        <f>F51</f>
        <v>2852577.56</v>
      </c>
      <c r="H623" s="80">
        <f>F477</f>
        <v>2852577.5600000024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696082.91</v>
      </c>
      <c r="H624" s="80">
        <f>G477</f>
        <v>696082.91000000015</v>
      </c>
      <c r="I624" s="87" t="s">
        <v>102</v>
      </c>
      <c r="J624" s="80">
        <f t="shared" si="51"/>
        <v>0</v>
      </c>
      <c r="K624" s="80"/>
      <c r="L624" s="80"/>
      <c r="M624" s="8"/>
    </row>
    <row r="625" spans="1:13" s="3" customFormat="1" ht="12.2" customHeight="1" x14ac:dyDescent="0.15">
      <c r="A625" s="74"/>
      <c r="B625" s="22"/>
      <c r="C625" s="22"/>
      <c r="D625" s="22"/>
      <c r="E625" s="22"/>
      <c r="F625" s="86" t="s">
        <v>863</v>
      </c>
      <c r="G625" s="80">
        <f>H51</f>
        <v>23836.35</v>
      </c>
      <c r="H625" s="80">
        <f>H477</f>
        <v>23836.350000000093</v>
      </c>
      <c r="I625" s="87" t="s">
        <v>103</v>
      </c>
      <c r="J625" s="80">
        <f t="shared" si="51"/>
        <v>-9.4587448984384537E-11</v>
      </c>
      <c r="K625" s="80"/>
      <c r="L625" s="80"/>
      <c r="M625" s="8"/>
    </row>
    <row r="626" spans="1:13" s="3" customFormat="1" ht="12.2" customHeight="1" x14ac:dyDescent="0.15">
      <c r="A626" s="74"/>
      <c r="B626" s="22"/>
      <c r="C626" s="22"/>
      <c r="D626" s="22"/>
      <c r="E626" s="22"/>
      <c r="F626" s="86" t="s">
        <v>864</v>
      </c>
      <c r="G626" s="80">
        <f>I51</f>
        <v>3064328.25</v>
      </c>
      <c r="H626" s="80">
        <f>I477</f>
        <v>3064328.25</v>
      </c>
      <c r="I626" s="87" t="s">
        <v>104</v>
      </c>
      <c r="J626" s="80">
        <f t="shared" si="51"/>
        <v>0</v>
      </c>
      <c r="K626" s="80"/>
      <c r="L626" s="80"/>
      <c r="M626" s="8"/>
    </row>
    <row r="627" spans="1:13" s="3" customFormat="1" ht="12.2" customHeight="1" x14ac:dyDescent="0.15">
      <c r="A627" s="21"/>
      <c r="B627" s="22"/>
      <c r="C627" s="22"/>
      <c r="D627" s="22"/>
      <c r="E627" s="22"/>
      <c r="F627" s="86" t="s">
        <v>865</v>
      </c>
      <c r="G627" s="80">
        <f>J51</f>
        <v>837787.54</v>
      </c>
      <c r="H627" s="80">
        <f>J477</f>
        <v>837787.54</v>
      </c>
      <c r="I627" s="87" t="s">
        <v>105</v>
      </c>
      <c r="J627" s="80">
        <f t="shared" si="51"/>
        <v>0</v>
      </c>
      <c r="K627" s="67"/>
      <c r="L627" s="69"/>
      <c r="M627" s="8"/>
    </row>
    <row r="628" spans="1:13" s="3" customFormat="1" ht="12.2" customHeight="1" x14ac:dyDescent="0.15">
      <c r="A628" s="21"/>
      <c r="B628" s="22"/>
      <c r="C628" s="22"/>
      <c r="D628" s="22"/>
      <c r="E628" s="22"/>
      <c r="F628" s="86" t="s">
        <v>658</v>
      </c>
      <c r="G628" s="80">
        <f>F194</f>
        <v>87179549.13000001</v>
      </c>
      <c r="H628" s="80">
        <f>SUM(F469)</f>
        <v>87179549.129999995</v>
      </c>
      <c r="I628" s="87" t="s">
        <v>106</v>
      </c>
      <c r="J628" s="80">
        <f>G628-H628</f>
        <v>0</v>
      </c>
      <c r="K628" s="67"/>
      <c r="L628" s="69"/>
      <c r="M628" s="8"/>
    </row>
    <row r="629" spans="1:13" s="3" customFormat="1" ht="12.2" customHeight="1" x14ac:dyDescent="0.15">
      <c r="A629" s="21"/>
      <c r="B629" s="22"/>
      <c r="C629" s="22"/>
      <c r="D629" s="22"/>
      <c r="E629" s="22"/>
      <c r="F629" s="86" t="s">
        <v>659</v>
      </c>
      <c r="G629" s="80">
        <f>G194</f>
        <v>1662618.33</v>
      </c>
      <c r="H629" s="80">
        <f>SUM(G469)</f>
        <v>1662618.33</v>
      </c>
      <c r="I629" s="87" t="s">
        <v>107</v>
      </c>
      <c r="J629" s="80">
        <f>G629-H629</f>
        <v>0</v>
      </c>
      <c r="K629" s="67"/>
      <c r="L629" s="69"/>
      <c r="M629" s="8"/>
    </row>
    <row r="630" spans="1:13" s="3" customFormat="1" ht="12.2" customHeight="1" x14ac:dyDescent="0.15">
      <c r="A630" s="21"/>
      <c r="B630" s="22"/>
      <c r="C630" s="22"/>
      <c r="D630" s="22"/>
      <c r="E630" s="22"/>
      <c r="F630" s="86" t="s">
        <v>660</v>
      </c>
      <c r="G630" s="80">
        <f>H194</f>
        <v>2200331.1800000002</v>
      </c>
      <c r="H630" s="80">
        <f>SUM(H469)</f>
        <v>2200331.1800000002</v>
      </c>
      <c r="I630" s="87" t="s">
        <v>108</v>
      </c>
      <c r="J630" s="80">
        <f>G630-H630</f>
        <v>0</v>
      </c>
      <c r="K630" s="67"/>
      <c r="L630" s="69"/>
      <c r="M630" s="8"/>
    </row>
    <row r="631" spans="1:13" s="3" customFormat="1" ht="12.2" customHeight="1" x14ac:dyDescent="0.15">
      <c r="A631" s="21"/>
      <c r="B631" s="22"/>
      <c r="C631" s="22"/>
      <c r="D631" s="22"/>
      <c r="E631" s="22"/>
      <c r="F631" s="86" t="s">
        <v>661</v>
      </c>
      <c r="G631" s="80">
        <f>I194</f>
        <v>5000000</v>
      </c>
      <c r="H631" s="80">
        <f>SUM(I469)</f>
        <v>5000000</v>
      </c>
      <c r="I631" s="87" t="s">
        <v>109</v>
      </c>
      <c r="J631" s="80">
        <f>G631-H631</f>
        <v>0</v>
      </c>
      <c r="K631" s="67"/>
      <c r="L631" s="69"/>
      <c r="M631" s="8"/>
    </row>
    <row r="632" spans="1:13" s="3" customFormat="1" ht="12.2" customHeight="1" x14ac:dyDescent="0.15">
      <c r="A632" s="21"/>
      <c r="B632" s="22"/>
      <c r="C632" s="22"/>
      <c r="D632" s="22"/>
      <c r="E632" s="22"/>
      <c r="F632" s="86" t="s">
        <v>662</v>
      </c>
      <c r="G632" s="80">
        <f>J194</f>
        <v>746331.15</v>
      </c>
      <c r="H632" s="80">
        <f>SUM(J469)</f>
        <v>746331.15</v>
      </c>
      <c r="I632" s="87" t="s">
        <v>110</v>
      </c>
      <c r="J632" s="80">
        <f>G632-H632</f>
        <v>0</v>
      </c>
      <c r="K632" s="67"/>
      <c r="L632" s="69"/>
      <c r="M632" s="8"/>
    </row>
    <row r="633" spans="1:13" s="3" customFormat="1" ht="12.2" customHeight="1" x14ac:dyDescent="0.15">
      <c r="A633" s="21"/>
      <c r="B633" s="22"/>
      <c r="C633" s="22"/>
      <c r="D633" s="22"/>
      <c r="E633" s="22"/>
      <c r="F633" s="86" t="s">
        <v>394</v>
      </c>
      <c r="G633" s="80">
        <f>SUM(L272)</f>
        <v>86454453.959999993</v>
      </c>
      <c r="H633" s="80">
        <f>SUM(F473)</f>
        <v>86454453.959999993</v>
      </c>
      <c r="I633" s="87" t="s">
        <v>111</v>
      </c>
      <c r="J633" s="80">
        <f t="shared" si="51"/>
        <v>0</v>
      </c>
      <c r="K633" s="67"/>
      <c r="L633" s="69"/>
      <c r="M633" s="8"/>
    </row>
    <row r="634" spans="1:13" s="3" customFormat="1" ht="12.2" customHeight="1" x14ac:dyDescent="0.15">
      <c r="A634" s="21"/>
      <c r="B634" s="22"/>
      <c r="C634" s="22"/>
      <c r="D634" s="22"/>
      <c r="E634" s="22"/>
      <c r="F634" s="86" t="s">
        <v>395</v>
      </c>
      <c r="G634" s="80">
        <f>SUM(L353)</f>
        <v>2199261.4099999997</v>
      </c>
      <c r="H634" s="80">
        <f>SUM(H473)</f>
        <v>2199261.41</v>
      </c>
      <c r="I634" s="87" t="s">
        <v>112</v>
      </c>
      <c r="J634" s="80">
        <f>G634-H634</f>
        <v>0</v>
      </c>
      <c r="K634" s="67"/>
      <c r="L634" s="69"/>
      <c r="M634" s="8"/>
    </row>
    <row r="635" spans="1:13" s="124" customFormat="1" ht="12.2" customHeight="1" x14ac:dyDescent="0.15">
      <c r="A635" s="21"/>
      <c r="B635" s="22"/>
      <c r="C635" s="22"/>
      <c r="D635" s="22"/>
      <c r="E635" s="22"/>
      <c r="F635" s="99" t="s">
        <v>247</v>
      </c>
      <c r="G635" s="80">
        <f>I363</f>
        <v>861867.01</v>
      </c>
      <c r="H635" s="80">
        <f>I370</f>
        <v>861867.01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1925358.94</v>
      </c>
      <c r="H636" s="80">
        <f>SUM(G473)</f>
        <v>1925358.94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1935671.75</v>
      </c>
      <c r="H637" s="80">
        <f>SUM(I473)</f>
        <v>1935671.75</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746331.15</v>
      </c>
      <c r="H638" s="108">
        <f>SUM(J469)</f>
        <v>746331.15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502374.54000000004</v>
      </c>
      <c r="H639" s="108">
        <f>SUM(J473)</f>
        <v>502374.54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588551.74</v>
      </c>
      <c r="H640" s="80">
        <f>SUM(F462)</f>
        <v>588551.74</v>
      </c>
      <c r="I640" s="87" t="s">
        <v>837</v>
      </c>
      <c r="J640" s="80">
        <f t="shared" si="51"/>
        <v>0</v>
      </c>
      <c r="K640" s="67"/>
      <c r="L640" s="69"/>
      <c r="M640" s="8"/>
    </row>
    <row r="641" spans="1:13" s="3" customFormat="1" ht="12.2" customHeight="1" x14ac:dyDescent="0.15">
      <c r="A641" s="21"/>
      <c r="B641" s="22"/>
      <c r="C641" s="22"/>
      <c r="D641" s="22"/>
      <c r="E641" s="22"/>
      <c r="F641" s="86" t="s">
        <v>119</v>
      </c>
      <c r="G641" s="80">
        <f>SUM(G447)</f>
        <v>249235.80000000002</v>
      </c>
      <c r="H641" s="80">
        <f>SUM(G462)</f>
        <v>249235.8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837787.54</v>
      </c>
      <c r="H643" s="80">
        <f>SUM(I462)</f>
        <v>837787.54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22831.15</v>
      </c>
      <c r="H645" s="80">
        <f>H409</f>
        <v>22831.149999999998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723500</v>
      </c>
      <c r="H646" s="80">
        <f>G409</f>
        <v>723500</v>
      </c>
      <c r="I646" s="87" t="s">
        <v>481</v>
      </c>
      <c r="J646" s="80">
        <f t="shared" si="51"/>
        <v>0</v>
      </c>
      <c r="K646" s="67"/>
      <c r="L646" s="69"/>
      <c r="M646" s="8"/>
    </row>
    <row r="647" spans="1:13" s="3" customFormat="1" ht="12.2" customHeight="1" x14ac:dyDescent="0.15">
      <c r="A647" s="21"/>
      <c r="B647" s="22"/>
      <c r="C647" s="22"/>
      <c r="D647" s="22"/>
      <c r="E647" s="22"/>
      <c r="F647" s="86" t="s">
        <v>662</v>
      </c>
      <c r="G647" s="80">
        <f>J194</f>
        <v>746331.15</v>
      </c>
      <c r="H647" s="80">
        <f>L409</f>
        <v>746331.15</v>
      </c>
      <c r="I647" s="87" t="s">
        <v>477</v>
      </c>
      <c r="J647" s="80">
        <f t="shared" si="51"/>
        <v>0</v>
      </c>
      <c r="K647" s="67"/>
      <c r="L647" s="69"/>
      <c r="M647" s="8"/>
    </row>
    <row r="648" spans="1:13" s="3" customFormat="1" ht="12.2" customHeight="1" x14ac:dyDescent="0.15">
      <c r="A648" s="21"/>
      <c r="B648" s="22"/>
      <c r="C648" s="22"/>
      <c r="D648" s="22"/>
      <c r="E648" s="22"/>
      <c r="F648" s="86" t="s">
        <v>51</v>
      </c>
      <c r="G648" s="80">
        <f>K599</f>
        <v>5251147.58</v>
      </c>
      <c r="H648" s="80">
        <f>L209+L227+L245</f>
        <v>5251147.58</v>
      </c>
      <c r="I648" s="87" t="s">
        <v>396</v>
      </c>
      <c r="J648" s="80">
        <f t="shared" si="51"/>
        <v>0</v>
      </c>
      <c r="K648" s="67"/>
      <c r="L648" s="69"/>
      <c r="M648" s="8"/>
    </row>
    <row r="649" spans="1:13" s="3" customFormat="1" ht="12.2" customHeight="1" x14ac:dyDescent="0.15">
      <c r="A649" s="21"/>
      <c r="B649" s="22"/>
      <c r="C649" s="22"/>
      <c r="D649" s="22"/>
      <c r="E649" s="22"/>
      <c r="F649" s="86" t="s">
        <v>52</v>
      </c>
      <c r="G649" s="80">
        <f>K606</f>
        <v>909278.67999999993</v>
      </c>
      <c r="H649" s="80">
        <f>(J258+J339)-(J256+J337)</f>
        <v>909278.67999999993</v>
      </c>
      <c r="I649" s="87" t="s">
        <v>699</v>
      </c>
      <c r="J649" s="80">
        <f t="shared" si="51"/>
        <v>0</v>
      </c>
      <c r="K649" s="67"/>
      <c r="L649" s="69"/>
      <c r="M649" s="8"/>
    </row>
    <row r="650" spans="1:13" s="3" customFormat="1" ht="12.2" customHeight="1" x14ac:dyDescent="0.15">
      <c r="A650" s="21"/>
      <c r="B650" s="22"/>
      <c r="C650" s="22"/>
      <c r="D650" s="22"/>
      <c r="E650" s="22"/>
      <c r="F650" s="86" t="s">
        <v>387</v>
      </c>
      <c r="G650" s="80">
        <f>L209</f>
        <v>2002704.4300000002</v>
      </c>
      <c r="H650" s="80">
        <f>H599</f>
        <v>2002704.4300000002</v>
      </c>
      <c r="I650" s="87" t="s">
        <v>388</v>
      </c>
      <c r="J650" s="80">
        <f t="shared" si="51"/>
        <v>0</v>
      </c>
      <c r="K650" s="67"/>
      <c r="L650" s="69"/>
      <c r="M650" s="8"/>
    </row>
    <row r="651" spans="1:13" s="3" customFormat="1" ht="12.2" customHeight="1" x14ac:dyDescent="0.15">
      <c r="A651" s="21"/>
      <c r="B651" s="22"/>
      <c r="C651" s="22"/>
      <c r="D651" s="22"/>
      <c r="E651" s="22"/>
      <c r="F651" s="86" t="s">
        <v>392</v>
      </c>
      <c r="G651" s="80">
        <f>L227</f>
        <v>1405217.94</v>
      </c>
      <c r="H651" s="80">
        <f>I599</f>
        <v>1405217.94</v>
      </c>
      <c r="I651" s="87" t="s">
        <v>389</v>
      </c>
      <c r="J651" s="80">
        <f t="shared" si="51"/>
        <v>0</v>
      </c>
      <c r="K651" s="67"/>
      <c r="L651" s="69"/>
      <c r="M651" s="8"/>
    </row>
    <row r="652" spans="1:13" s="3" customFormat="1" ht="12.2" customHeight="1" x14ac:dyDescent="0.15">
      <c r="A652" s="21"/>
      <c r="B652" s="22"/>
      <c r="C652" s="22"/>
      <c r="D652" s="22"/>
      <c r="E652" s="22"/>
      <c r="F652" s="86" t="s">
        <v>393</v>
      </c>
      <c r="G652" s="80">
        <f>L245</f>
        <v>1843225.21</v>
      </c>
      <c r="H652" s="80">
        <f>J599</f>
        <v>1843225.21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5529.07</v>
      </c>
      <c r="H653" s="80">
        <f>K264+K346</f>
        <v>5529.07</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723500</v>
      </c>
      <c r="H656" s="80">
        <f>K267+K348</f>
        <v>723500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37132836.149999999</v>
      </c>
      <c r="G661" s="13">
        <f>(L230+L310+L360)</f>
        <v>20520802.000000004</v>
      </c>
      <c r="H661" s="13">
        <f>(L248+L329+L361)</f>
        <v>30788024.129999995</v>
      </c>
      <c r="I661" s="13">
        <f>SUM(F661:H661)</f>
        <v>88441662.280000001</v>
      </c>
      <c r="J661" s="13"/>
      <c r="K661" s="13"/>
      <c r="L661" s="13"/>
      <c r="M661" s="9"/>
    </row>
    <row r="662" spans="1:13" s="3" customFormat="1" ht="12.2" customHeight="1" x14ac:dyDescent="0.2">
      <c r="A662" s="1" t="s">
        <v>127</v>
      </c>
      <c r="F662" s="13">
        <f>(L359/IF(SUM(L359:L361)=0,1,SUM(L359:L361))*(SUM(G97:G110)))</f>
        <v>449597.93800925289</v>
      </c>
      <c r="G662" s="13">
        <f>(L360/IF(SUM(L359:L361)=0,1,SUM(L359:L361))*(SUM(G97:G110)))</f>
        <v>272464.52052590402</v>
      </c>
      <c r="H662" s="13">
        <f>(L361/IF(SUM(L359:L361)=0,1,SUM(L359:L361))*(SUM(G97:G110)))</f>
        <v>381096.32146484329</v>
      </c>
      <c r="I662" s="13">
        <f>SUM(F662:H662)</f>
        <v>1103158.7800000003</v>
      </c>
      <c r="J662"/>
      <c r="K662" s="13"/>
      <c r="L662" s="13"/>
      <c r="M662" s="8"/>
    </row>
    <row r="663" spans="1:13" s="3" customFormat="1" ht="12.2" customHeight="1" x14ac:dyDescent="0.2">
      <c r="A663" s="1" t="s">
        <v>128</v>
      </c>
      <c r="F663" s="13">
        <f>(L209+L288)-(J209+J288)</f>
        <v>2038334.1800000002</v>
      </c>
      <c r="G663" s="13">
        <f>(L227+L307)-(J227+J307)</f>
        <v>1405217.94</v>
      </c>
      <c r="H663" s="13">
        <f>(L245+L326)-(J245+J326)</f>
        <v>1843225.21</v>
      </c>
      <c r="I663" s="13">
        <f>SUM(F663:H663)</f>
        <v>5286777.33</v>
      </c>
      <c r="J663"/>
      <c r="K663" s="13"/>
      <c r="L663" s="13"/>
      <c r="M663" s="9"/>
    </row>
    <row r="664" spans="1:13" s="3" customFormat="1" ht="12.2" customHeight="1" x14ac:dyDescent="0.15">
      <c r="A664" s="141" t="s">
        <v>129</v>
      </c>
      <c r="B664" s="124"/>
      <c r="C664" s="124"/>
      <c r="D664" s="124"/>
      <c r="E664" s="124"/>
      <c r="F664" s="142">
        <f>SUM(F576:F588)+SUM(H603:H605)+SUM(L612)</f>
        <v>609359.63</v>
      </c>
      <c r="G664" s="142">
        <f>SUM(G576:G588)+SUM(I603:I605)+L613</f>
        <v>824591.86</v>
      </c>
      <c r="H664" s="142">
        <f>SUM(H576:H588)+SUM(J603:J605)+L614</f>
        <v>2435027.46</v>
      </c>
      <c r="I664" s="13">
        <f>SUM(F664:H664)</f>
        <v>3868978.95</v>
      </c>
      <c r="J664" s="13"/>
      <c r="K664" s="13"/>
      <c r="L664" s="13"/>
      <c r="M664" s="9"/>
    </row>
    <row r="665" spans="1:13" s="3" customFormat="1" ht="12.2" customHeight="1" x14ac:dyDescent="0.15">
      <c r="A665" s="1" t="s">
        <v>130</v>
      </c>
      <c r="F665" s="13">
        <f>F661-SUM(F662:F664)</f>
        <v>34035544.401990749</v>
      </c>
      <c r="G665" s="13">
        <f>G661-SUM(G662:G664)</f>
        <v>18018527.6794741</v>
      </c>
      <c r="H665" s="13">
        <f>H661-SUM(H662:H664)</f>
        <v>26128675.138535153</v>
      </c>
      <c r="I665" s="13">
        <f>I661-SUM(I662:I664)</f>
        <v>78182747.219999999</v>
      </c>
      <c r="J665" s="13"/>
      <c r="K665" s="13"/>
      <c r="L665" s="13"/>
      <c r="M665" s="8"/>
    </row>
    <row r="666" spans="1:13" s="3" customFormat="1" ht="12.2" customHeight="1" x14ac:dyDescent="0.2">
      <c r="A666" s="1" t="s">
        <v>131</v>
      </c>
      <c r="F666" s="182">
        <v>1583.07</v>
      </c>
      <c r="G666" s="183">
        <v>945.09</v>
      </c>
      <c r="H666" s="183">
        <v>1277.07</v>
      </c>
      <c r="I666" s="13">
        <f>SUM(F666:H666)</f>
        <v>3805.2299999999996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21499.71</v>
      </c>
      <c r="G668" s="13">
        <f>ROUND(G665/G666,2)</f>
        <v>19065.41</v>
      </c>
      <c r="H668" s="13">
        <f>ROUND(H665/H666,2)</f>
        <v>20459.86</v>
      </c>
      <c r="I668" s="13">
        <f>ROUND(I665/I666,2)</f>
        <v>20546.13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-35.72</v>
      </c>
      <c r="I671" s="13">
        <f>SUM(F671:H671)</f>
        <v>-35.72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21499.71</v>
      </c>
      <c r="G673" s="13">
        <f>ROUND((G665+G670)/(G666+G671),2)</f>
        <v>19065.41</v>
      </c>
      <c r="H673" s="13">
        <f>ROUND((H665+H670)/(H666+H671),2)</f>
        <v>21048.6</v>
      </c>
      <c r="I673" s="13">
        <f>ROUND((I665+I670)/(I666+I671),2)</f>
        <v>20740.82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256372.97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22644.4+61565.53+90001.65</f>
        <v>174211.58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44985.19+37176.2</f>
        <v>82161.39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Londonderry</v>
      </c>
      <c r="C5" s="321"/>
      <c r="D5" s="321"/>
      <c r="E5" s="321"/>
      <c r="F5" s="321"/>
    </row>
    <row r="8" spans="1:9" ht="18" x14ac:dyDescent="0.25">
      <c r="A8" s="239" t="s">
        <v>1548</v>
      </c>
      <c r="F8" s="246" t="s">
        <v>1566</v>
      </c>
    </row>
    <row r="9" spans="1:9" ht="15" x14ac:dyDescent="0.2">
      <c r="A9" s="237" t="s">
        <v>1549</v>
      </c>
      <c r="B9" s="240">
        <f>'DOE25'!G97</f>
        <v>1074301.29</v>
      </c>
      <c r="F9" s="237" t="s">
        <v>1562</v>
      </c>
    </row>
    <row r="10" spans="1:9" ht="15" x14ac:dyDescent="0.2">
      <c r="A10" s="237" t="s">
        <v>1550</v>
      </c>
      <c r="B10" s="240">
        <f>'DOE25'!G112-'DOE25'!G97</f>
        <v>28865.280000000028</v>
      </c>
      <c r="F10" s="237" t="s">
        <v>1563</v>
      </c>
    </row>
    <row r="11" spans="1:9" ht="15" x14ac:dyDescent="0.2">
      <c r="A11" s="237" t="s">
        <v>1551</v>
      </c>
      <c r="B11" s="240">
        <f>'DOE25'!G140</f>
        <v>20292.63</v>
      </c>
      <c r="F11" s="237" t="s">
        <v>1564</v>
      </c>
    </row>
    <row r="12" spans="1:9" ht="15" x14ac:dyDescent="0.2">
      <c r="A12" s="237" t="s">
        <v>1552</v>
      </c>
      <c r="B12" s="240">
        <f>'DOE25'!G170</f>
        <v>533630.06000000006</v>
      </c>
      <c r="F12" s="237" t="s">
        <v>1565</v>
      </c>
    </row>
    <row r="13" spans="1:9" ht="15" x14ac:dyDescent="0.2">
      <c r="A13" s="237" t="s">
        <v>1553</v>
      </c>
      <c r="B13" s="240">
        <f>'DOE25'!G193-'DOE25'!G180</f>
        <v>0</v>
      </c>
      <c r="F13" s="237" t="s">
        <v>1575</v>
      </c>
    </row>
    <row r="14" spans="1:9" ht="18" x14ac:dyDescent="0.25">
      <c r="A14" s="239" t="s">
        <v>732</v>
      </c>
      <c r="B14" s="241">
        <f>SUM(B9:B13)</f>
        <v>1657089.26</v>
      </c>
    </row>
    <row r="16" spans="1:9" ht="18" x14ac:dyDescent="0.25">
      <c r="A16" s="239" t="s">
        <v>783</v>
      </c>
      <c r="F16" s="246" t="s">
        <v>1567</v>
      </c>
    </row>
    <row r="17" spans="1:6" ht="15" x14ac:dyDescent="0.2">
      <c r="A17" s="237" t="s">
        <v>1554</v>
      </c>
      <c r="B17" s="240">
        <f>'DOE25'!L363-'DOE25'!L362</f>
        <v>1925358.94</v>
      </c>
      <c r="F17" s="237" t="s">
        <v>1568</v>
      </c>
    </row>
    <row r="18" spans="1:6" ht="15" x14ac:dyDescent="0.2">
      <c r="A18" s="237" t="s">
        <v>1555</v>
      </c>
      <c r="B18" s="250">
        <v>0</v>
      </c>
      <c r="F18" s="246" t="s">
        <v>1592</v>
      </c>
    </row>
    <row r="19" spans="1:6" ht="18" x14ac:dyDescent="0.25">
      <c r="A19" s="239" t="s">
        <v>725</v>
      </c>
      <c r="B19" s="241">
        <f>SUM(B17:B18)</f>
        <v>1925358.94</v>
      </c>
    </row>
    <row r="21" spans="1:6" ht="18.75" thickBot="1" x14ac:dyDescent="0.3">
      <c r="A21" s="239" t="s">
        <v>1556</v>
      </c>
    </row>
    <row r="22" spans="1:6" ht="18.75" thickTop="1" x14ac:dyDescent="0.25">
      <c r="A22" s="239" t="s">
        <v>1557</v>
      </c>
      <c r="B22" s="245">
        <f>B14-B19</f>
        <v>-268269.67999999993</v>
      </c>
      <c r="F22" s="237" t="s">
        <v>1569</v>
      </c>
    </row>
    <row r="26" spans="1:6" ht="18" x14ac:dyDescent="0.25">
      <c r="A26" s="239" t="s">
        <v>186</v>
      </c>
    </row>
    <row r="27" spans="1:6" ht="15" x14ac:dyDescent="0.2">
      <c r="A27" s="237" t="s">
        <v>1558</v>
      </c>
      <c r="B27" s="240">
        <f>'DOE25'!G180</f>
        <v>5529.07</v>
      </c>
      <c r="F27" s="237" t="s">
        <v>1570</v>
      </c>
    </row>
    <row r="28" spans="1:6" ht="15" x14ac:dyDescent="0.2">
      <c r="A28" s="237" t="s">
        <v>1560</v>
      </c>
      <c r="B28" s="240">
        <f>'DOE25'!L362</f>
        <v>0</v>
      </c>
      <c r="F28" s="237" t="s">
        <v>1571</v>
      </c>
    </row>
    <row r="31" spans="1:6" ht="15" x14ac:dyDescent="0.2">
      <c r="A31" s="237" t="s">
        <v>1789</v>
      </c>
      <c r="B31" s="240">
        <f>'DOE25'!G466</f>
        <v>958823.52</v>
      </c>
      <c r="F31" s="237" t="s">
        <v>1572</v>
      </c>
    </row>
    <row r="33" spans="1:6" ht="15" x14ac:dyDescent="0.2">
      <c r="A33" s="237" t="s">
        <v>1790</v>
      </c>
      <c r="B33" s="240">
        <f>'DOE25'!G477</f>
        <v>696082.91000000015</v>
      </c>
      <c r="F33" s="237" t="s">
        <v>1573</v>
      </c>
    </row>
    <row r="36" spans="1:6" ht="15" x14ac:dyDescent="0.2">
      <c r="A36" s="237" t="s">
        <v>1559</v>
      </c>
      <c r="B36" s="251">
        <v>75579.59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9" sqref="B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Londonderry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19930953.559999999</v>
      </c>
      <c r="C9" s="166">
        <f>'DOE25'!G198+'DOE25'!G216+'DOE25'!G234+'DOE25'!G277+'DOE25'!G296+'DOE25'!G315</f>
        <v>11353710.280000001</v>
      </c>
    </row>
    <row r="10" spans="1:3" x14ac:dyDescent="0.2">
      <c r="A10" t="s">
        <v>772</v>
      </c>
      <c r="B10" s="176">
        <f>18916312.69+653103.08</f>
        <v>19569415.77</v>
      </c>
      <c r="C10" s="176">
        <v>11148356.82</v>
      </c>
    </row>
    <row r="11" spans="1:3" x14ac:dyDescent="0.2">
      <c r="A11" t="s">
        <v>773</v>
      </c>
      <c r="B11" s="176">
        <f>361537.78+0.01</f>
        <v>361537.79000000004</v>
      </c>
      <c r="C11" s="176">
        <v>205353.46</v>
      </c>
    </row>
    <row r="12" spans="1:3" x14ac:dyDescent="0.2">
      <c r="A12" t="s">
        <v>774</v>
      </c>
      <c r="B12" s="176"/>
      <c r="C12" s="176"/>
    </row>
    <row r="13" spans="1:3" x14ac:dyDescent="0.2">
      <c r="A13" t="str">
        <f>IF(B9=B13,IF(C9=C13,"Check Total OK","Check Total Error"),"Check Total Error")</f>
        <v>Check Total OK</v>
      </c>
      <c r="B13" s="168">
        <f>SUM(B10:B12)</f>
        <v>19930953.559999999</v>
      </c>
      <c r="C13" s="168">
        <f>SUM(C10:C12)</f>
        <v>11353710.280000001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9371104.3900000006</v>
      </c>
      <c r="C18" s="166">
        <f>'DOE25'!G199+'DOE25'!G217+'DOE25'!G235+'DOE25'!G278+'DOE25'!G297+'DOE25'!G316</f>
        <v>5279573.26</v>
      </c>
    </row>
    <row r="19" spans="1:3" x14ac:dyDescent="0.2">
      <c r="A19" t="s">
        <v>772</v>
      </c>
      <c r="B19" s="176">
        <f>6301723.58-461788.56+4239</f>
        <v>5844174.0200000005</v>
      </c>
      <c r="C19" s="176">
        <f>5279573.26-1610269.84-375905.62</f>
        <v>3293397.8</v>
      </c>
    </row>
    <row r="20" spans="1:3" x14ac:dyDescent="0.2">
      <c r="A20" t="s">
        <v>773</v>
      </c>
      <c r="B20" s="176">
        <f>3030379.89-171170.53</f>
        <v>2859209.3600000003</v>
      </c>
      <c r="C20" s="176">
        <v>1610269.84</v>
      </c>
    </row>
    <row r="21" spans="1:3" x14ac:dyDescent="0.2">
      <c r="A21" t="s">
        <v>774</v>
      </c>
      <c r="B21" s="176">
        <f>39000.92+461788.56+171170.53-4239</f>
        <v>667721.01</v>
      </c>
      <c r="C21" s="176">
        <v>375905.62</v>
      </c>
    </row>
    <row r="22" spans="1:3" x14ac:dyDescent="0.2">
      <c r="A22" t="str">
        <f>IF(B18=B22,IF(C18=C22,"Check Total OK","Check Total Error"),"Check Total Error")</f>
        <v>Check Total OK</v>
      </c>
      <c r="B22" s="168">
        <f>SUM(B19:B21)</f>
        <v>9371104.3900000006</v>
      </c>
      <c r="C22" s="168">
        <f>SUM(C19:C21)</f>
        <v>5279573.26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1315231.3999999999</v>
      </c>
      <c r="C36" s="172">
        <f>'DOE25'!G201+'DOE25'!G219+'DOE25'!G237+'DOE25'!G280+'DOE25'!G299+'DOE25'!G318</f>
        <v>730790.76</v>
      </c>
    </row>
    <row r="37" spans="1:3" x14ac:dyDescent="0.2">
      <c r="A37" t="s">
        <v>772</v>
      </c>
      <c r="B37" s="176">
        <v>228610</v>
      </c>
      <c r="C37" s="176">
        <v>127157.59</v>
      </c>
    </row>
    <row r="38" spans="1:3" x14ac:dyDescent="0.2">
      <c r="A38" t="s">
        <v>773</v>
      </c>
      <c r="B38" s="176">
        <v>110679</v>
      </c>
      <c r="C38" s="176">
        <v>61386.42</v>
      </c>
    </row>
    <row r="39" spans="1:3" x14ac:dyDescent="0.2">
      <c r="A39" t="s">
        <v>774</v>
      </c>
      <c r="B39" s="176">
        <f>90899.9+173614.73+711427.77</f>
        <v>975942.4</v>
      </c>
      <c r="C39" s="176">
        <f>730790.76-188544.01</f>
        <v>542246.75</v>
      </c>
    </row>
    <row r="40" spans="1:3" x14ac:dyDescent="0.2">
      <c r="A40" t="str">
        <f>IF(B36=B40,IF(C36=C40,"Check Total OK","Check Total Error"),"Check Total Error")</f>
        <v>Check Total OK</v>
      </c>
      <c r="B40" s="168">
        <f>SUM(B37:B39)</f>
        <v>1315231.3999999999</v>
      </c>
      <c r="C40" s="168">
        <f>SUM(C37:C39)</f>
        <v>730790.76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Londonderry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51072022.700000003</v>
      </c>
      <c r="D5" s="19">
        <f>SUM('DOE25'!L198:L201)+SUM('DOE25'!L216:L219)+SUM('DOE25'!L234:L237)-F5-G5-H5</f>
        <v>50849457.32</v>
      </c>
      <c r="E5" s="179"/>
      <c r="F5" s="180"/>
      <c r="G5" s="19">
        <f>SUM('DOE25'!J198:J201)+SUM('DOE25'!J216:J219)+SUM('DOE25'!J234:J237)</f>
        <v>156591.59</v>
      </c>
      <c r="H5" s="19">
        <f>SUM('DOE25'!K198:K201)+SUM('DOE25'!K216:K219)+SUM('DOE25'!K234:K237)</f>
        <v>65973.790000000008</v>
      </c>
      <c r="I5" s="191"/>
    </row>
    <row r="6" spans="1:9" x14ac:dyDescent="0.2">
      <c r="A6" s="31">
        <v>2100</v>
      </c>
      <c r="B6" t="s">
        <v>793</v>
      </c>
      <c r="C6" s="205">
        <f t="shared" si="0"/>
        <v>8200967.3999999994</v>
      </c>
      <c r="D6" s="19">
        <f>'DOE25'!L203+'DOE25'!L221+'DOE25'!L239-F6-G6-H6</f>
        <v>8200431.3999999994</v>
      </c>
      <c r="E6" s="179"/>
      <c r="F6" s="180"/>
      <c r="G6" s="19">
        <f>'DOE25'!J203+'DOE25'!J221+'DOE25'!J239</f>
        <v>0</v>
      </c>
      <c r="H6" s="19">
        <f>'DOE25'!K203+'DOE25'!K221+'DOE25'!K239</f>
        <v>536</v>
      </c>
      <c r="I6" s="191"/>
    </row>
    <row r="7" spans="1:9" x14ac:dyDescent="0.2">
      <c r="A7" s="31">
        <v>2200</v>
      </c>
      <c r="B7" t="s">
        <v>817</v>
      </c>
      <c r="C7" s="205">
        <f t="shared" si="0"/>
        <v>2152125.9399999995</v>
      </c>
      <c r="D7" s="19">
        <f>'DOE25'!L204+'DOE25'!L222+'DOE25'!L240-F7-G7-H7</f>
        <v>2150933.9399999995</v>
      </c>
      <c r="E7" s="179"/>
      <c r="F7" s="180"/>
      <c r="G7" s="19">
        <f>'DOE25'!J204+'DOE25'!J222+'DOE25'!J240</f>
        <v>0</v>
      </c>
      <c r="H7" s="19">
        <f>'DOE25'!K204+'DOE25'!K222+'DOE25'!K240</f>
        <v>1192</v>
      </c>
      <c r="I7" s="191"/>
    </row>
    <row r="8" spans="1:9" x14ac:dyDescent="0.2">
      <c r="A8" s="31">
        <v>2300</v>
      </c>
      <c r="B8" t="s">
        <v>794</v>
      </c>
      <c r="C8" s="205">
        <f t="shared" si="0"/>
        <v>1652543.33</v>
      </c>
      <c r="D8" s="179"/>
      <c r="E8" s="19">
        <f>'DOE25'!L205+'DOE25'!L223+'DOE25'!L241-F8-G8-H8-D9-D11</f>
        <v>1625697.1600000001</v>
      </c>
      <c r="F8" s="180"/>
      <c r="G8" s="19">
        <f>'DOE25'!J205+'DOE25'!J223+'DOE25'!J241</f>
        <v>8615.5099999999984</v>
      </c>
      <c r="H8" s="19">
        <f>'DOE25'!K205+'DOE25'!K223+'DOE25'!K241</f>
        <v>18230.66</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4420750.7299999995</v>
      </c>
      <c r="D12" s="19">
        <f>'DOE25'!L206+'DOE25'!L224+'DOE25'!L242-F12-G12-H12</f>
        <v>4408444.7299999995</v>
      </c>
      <c r="E12" s="179"/>
      <c r="F12" s="180"/>
      <c r="G12" s="19">
        <f>'DOE25'!J206+'DOE25'!J224+'DOE25'!J242</f>
        <v>0</v>
      </c>
      <c r="H12" s="19">
        <f>'DOE25'!K206+'DOE25'!K224+'DOE25'!K242</f>
        <v>12306</v>
      </c>
      <c r="I12" s="191"/>
    </row>
    <row r="13" spans="1:9" x14ac:dyDescent="0.2">
      <c r="A13" s="31">
        <v>2500</v>
      </c>
      <c r="B13" t="s">
        <v>795</v>
      </c>
      <c r="C13" s="205">
        <f t="shared" si="0"/>
        <v>1116621.24</v>
      </c>
      <c r="D13" s="179"/>
      <c r="E13" s="19">
        <f>'DOE25'!L207+'DOE25'!L225+'DOE25'!L243-F13-G13-H13</f>
        <v>1116621.24</v>
      </c>
      <c r="F13" s="180"/>
      <c r="G13" s="19">
        <f>'DOE25'!J207+'DOE25'!J225+'DOE25'!J243</f>
        <v>0</v>
      </c>
      <c r="H13" s="19">
        <f>'DOE25'!K207+'DOE25'!K225+'DOE25'!K243</f>
        <v>0</v>
      </c>
      <c r="I13" s="191"/>
    </row>
    <row r="14" spans="1:9" x14ac:dyDescent="0.2">
      <c r="A14" s="31">
        <v>2600</v>
      </c>
      <c r="B14" t="s">
        <v>815</v>
      </c>
      <c r="C14" s="205">
        <f t="shared" si="0"/>
        <v>8168076.6899999995</v>
      </c>
      <c r="D14" s="19">
        <f>'DOE25'!L208+'DOE25'!L226+'DOE25'!L244-F14-G14-H14</f>
        <v>8076349.4999999991</v>
      </c>
      <c r="E14" s="179"/>
      <c r="F14" s="180"/>
      <c r="G14" s="19">
        <f>'DOE25'!J208+'DOE25'!J226+'DOE25'!J244</f>
        <v>90728.19</v>
      </c>
      <c r="H14" s="19">
        <f>'DOE25'!K208+'DOE25'!K226+'DOE25'!K244</f>
        <v>999</v>
      </c>
      <c r="I14" s="191"/>
    </row>
    <row r="15" spans="1:9" x14ac:dyDescent="0.2">
      <c r="A15" s="31">
        <v>2700</v>
      </c>
      <c r="B15" t="s">
        <v>796</v>
      </c>
      <c r="C15" s="205">
        <f t="shared" si="0"/>
        <v>5251147.58</v>
      </c>
      <c r="D15" s="19">
        <f>'DOE25'!L209+'DOE25'!L227+'DOE25'!L245-F15-G15-H15</f>
        <v>5251147.58</v>
      </c>
      <c r="E15" s="179"/>
      <c r="F15" s="180"/>
      <c r="G15" s="19">
        <f>'DOE25'!J209+'DOE25'!J227+'DOE25'!J245</f>
        <v>0</v>
      </c>
      <c r="H15" s="19">
        <f>'DOE25'!K209+'DOE25'!K227+'DOE25'!K245</f>
        <v>0</v>
      </c>
      <c r="I15" s="191"/>
    </row>
    <row r="16" spans="1:9" x14ac:dyDescent="0.2">
      <c r="A16" s="31">
        <v>2800</v>
      </c>
      <c r="B16" t="s">
        <v>797</v>
      </c>
      <c r="C16" s="205">
        <f t="shared" si="0"/>
        <v>2317903.2200000002</v>
      </c>
      <c r="D16" s="179"/>
      <c r="E16" s="19">
        <f>'DOE25'!L210+'DOE25'!L228+'DOE25'!L246-F16-G16-H16</f>
        <v>1674226.5300000003</v>
      </c>
      <c r="F16" s="180"/>
      <c r="G16" s="19">
        <f>'DOE25'!J210+'DOE25'!J228+'DOE25'!J246</f>
        <v>643676.68999999994</v>
      </c>
      <c r="H16" s="19">
        <f>'DOE25'!K210+'DOE25'!K228+'DOE25'!K246</f>
        <v>0</v>
      </c>
      <c r="I16" s="191"/>
    </row>
    <row r="17" spans="1:9" x14ac:dyDescent="0.2">
      <c r="A17" s="31">
        <v>1600</v>
      </c>
      <c r="B17" t="s">
        <v>798</v>
      </c>
      <c r="C17" s="205">
        <f t="shared" si="0"/>
        <v>77827.8</v>
      </c>
      <c r="D17" s="19">
        <f>'DOE25'!L252-F17-G17-H17</f>
        <v>77827.8</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1295438.26</v>
      </c>
      <c r="D25" s="179"/>
      <c r="E25" s="179"/>
      <c r="F25" s="190"/>
      <c r="G25" s="179"/>
      <c r="H25" s="179"/>
      <c r="I25" s="189">
        <f>'DOE25'!L261+'DOE25'!L262+'DOE25'!L342+'DOE25'!L343</f>
        <v>1295438.26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1191527.96</v>
      </c>
      <c r="D29" s="211">
        <f>'DOE25'!L359+'DOE25'!L360+'DOE25'!L361-'DOE25'!I368-F29-G29-H29-F39</f>
        <v>927387.93</v>
      </c>
      <c r="E29" s="179"/>
      <c r="F29" s="179"/>
      <c r="G29" s="19">
        <f>'DOE25'!J359+'DOE25'!J360+'DOE25'!J361</f>
        <v>261552.08999999997</v>
      </c>
      <c r="H29" s="19">
        <f>'DOE25'!K359+'DOE25'!K360+'DOE25'!K361</f>
        <v>2587.9399999999996</v>
      </c>
      <c r="I29" s="191"/>
    </row>
    <row r="30" spans="1:9" x14ac:dyDescent="0.2">
      <c r="A30" s="31"/>
      <c r="C30" s="206"/>
      <c r="D30" s="19"/>
      <c r="F30" s="200"/>
      <c r="G30" s="19"/>
      <c r="H30" s="19"/>
      <c r="I30" s="191"/>
    </row>
    <row r="31" spans="1:9" x14ac:dyDescent="0.2">
      <c r="A31" s="31" t="s">
        <v>814</v>
      </c>
      <c r="B31" t="s">
        <v>813</v>
      </c>
      <c r="C31" s="205">
        <f>SUM(D31:I31)</f>
        <v>2199261.4099999997</v>
      </c>
      <c r="D31" s="19">
        <f>'DOE25'!L291+'DOE25'!L310+'DOE25'!L329+'DOE25'!L334+'DOE25'!L335+'DOE25'!L336-F31-G31-H31</f>
        <v>2188434.7099999995</v>
      </c>
      <c r="E31" s="179"/>
      <c r="F31" s="180"/>
      <c r="G31" s="19">
        <f>'DOE25'!J291+'DOE25'!J310+'DOE25'!J329+'DOE25'!J334+'DOE25'!J335+'DOE25'!J336</f>
        <v>9666.7000000000007</v>
      </c>
      <c r="H31" s="19">
        <f>'DOE25'!K291+'DOE25'!K310+'DOE25'!K329+'DOE25'!K334+'DOE25'!K335+'DOE25'!K336</f>
        <v>1160</v>
      </c>
      <c r="I31" s="191"/>
    </row>
    <row r="32" spans="1:9" ht="12" thickBot="1" x14ac:dyDescent="0.25">
      <c r="C32" s="206"/>
      <c r="G32" s="187"/>
      <c r="H32" s="187"/>
      <c r="I32" s="193"/>
    </row>
    <row r="33" spans="1:9" ht="12" thickTop="1" x14ac:dyDescent="0.2">
      <c r="B33" t="s">
        <v>806</v>
      </c>
      <c r="D33" s="181">
        <f t="shared" ref="D33:I33" si="1">SUM(D5:D31)</f>
        <v>82130414.909999982</v>
      </c>
      <c r="E33" s="181">
        <f t="shared" si="1"/>
        <v>4416544.9300000006</v>
      </c>
      <c r="F33" s="181">
        <f t="shared" si="1"/>
        <v>0</v>
      </c>
      <c r="G33" s="181">
        <f t="shared" si="1"/>
        <v>1170830.7699999998</v>
      </c>
      <c r="H33" s="181">
        <f t="shared" si="1"/>
        <v>102985.39000000001</v>
      </c>
      <c r="I33" s="181">
        <f t="shared" si="1"/>
        <v>1295438.26</v>
      </c>
    </row>
    <row r="34" spans="1:9" ht="12" thickBot="1" x14ac:dyDescent="0.25"/>
    <row r="35" spans="1:9" ht="12" thickBot="1" x14ac:dyDescent="0.25">
      <c r="B35" s="187" t="s">
        <v>827</v>
      </c>
      <c r="D35" s="188">
        <f>E33</f>
        <v>4416544.9300000006</v>
      </c>
      <c r="E35" s="184"/>
      <c r="F35" s="294" t="s">
        <v>1596</v>
      </c>
      <c r="G35" s="295"/>
      <c r="H35" s="295"/>
      <c r="I35" s="296"/>
    </row>
    <row r="36" spans="1:9" ht="12" thickTop="1" x14ac:dyDescent="0.2">
      <c r="B36" t="s">
        <v>807</v>
      </c>
      <c r="D36" s="19">
        <f>D33</f>
        <v>82130414.909999982</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N12" sqref="N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Londonderry</v>
      </c>
      <c r="B2">
        <f>'DOE25'!B2</f>
        <v>319</v>
      </c>
      <c r="J2" s="223" t="s">
        <v>1799</v>
      </c>
      <c r="K2" s="308">
        <f>SUM('DOE25'!L198:L201)+SUM('DOE25'!L277:L280)</f>
        <v>22814750.759999998</v>
      </c>
      <c r="L2" s="308">
        <f>'DOE25'!L203+'DOE25'!L282</f>
        <v>3181398.17</v>
      </c>
      <c r="M2" s="308">
        <f>'DOE25'!L204+'DOE25'!L283</f>
        <v>1064814.5499999998</v>
      </c>
      <c r="N2" s="308">
        <f>'DOE25'!L206+'DOE25'!L285</f>
        <v>1840873.7699999998</v>
      </c>
      <c r="O2" s="316">
        <f>'Salaries-Benefits'!B10+'Salaries-Benefits'!B12+'Salaries-Benefits'!B19+'Salaries-Benefits'!B21+'Salaries-Benefits'!B28+'Salaries-Benefits'!B30+'Salaries-Benefits'!B37+'Salaries-Benefits'!B39</f>
        <v>27285863.199999999</v>
      </c>
      <c r="P2" s="316">
        <f>'Salaries-Benefits'!B11+'Salaries-Benefits'!B20+'Salaries-Benefits'!B29+'Salaries-Benefits'!B38</f>
        <v>3331426.1500000004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36348146.379999995</v>
      </c>
      <c r="G4" s="228">
        <f>'DOE25'!L212+'DOE25'!L291</f>
        <v>36348146.379999995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172840.68+65742.08</f>
        <v>238582.76</v>
      </c>
      <c r="E5" s="219"/>
      <c r="F5" s="231">
        <f>D5+E5</f>
        <v>238582.76</v>
      </c>
      <c r="G5" s="222"/>
      <c r="H5" s="222"/>
      <c r="J5" s="71" t="s">
        <v>1840</v>
      </c>
      <c r="K5" s="20">
        <v>172840.68</v>
      </c>
      <c r="L5" s="20"/>
      <c r="M5" s="20"/>
      <c r="N5" s="20"/>
      <c r="O5" s="20"/>
      <c r="P5" s="20"/>
      <c r="Q5" s="20"/>
    </row>
    <row r="6" spans="1:22" x14ac:dyDescent="0.2">
      <c r="A6" t="str" cm="1">
        <f t="array" ref="A6">IFERROR(INDEX('School Tables'!$A$4:$G$365,'School Tables'!$J4,3),"")</f>
        <v>Matthew Thornton Elementary School</v>
      </c>
      <c r="B6" s="229">
        <f>IFERROR(VLOOKUP(A6,'School Tables'!$C$3:$D$365,2,FALSE),"")</f>
        <v>20485</v>
      </c>
      <c r="C6" s="222" t="str">
        <f>IFERROR(INDEX('School Tables'!$B$3:$B$365,MATCH('School Level Expenditures'!B6,'School Tables'!$D$3:$D$365,0)),"")</f>
        <v>Londonderry</v>
      </c>
      <c r="D6" s="219">
        <f>10694228.35-164855.1</f>
        <v>10529373.25</v>
      </c>
      <c r="E6" s="219">
        <f>663.96+552.99+1704.59+5544+1901+719+1984+55650.95+5480.47+6396.11+2982.66+1657.93+1295+1295+29560+3179.75+573.26+102769.34+18287.32+3371.7</f>
        <v>245569.03</v>
      </c>
      <c r="F6" s="231">
        <f t="shared" ref="F6:F20" si="2">D6+E6</f>
        <v>10774942.279999999</v>
      </c>
      <c r="G6" s="222"/>
      <c r="H6" s="222"/>
      <c r="J6" t="str">
        <f t="shared" ref="J6:J20" si="3">A6</f>
        <v>Matthew Thornton Elementary School</v>
      </c>
      <c r="K6" s="20">
        <f>2982.66+1295+1295+29560+3179.75+102769.34-18408+2404659.18+1032307.09+169050.72+2435917.36+387734.22+406130.83</f>
        <v>6958473.1499999994</v>
      </c>
      <c r="L6" s="315">
        <f>389368.98+280423.76+324072.39+2604.78-103511.4</f>
        <v>892958.51</v>
      </c>
      <c r="M6" s="307">
        <f>663.96+552.99+1704.59+5544+1901+719+1984+1657.93+573.26+18408+110171.42+11019.11+85243+28243.58</f>
        <v>268385.84000000003</v>
      </c>
      <c r="N6" s="315">
        <f>332520.31+209315.66+9621.44</f>
        <v>551457.40999999992</v>
      </c>
      <c r="O6" s="20">
        <f>18408+791025.31+2549776.94+69598.09</f>
        <v>3428808.34</v>
      </c>
      <c r="P6" s="20">
        <v>714454.3</v>
      </c>
      <c r="Q6" s="20">
        <f>29560+12395.4</f>
        <v>41955.4</v>
      </c>
    </row>
    <row r="7" spans="1:22" x14ac:dyDescent="0.2">
      <c r="A7" t="str" cm="1">
        <f t="array" ref="A7">IFERROR(INDEX('School Tables'!$A$4:$G$365,'School Tables'!$J5,3),"")</f>
        <v>Moose Hill School</v>
      </c>
      <c r="B7" s="229">
        <f>IFERROR(VLOOKUP(A7,'School Tables'!$C$3:$D$365,2,FALSE),"")</f>
        <v>27905</v>
      </c>
      <c r="C7" s="222" t="str">
        <f>IFERROR(INDEX('School Tables'!$B$3:$B$365,MATCH('School Level Expenditures'!B7,'School Tables'!$D$3:$D$365,0)),"")</f>
        <v>Londonderry</v>
      </c>
      <c r="D7" s="219">
        <f>5339287.74-65494.76</f>
        <v>5273792.9800000004</v>
      </c>
      <c r="E7" s="219">
        <f>793.51+214.06+2037.2+2226+763+289+768+22110.24+1154.58+587.08+7572.87+641.78+1276.72+221.91+276392.89+7078.96</f>
        <v>324127.80000000005</v>
      </c>
      <c r="F7" s="231">
        <f t="shared" si="2"/>
        <v>5597920.7800000003</v>
      </c>
      <c r="G7" s="222"/>
      <c r="H7" s="222"/>
      <c r="J7" t="str">
        <f t="shared" si="3"/>
        <v>Moose Hill School</v>
      </c>
      <c r="K7" s="20">
        <f>1154.58+587.08+7572.87+1276.72+276392.89+806608.21+29298.85+1229260.93+15629+67161.62+967757.87+150090.67+157211.93</f>
        <v>3710003.22</v>
      </c>
      <c r="L7" s="315">
        <f>66017.18+285457.58+111408.67+128749.69+1008.3-40068.93</f>
        <v>552572.49</v>
      </c>
      <c r="M7" s="307">
        <f>793.51+214.06+2037.2+2226+763+289+768+641.78+221.91+7078.96+19244.92+4377.75+33865.92+10933</f>
        <v>83455.009999999995</v>
      </c>
      <c r="N7" s="315">
        <f>176610.81+83158.35+3724.43</f>
        <v>263493.59000000003</v>
      </c>
      <c r="O7" s="20">
        <f>687850.84+1055968.23+28823.45</f>
        <v>1772642.5199999998</v>
      </c>
      <c r="P7" s="20">
        <v>295885.12</v>
      </c>
      <c r="Q7" s="20">
        <v>4976.9399999999996</v>
      </c>
    </row>
    <row r="8" spans="1:22" x14ac:dyDescent="0.2">
      <c r="A8" t="str" cm="1">
        <f t="array" ref="A8">IFERROR(INDEX('School Tables'!$A$4:$G$365,'School Tables'!$J6,3),"")</f>
        <v>North Londonderry Elementary School</v>
      </c>
      <c r="B8" s="229">
        <f>IFERROR(VLOOKUP(A8,'School Tables'!$C$3:$D$365,2,FALSE),"")</f>
        <v>20470</v>
      </c>
      <c r="C8" s="222" t="str">
        <f>IFERROR(INDEX('School Tables'!$B$3:$B$365,MATCH('School Level Expenditures'!B8,'School Tables'!$D$3:$D$365,0)),"")</f>
        <v>Londonderry</v>
      </c>
      <c r="D8" s="219">
        <f>10202144.59-158145.88</f>
        <v>10043998.709999999</v>
      </c>
      <c r="E8" s="219">
        <f>593.78+535.15+1524.43+5334+1829+692+1920+40720.46+5480.47+6396.11+2886.44+1604.45+1295+1295+29560+3059.31+554.77+51204.82+17697.41</f>
        <v>174182.6</v>
      </c>
      <c r="F8" s="231">
        <f t="shared" si="2"/>
        <v>10218181.309999999</v>
      </c>
      <c r="G8" s="222"/>
      <c r="H8" s="222"/>
      <c r="J8" t="str">
        <f t="shared" si="3"/>
        <v>North Londonderry Elementary School</v>
      </c>
      <c r="K8" s="20">
        <f>2886.44+1295+1295+29560+3059.31+2267114.99+126289.68+629198.46+109441.62+15719.38+4396+162170.75+2336781.19+375226.67+393029.84</f>
        <v>6457464.3300000001</v>
      </c>
      <c r="L8" s="20">
        <f>165596.1+96586.88+81337.1+269011.17+310883.4+2520.75-100172.33</f>
        <v>825763.07000000007</v>
      </c>
      <c r="M8" s="307">
        <f>593.78+535.15+1524.43+5334+1829+692+1920+1604.45+554.77+17697.41+113972.86+10570.66+81773.81+27332.49</f>
        <v>265934.81</v>
      </c>
      <c r="N8" s="315">
        <f>316324.8+200797+9311.07</f>
        <v>526432.87</v>
      </c>
      <c r="O8" s="20">
        <f>22264+447656.36+2657949.3+72550.73</f>
        <v>3200420.3899999997</v>
      </c>
      <c r="P8" s="20">
        <v>744764.49</v>
      </c>
      <c r="Q8" s="20">
        <f>29560+11925.88</f>
        <v>41485.879999999997</v>
      </c>
    </row>
    <row r="9" spans="1:22" x14ac:dyDescent="0.2">
      <c r="A9" t="str" cm="1">
        <f t="array" ref="A9">IFERROR(INDEX('School Tables'!$A$4:$G$365,'School Tables'!$J7,3),"")</f>
        <v>South Londonderry Elementary School</v>
      </c>
      <c r="B9" s="229">
        <f>IFERROR(VLOOKUP(A9,'School Tables'!$C$3:$D$365,2,FALSE),"")</f>
        <v>20475</v>
      </c>
      <c r="C9" s="222" t="str">
        <f>IFERROR(INDEX('School Tables'!$B$3:$B$365,MATCH('School Level Expenditures'!B9,'School Tables'!$D$3:$D$365,0)),"")</f>
        <v>Londonderry</v>
      </c>
      <c r="D9" s="219">
        <f>9052939.95-141852.07</f>
        <v>8911087.879999999</v>
      </c>
      <c r="E9" s="219">
        <f>928.46+481.63+2383.66+4788+1642+621+1728+37137.23+5480.47+6396.12+2597.8+1444+1295+1295+22170+2746.15+499.29+497869.89+15927.67</f>
        <v>607431.37</v>
      </c>
      <c r="F9" s="231">
        <f t="shared" si="2"/>
        <v>9518519.2499999981</v>
      </c>
      <c r="G9" s="222"/>
      <c r="H9" s="222"/>
      <c r="J9" t="str">
        <f t="shared" si="3"/>
        <v>South Londonderry Elementary School</v>
      </c>
      <c r="K9" s="20">
        <f>2597.8+1295+1295+22170+2746.15+1824930.08+113217.04+482704.77+110461.26+15872.76+5764.5+145462.25+2096021.92+337704+353726.85</f>
        <v>5515969.379999999</v>
      </c>
      <c r="L9" s="20">
        <f>192661.45+114360.11+170821.1+241294.87+278852.99+2268.67-90155.09</f>
        <v>910104.10000000009</v>
      </c>
      <c r="M9" s="307">
        <f>928.46+481.63+2383.66+4788+1642+621+1728+1444+499.29+18287.32+15927.67+497869.89+86434.7+9481.56+73348.63+24599.24-293426.16</f>
        <v>447038.89000000007</v>
      </c>
      <c r="N9" s="315">
        <f>311001.11+180108.82+8379.97</f>
        <v>499489.89999999997</v>
      </c>
      <c r="O9" s="20">
        <f>20608+626603.37+2287072.65+62427.38</f>
        <v>2996711.4</v>
      </c>
      <c r="P9" s="20">
        <v>640843.86</v>
      </c>
      <c r="Q9" s="20">
        <f>22170+10705.12</f>
        <v>32875.120000000003</v>
      </c>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34996835.579999998</v>
      </c>
      <c r="E21" s="261">
        <f>SUM(E5:E20)</f>
        <v>1351310.8</v>
      </c>
      <c r="F21" s="216"/>
      <c r="G21" s="216"/>
      <c r="H21" s="216"/>
      <c r="K21" s="262">
        <f t="shared" ref="K21:Q21" si="4">SUM(K5:K20)</f>
        <v>22814750.759999998</v>
      </c>
      <c r="L21" s="262">
        <f t="shared" si="4"/>
        <v>3181398.1700000004</v>
      </c>
      <c r="M21" s="262">
        <f t="shared" si="4"/>
        <v>1064814.55</v>
      </c>
      <c r="N21" s="262">
        <f t="shared" si="4"/>
        <v>1840873.77</v>
      </c>
      <c r="O21" s="262">
        <f t="shared" si="4"/>
        <v>11398582.65</v>
      </c>
      <c r="P21" s="262">
        <f t="shared" si="4"/>
        <v>2395947.77</v>
      </c>
      <c r="Q21" s="262">
        <f t="shared" si="4"/>
        <v>121293.34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12146008.490000002</v>
      </c>
      <c r="L23" s="19">
        <f>'DOE25'!L221+'DOE25'!L301</f>
        <v>1799484.47</v>
      </c>
      <c r="M23" s="19">
        <f>'DOE25'!L222+'DOE25'!L302</f>
        <v>529678.37</v>
      </c>
      <c r="N23" s="19">
        <f>'DOE25'!L224+'DOE25'!L304</f>
        <v>808897.55999999994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20045265.739999995</v>
      </c>
      <c r="G25" s="228">
        <f>'DOE25'!L230+'DOE25'!L310</f>
        <v>20045265.740000002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677.54+391631.24+224485.14</f>
        <v>616793.91999999993</v>
      </c>
      <c r="E26" s="219">
        <v>0</v>
      </c>
      <c r="F26" s="231">
        <f>D26+E26</f>
        <v>616793.91999999993</v>
      </c>
      <c r="G26" s="222"/>
      <c r="H26" s="222"/>
      <c r="J26" s="71" t="s">
        <v>1840</v>
      </c>
      <c r="K26" s="315">
        <v>392308.78</v>
      </c>
      <c r="L26" s="315"/>
      <c r="M26" s="315"/>
      <c r="N26" s="315"/>
      <c r="O26" s="315"/>
      <c r="P26" s="315"/>
      <c r="Q26" s="315"/>
    </row>
    <row r="27" spans="1:17" x14ac:dyDescent="0.2">
      <c r="A27" t="str" cm="1">
        <f t="array" ref="A27">IFERROR(INDEX('School Tables'!$L$4:$R$100,'School Tables'!$U4,3),"")</f>
        <v>Londonderry Middle School</v>
      </c>
      <c r="B27" s="229">
        <f>IFERROR(VLOOKUP(A27,'School Tables'!$N$4:$O$100,2,FALSE),"")</f>
        <v>20480</v>
      </c>
      <c r="C27" s="222" t="str">
        <f>IFERROR(INDEX('School Tables'!$M$4:$M$100,MATCH('School Level Expenditures'!A27,'School Tables'!$N$4:$N$100,0)),"")</f>
        <v>Londonderry</v>
      </c>
      <c r="D27" s="219">
        <f>19723492.09-616793.92</f>
        <v>19106698.169999998</v>
      </c>
      <c r="E27" s="219">
        <v>321773.65000000002</v>
      </c>
      <c r="F27" s="231">
        <f t="shared" ref="F27:F33" si="6">D27+E27</f>
        <v>19428471.819999997</v>
      </c>
      <c r="G27" s="222"/>
      <c r="H27" s="222"/>
      <c r="J27" t="str">
        <f t="shared" ref="J27:J33" si="7">A27</f>
        <v>Londonderry Middle School</v>
      </c>
      <c r="K27" s="20">
        <f>8288804.58+3253566.04+444016.63+28237.63+122578.61+8805-392308.78</f>
        <v>11753699.710000003</v>
      </c>
      <c r="L27" s="20">
        <f>90073+1709411.47</f>
        <v>1799484.47</v>
      </c>
      <c r="M27" s="307">
        <f>503788.96+25889.41</f>
        <v>529678.37</v>
      </c>
      <c r="N27" s="20">
        <f>10659.4+937.92+497880.94+299419.3</f>
        <v>808897.56</v>
      </c>
      <c r="O27" s="20">
        <f>6113126.25+45342.15+184624.95+175726.5</f>
        <v>6518819.8500000006</v>
      </c>
      <c r="P27" s="20">
        <f>17700.84+482340.16</f>
        <v>500041</v>
      </c>
      <c r="Q27" s="20">
        <f>18652.75+22818.81</f>
        <v>41471.56</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19723492.089999996</v>
      </c>
      <c r="E34" s="261">
        <f>SUM(E26:E33)</f>
        <v>321773.65000000002</v>
      </c>
      <c r="F34" s="216"/>
      <c r="G34" s="216"/>
      <c r="H34" s="216"/>
      <c r="K34" s="262">
        <f t="shared" ref="K34:Q34" si="8">SUM(K26:K33)</f>
        <v>12146008.490000002</v>
      </c>
      <c r="L34" s="262">
        <f t="shared" si="8"/>
        <v>1799484.47</v>
      </c>
      <c r="M34" s="262">
        <f t="shared" si="8"/>
        <v>529678.37</v>
      </c>
      <c r="N34" s="262">
        <f t="shared" si="8"/>
        <v>808897.56</v>
      </c>
      <c r="O34" s="262">
        <f t="shared" si="8"/>
        <v>6518819.8500000006</v>
      </c>
      <c r="P34" s="262">
        <f t="shared" si="8"/>
        <v>500041</v>
      </c>
      <c r="Q34" s="262">
        <f t="shared" si="8"/>
        <v>41471.56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17681176.77</v>
      </c>
      <c r="L36" s="19">
        <f>'DOE25'!L239+'DOE25'!L320</f>
        <v>3338244.83</v>
      </c>
      <c r="M36" s="19">
        <f>'DOE25'!L240+'DOE25'!L321</f>
        <v>756770.50999999989</v>
      </c>
      <c r="N36" s="19">
        <f>'DOE25'!L242+'DOE25'!L323</f>
        <v>1770979.4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30122891.219999999</v>
      </c>
      <c r="G38" s="228">
        <f>'DOE25'!L248+'DOE25'!L329</f>
        <v>30122891.219999995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10140+1677873.35+188006.57+511505.41</f>
        <v>2387525.33</v>
      </c>
      <c r="E39" s="219"/>
      <c r="F39" s="231">
        <f t="shared" ref="F39:F44" si="10">D39+E39</f>
        <v>2387525.33</v>
      </c>
      <c r="G39" s="222"/>
      <c r="H39" s="222"/>
      <c r="J39" s="71" t="s">
        <v>1840</v>
      </c>
      <c r="K39" s="315">
        <f>1688013.35+188006.57</f>
        <v>1876019.9200000002</v>
      </c>
      <c r="L39" s="315"/>
      <c r="M39" s="315"/>
      <c r="N39" s="315"/>
      <c r="O39" s="315"/>
      <c r="P39" s="315"/>
      <c r="Q39" s="315"/>
    </row>
    <row r="40" spans="1:17" x14ac:dyDescent="0.2">
      <c r="A40" t="str" cm="1">
        <f t="array" ref="A40">IFERROR(INDEX('School Tables'!$W$4:$AC$120,'School Tables'!$AF4,3),"")</f>
        <v>Londonderry Senior High School</v>
      </c>
      <c r="B40" s="229">
        <f>IFERROR(VLOOKUP(A40,'School Tables'!$Y$4:$Z$120,2,FALSE),"")</f>
        <v>20490</v>
      </c>
      <c r="C40" s="222" t="str">
        <f>IFERROR(INDEX('School Tables'!$X$4:$X$120,MATCH('School Level Expenditures'!A40,'School Tables'!$Y$4:$Y$120,0)),"")</f>
        <v>Londonderry</v>
      </c>
      <c r="D40" s="219">
        <f>29631831.16-1876019.92-511505.41</f>
        <v>27244305.830000002</v>
      </c>
      <c r="E40" s="219">
        <v>491060.06</v>
      </c>
      <c r="F40" s="231">
        <f t="shared" si="10"/>
        <v>27735365.890000001</v>
      </c>
      <c r="G40" s="222"/>
      <c r="H40" s="222"/>
      <c r="J40" t="str">
        <f>A40</f>
        <v>Londonderry Senior High School</v>
      </c>
      <c r="K40" s="20">
        <f>11237582.21+4332724.15+188006.57+1557912.06+36296.47+328655.31-1876019.92</f>
        <v>15805156.85</v>
      </c>
      <c r="L40" s="20">
        <f>9768.2+3328476.63</f>
        <v>3338244.83</v>
      </c>
      <c r="M40" s="307">
        <f>679925.43+76845.08</f>
        <v>756770.51</v>
      </c>
      <c r="N40" s="20">
        <v>1770979.4</v>
      </c>
      <c r="O40" s="20">
        <f>7918114.98+218855.08+1048793.7+182696.94</f>
        <v>9368460.6999999993</v>
      </c>
      <c r="P40" s="20">
        <f>414035.23+21402.15</f>
        <v>435437.38</v>
      </c>
      <c r="Q40" s="20">
        <f>35546.31+403.95+31082.43</f>
        <v>67032.69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29631831.160000004</v>
      </c>
      <c r="E45" s="262">
        <f>SUM(E39:E44)</f>
        <v>491060.06</v>
      </c>
      <c r="K45" s="262">
        <f t="shared" ref="K45:Q45" si="11">SUM(K39:K44)</f>
        <v>17681176.77</v>
      </c>
      <c r="L45" s="262">
        <f t="shared" si="11"/>
        <v>3338244.83</v>
      </c>
      <c r="M45" s="262">
        <f t="shared" si="11"/>
        <v>756770.51</v>
      </c>
      <c r="N45" s="262">
        <f t="shared" si="11"/>
        <v>1770979.4</v>
      </c>
      <c r="O45" s="262">
        <f t="shared" si="11"/>
        <v>9368460.6999999993</v>
      </c>
      <c r="P45" s="262">
        <f t="shared" si="11"/>
        <v>435437.38</v>
      </c>
      <c r="Q45" s="262">
        <f t="shared" si="11"/>
        <v>67032.69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U17" sqref="U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Londonderry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4097808.0700000003</v>
      </c>
      <c r="D8" s="73">
        <f>'DOE25'!G9</f>
        <v>5900</v>
      </c>
      <c r="E8" s="73">
        <f>'DOE25'!H9</f>
        <v>0</v>
      </c>
      <c r="F8" s="73">
        <f>'DOE25'!I9</f>
        <v>4263276.5</v>
      </c>
      <c r="G8" s="73">
        <f>'DOE25'!J9</f>
        <v>837787.54</v>
      </c>
      <c r="H8" s="13">
        <f>SUM(C8:G8)</f>
        <v>9204772.1099999994</v>
      </c>
      <c r="I8" s="90"/>
    </row>
    <row r="9" spans="1:9" x14ac:dyDescent="0.2">
      <c r="A9" s="1" t="s">
        <v>140</v>
      </c>
      <c r="B9" s="6">
        <v>110</v>
      </c>
      <c r="C9" s="73">
        <f>'DOE25'!F10</f>
        <v>2735410.79</v>
      </c>
      <c r="D9" s="73">
        <f>'DOE25'!G10</f>
        <v>0</v>
      </c>
      <c r="E9" s="73">
        <f>'DOE25'!H10</f>
        <v>0</v>
      </c>
      <c r="F9" s="73">
        <f>'DOE25'!I10</f>
        <v>0</v>
      </c>
      <c r="G9" s="73">
        <f>'DOE25'!J10</f>
        <v>0</v>
      </c>
      <c r="H9" s="13">
        <f t="shared" ref="H9:H18" si="0">SUM(C9:G9)</f>
        <v>2735410.79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5125493.84</v>
      </c>
      <c r="D11" s="73">
        <f>'DOE25'!G12</f>
        <v>2508014.2400000002</v>
      </c>
      <c r="E11" s="73">
        <f>'DOE25'!H12</f>
        <v>2297068.13</v>
      </c>
      <c r="F11" s="73">
        <f>'DOE25'!I12</f>
        <v>857167.09</v>
      </c>
      <c r="G11" s="73">
        <f>'DOE25'!J12</f>
        <v>0</v>
      </c>
      <c r="H11" s="13">
        <f t="shared" si="0"/>
        <v>10787743.300000001</v>
      </c>
      <c r="I11" s="90"/>
    </row>
    <row r="12" spans="1:9" x14ac:dyDescent="0.2">
      <c r="A12" s="1" t="s">
        <v>143</v>
      </c>
      <c r="B12" s="6">
        <v>140</v>
      </c>
      <c r="C12" s="73">
        <f>'DOE25'!F13</f>
        <v>0</v>
      </c>
      <c r="D12" s="73">
        <f>'DOE25'!G13</f>
        <v>65743.05</v>
      </c>
      <c r="E12" s="73">
        <f>'DOE25'!H13</f>
        <v>363683.78</v>
      </c>
      <c r="F12" s="73">
        <f>'DOE25'!I13</f>
        <v>0</v>
      </c>
      <c r="G12" s="73">
        <f>'DOE25'!J13</f>
        <v>0</v>
      </c>
      <c r="H12" s="13">
        <f t="shared" si="0"/>
        <v>429426.83</v>
      </c>
      <c r="I12" s="90"/>
    </row>
    <row r="13" spans="1:9" x14ac:dyDescent="0.2">
      <c r="A13" s="1" t="s">
        <v>144</v>
      </c>
      <c r="B13" s="6">
        <v>150</v>
      </c>
      <c r="C13" s="73">
        <f>'DOE25'!F14</f>
        <v>4368.22</v>
      </c>
      <c r="D13" s="73">
        <f>'DOE25'!G14</f>
        <v>58254.07</v>
      </c>
      <c r="E13" s="73">
        <f>'DOE25'!H14</f>
        <v>0</v>
      </c>
      <c r="F13" s="73">
        <f>'DOE25'!I14</f>
        <v>0</v>
      </c>
      <c r="G13" s="73">
        <f>'DOE25'!J14</f>
        <v>0</v>
      </c>
      <c r="H13" s="13">
        <f t="shared" si="0"/>
        <v>62622.29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40936.85</v>
      </c>
      <c r="E15" s="73">
        <f>'DOE25'!H16</f>
        <v>0</v>
      </c>
      <c r="F15" s="73">
        <f>'DOE25'!I16</f>
        <v>0</v>
      </c>
      <c r="G15" s="23" t="s">
        <v>288</v>
      </c>
      <c r="H15" s="13">
        <f t="shared" si="0"/>
        <v>40936.85</v>
      </c>
      <c r="I15" s="90"/>
    </row>
    <row r="16" spans="1:9" x14ac:dyDescent="0.2">
      <c r="A16" s="1" t="s">
        <v>147</v>
      </c>
      <c r="B16" s="6">
        <v>180</v>
      </c>
      <c r="C16" s="73">
        <f>'DOE25'!F17</f>
        <v>22920.98</v>
      </c>
      <c r="D16" s="73">
        <f>'DOE25'!G17</f>
        <v>0</v>
      </c>
      <c r="E16" s="73">
        <f>'DOE25'!H17</f>
        <v>0</v>
      </c>
      <c r="F16" s="73">
        <f>'DOE25'!I17</f>
        <v>0</v>
      </c>
      <c r="G16" s="73">
        <f>'DOE25'!J17</f>
        <v>0</v>
      </c>
      <c r="H16" s="13">
        <f t="shared" si="0"/>
        <v>22920.98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11986001.9</v>
      </c>
      <c r="D18" s="38">
        <f>SUM(D8:D17)</f>
        <v>2678848.21</v>
      </c>
      <c r="E18" s="38">
        <f>SUM(E8:E17)</f>
        <v>2660751.91</v>
      </c>
      <c r="F18" s="38">
        <f>SUM(F8:F17)</f>
        <v>5120443.59</v>
      </c>
      <c r="G18" s="38">
        <f>SUM(G8:G17)</f>
        <v>837787.54</v>
      </c>
      <c r="H18" s="38">
        <f t="shared" si="0"/>
        <v>23283833.149999999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5387024.1900000004</v>
      </c>
      <c r="D21" s="73">
        <f>'DOE25'!G22</f>
        <v>1906927.07</v>
      </c>
      <c r="E21" s="73">
        <f>'DOE25'!H22</f>
        <v>2565091.98</v>
      </c>
      <c r="F21" s="73">
        <f>'DOE25'!I22</f>
        <v>928700.06</v>
      </c>
      <c r="G21" s="73">
        <f>'DOE25'!J22</f>
        <v>0</v>
      </c>
      <c r="H21" s="13">
        <f t="shared" ref="H21:H31" si="1">SUM(C21:G21)</f>
        <v>10787743.300000001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2831024.2</v>
      </c>
      <c r="D23" s="73">
        <f>'DOE25'!G24</f>
        <v>61344.53</v>
      </c>
      <c r="E23" s="73">
        <f>'DOE25'!H24</f>
        <v>16719.5</v>
      </c>
      <c r="F23" s="73">
        <f>'DOE25'!I24</f>
        <v>1127415.28</v>
      </c>
      <c r="G23" s="73">
        <f>'DOE25'!J24</f>
        <v>0</v>
      </c>
      <c r="H23" s="13">
        <f t="shared" si="1"/>
        <v>4036503.51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665349.1</v>
      </c>
      <c r="D27" s="73">
        <f>'DOE25'!G28</f>
        <v>14493.7</v>
      </c>
      <c r="E27" s="73">
        <f>'DOE25'!H28</f>
        <v>55104.08</v>
      </c>
      <c r="F27" s="73">
        <f>'DOE25'!I28</f>
        <v>0</v>
      </c>
      <c r="G27" s="23" t="s">
        <v>288</v>
      </c>
      <c r="H27" s="13">
        <f t="shared" si="1"/>
        <v>734946.87999999989</v>
      </c>
      <c r="I27" s="90"/>
    </row>
    <row r="28" spans="1:9" x14ac:dyDescent="0.2">
      <c r="A28" s="1" t="s">
        <v>157</v>
      </c>
      <c r="B28" s="6">
        <v>470</v>
      </c>
      <c r="C28" s="73">
        <f>'DOE25'!F29</f>
        <v>214718.85</v>
      </c>
      <c r="D28" s="73">
        <f>'DOE25'!G29</f>
        <v>0</v>
      </c>
      <c r="E28" s="73">
        <f>'DOE25'!H29</f>
        <v>0</v>
      </c>
      <c r="F28" s="73">
        <f>'DOE25'!I29</f>
        <v>0</v>
      </c>
      <c r="G28" s="23" t="s">
        <v>288</v>
      </c>
      <c r="H28" s="13">
        <f t="shared" si="1"/>
        <v>214718.85</v>
      </c>
      <c r="I28" s="90"/>
    </row>
    <row r="29" spans="1:9" x14ac:dyDescent="0.2">
      <c r="A29" s="1" t="s">
        <v>158</v>
      </c>
      <c r="B29" s="6">
        <v>480</v>
      </c>
      <c r="C29" s="73">
        <f>'DOE25'!F30</f>
        <v>35308</v>
      </c>
      <c r="D29" s="73">
        <f>'DOE25'!G30</f>
        <v>0</v>
      </c>
      <c r="E29" s="73">
        <f>'DOE25'!H30</f>
        <v>0</v>
      </c>
      <c r="F29" s="73">
        <f>'DOE25'!I30</f>
        <v>0</v>
      </c>
      <c r="G29" s="23" t="s">
        <v>288</v>
      </c>
      <c r="H29" s="13">
        <f t="shared" si="1"/>
        <v>35308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9133424.3399999999</v>
      </c>
      <c r="D31" s="38">
        <f>SUM(D21:D30)</f>
        <v>1982765.3</v>
      </c>
      <c r="E31" s="38">
        <f>SUM(E21:E30)</f>
        <v>2636915.56</v>
      </c>
      <c r="F31" s="38">
        <f>SUM(F21:F30)</f>
        <v>2056115.34</v>
      </c>
      <c r="G31" s="38">
        <f>SUM(G21:G30)</f>
        <v>0</v>
      </c>
      <c r="H31" s="38">
        <f t="shared" si="1"/>
        <v>15809220.540000001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40936.85</v>
      </c>
      <c r="E34" s="73">
        <f>'DOE25'!H35</f>
        <v>0</v>
      </c>
      <c r="F34" s="73">
        <f>'DOE25'!I35</f>
        <v>0</v>
      </c>
      <c r="G34" s="23" t="s">
        <v>288</v>
      </c>
      <c r="H34" s="13">
        <f t="shared" ref="H34:H51" si="2">SUM(C34:G34)</f>
        <v>40936.85</v>
      </c>
      <c r="I34" s="90"/>
    </row>
    <row r="35" spans="1:9" x14ac:dyDescent="0.2">
      <c r="A35" s="1" t="s">
        <v>846</v>
      </c>
      <c r="B35" s="6">
        <v>752</v>
      </c>
      <c r="C35" s="73">
        <f>'DOE25'!F36</f>
        <v>22920.98</v>
      </c>
      <c r="D35" s="73">
        <f>'DOE25'!G36</f>
        <v>0</v>
      </c>
      <c r="E35" s="73">
        <f>'DOE25'!H36</f>
        <v>0</v>
      </c>
      <c r="F35" s="73">
        <f>'DOE25'!I36</f>
        <v>0</v>
      </c>
      <c r="G35" s="23" t="s">
        <v>288</v>
      </c>
      <c r="H35" s="13">
        <f t="shared" si="2"/>
        <v>22920.98</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655146.06000000006</v>
      </c>
      <c r="E39" s="23" t="s">
        <v>288</v>
      </c>
      <c r="F39" s="23" t="s">
        <v>288</v>
      </c>
      <c r="G39" s="23" t="s">
        <v>288</v>
      </c>
      <c r="H39" s="13">
        <f t="shared" si="2"/>
        <v>655146.06000000006</v>
      </c>
      <c r="I39" s="90"/>
    </row>
    <row r="40" spans="1:9" x14ac:dyDescent="0.2">
      <c r="A40" s="1" t="s">
        <v>867</v>
      </c>
      <c r="B40" s="6"/>
      <c r="C40" s="23" t="s">
        <v>288</v>
      </c>
      <c r="D40" s="23" t="s">
        <v>288</v>
      </c>
      <c r="E40" s="23" t="s">
        <v>288</v>
      </c>
      <c r="F40" s="73">
        <f>'DOE25'!I41</f>
        <v>3064328.25</v>
      </c>
      <c r="G40" s="23" t="s">
        <v>288</v>
      </c>
      <c r="H40" s="13">
        <f t="shared" si="2"/>
        <v>3064328.25</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23836.35</v>
      </c>
      <c r="F42" s="73">
        <f>'DOE25'!I43</f>
        <v>0</v>
      </c>
      <c r="G42" s="73">
        <f>'DOE25'!J43</f>
        <v>0</v>
      </c>
      <c r="H42" s="13">
        <f t="shared" si="2"/>
        <v>23836.35</v>
      </c>
      <c r="I42" s="90"/>
    </row>
    <row r="43" spans="1:9" x14ac:dyDescent="0.2">
      <c r="A43" s="1" t="s">
        <v>859</v>
      </c>
      <c r="B43" s="6">
        <v>755</v>
      </c>
      <c r="C43" s="73">
        <f>'DOE25'!F44</f>
        <v>370000</v>
      </c>
      <c r="D43" s="73">
        <f>'DOE25'!G44</f>
        <v>0</v>
      </c>
      <c r="E43" s="73">
        <f>'DOE25'!H44</f>
        <v>0</v>
      </c>
      <c r="F43" s="73">
        <f>'DOE25'!I44</f>
        <v>0</v>
      </c>
      <c r="G43" s="23" t="s">
        <v>288</v>
      </c>
      <c r="H43" s="13">
        <f t="shared" si="2"/>
        <v>370000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1775000</v>
      </c>
      <c r="D45" s="23" t="s">
        <v>288</v>
      </c>
      <c r="E45" s="23" t="s">
        <v>288</v>
      </c>
      <c r="F45" s="23" t="s">
        <v>288</v>
      </c>
      <c r="G45" s="23" t="s">
        <v>288</v>
      </c>
      <c r="H45" s="13">
        <f t="shared" si="2"/>
        <v>1775000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837787.54</v>
      </c>
      <c r="H47" s="13">
        <f t="shared" si="2"/>
        <v>837787.54</v>
      </c>
      <c r="I47" s="90"/>
    </row>
    <row r="48" spans="1:9" x14ac:dyDescent="0.2">
      <c r="A48" s="1" t="s">
        <v>878</v>
      </c>
      <c r="B48" s="6">
        <v>753</v>
      </c>
      <c r="C48" s="73">
        <f>'DOE25'!F49</f>
        <v>229849.47</v>
      </c>
      <c r="D48" s="73">
        <f>'DOE25'!G49</f>
        <v>0</v>
      </c>
      <c r="E48" s="73">
        <f>'DOE25'!H49</f>
        <v>0</v>
      </c>
      <c r="F48" s="73">
        <f>'DOE25'!I49</f>
        <v>0</v>
      </c>
      <c r="G48" s="73">
        <f>'DOE25'!J49</f>
        <v>0</v>
      </c>
      <c r="H48" s="13">
        <f t="shared" si="2"/>
        <v>229849.47</v>
      </c>
      <c r="I48" s="90"/>
    </row>
    <row r="49" spans="1:9" ht="12" thickBot="1" x14ac:dyDescent="0.25">
      <c r="A49" s="28" t="s">
        <v>879</v>
      </c>
      <c r="B49" s="56">
        <v>770</v>
      </c>
      <c r="C49" s="73">
        <f>'DOE25'!F50</f>
        <v>454807.10999999987</v>
      </c>
      <c r="D49" s="23" t="s">
        <v>288</v>
      </c>
      <c r="E49" s="23" t="s">
        <v>288</v>
      </c>
      <c r="F49" s="23" t="s">
        <v>288</v>
      </c>
      <c r="G49" s="23" t="s">
        <v>288</v>
      </c>
      <c r="H49" s="13">
        <f t="shared" si="2"/>
        <v>454807.10999999987</v>
      </c>
      <c r="I49" s="90"/>
    </row>
    <row r="50" spans="1:9" ht="12.75" thickTop="1" thickBot="1" x14ac:dyDescent="0.25">
      <c r="A50" s="35" t="s">
        <v>880</v>
      </c>
      <c r="B50" s="44"/>
      <c r="C50" s="38">
        <f>SUM(C34:C49)</f>
        <v>2852577.56</v>
      </c>
      <c r="D50" s="38">
        <f>SUM(D34:D49)</f>
        <v>696082.91</v>
      </c>
      <c r="E50" s="38">
        <f>SUM(E34:E49)</f>
        <v>23836.35</v>
      </c>
      <c r="F50" s="38">
        <f>SUM(F34:F49)</f>
        <v>3064328.25</v>
      </c>
      <c r="G50" s="38">
        <f>SUM(G34:G49)</f>
        <v>837787.54</v>
      </c>
      <c r="H50" s="38">
        <f t="shared" si="2"/>
        <v>7474612.6100000003</v>
      </c>
      <c r="I50" s="90"/>
    </row>
    <row r="51" spans="1:9" ht="12" thickTop="1" x14ac:dyDescent="0.2">
      <c r="A51" s="35" t="s">
        <v>881</v>
      </c>
      <c r="B51" s="2"/>
      <c r="C51" s="38">
        <f>C50+C31</f>
        <v>11986001.9</v>
      </c>
      <c r="D51" s="38">
        <f>D50+D31</f>
        <v>2678848.21</v>
      </c>
      <c r="E51" s="38">
        <f>E50+E31</f>
        <v>2660751.91</v>
      </c>
      <c r="F51" s="38">
        <f>F50+F31</f>
        <v>5120443.59</v>
      </c>
      <c r="G51" s="38">
        <f>G50+G31</f>
        <v>837787.54</v>
      </c>
      <c r="H51" s="38">
        <f t="shared" si="2"/>
        <v>23283833.149999999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64730068</v>
      </c>
      <c r="D56" s="73">
        <f>'DOE25'!G60</f>
        <v>0</v>
      </c>
      <c r="E56" s="73">
        <f>'DOE25'!H60</f>
        <v>0</v>
      </c>
      <c r="F56" s="73">
        <f>'DOE25'!I60</f>
        <v>0</v>
      </c>
      <c r="G56" s="73">
        <f>'DOE25'!J60</f>
        <v>0</v>
      </c>
      <c r="H56" s="13">
        <f t="shared" ref="H56:H63" si="3">SUM(C56:G56)</f>
        <v>64730068</v>
      </c>
      <c r="I56"/>
    </row>
    <row r="57" spans="1:9" x14ac:dyDescent="0.2">
      <c r="A57" s="1" t="s">
        <v>164</v>
      </c>
      <c r="B57" s="6" t="s">
        <v>165</v>
      </c>
      <c r="C57" s="73">
        <f>'DOE25'!F79</f>
        <v>1779751.52</v>
      </c>
      <c r="D57" s="23" t="s">
        <v>288</v>
      </c>
      <c r="E57" s="73">
        <f>'DOE25'!H79</f>
        <v>0</v>
      </c>
      <c r="F57" s="23" t="s">
        <v>288</v>
      </c>
      <c r="G57" s="23" t="s">
        <v>288</v>
      </c>
      <c r="H57" s="13">
        <f t="shared" si="3"/>
        <v>1779751.52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180991.31</v>
      </c>
      <c r="D59" s="73">
        <f>'DOE25'!G96</f>
        <v>7.79</v>
      </c>
      <c r="E59" s="73">
        <f>'DOE25'!H96</f>
        <v>0</v>
      </c>
      <c r="F59" s="73">
        <f>'DOE25'!I96</f>
        <v>0</v>
      </c>
      <c r="G59" s="73">
        <f>'DOE25'!J96</f>
        <v>22831.15</v>
      </c>
      <c r="H59" s="13">
        <f t="shared" si="3"/>
        <v>203830.25</v>
      </c>
      <c r="I59"/>
    </row>
    <row r="60" spans="1:9" x14ac:dyDescent="0.2">
      <c r="A60" s="1" t="s">
        <v>170</v>
      </c>
      <c r="B60" s="22" t="s">
        <v>171</v>
      </c>
      <c r="C60" s="23" t="s">
        <v>288</v>
      </c>
      <c r="D60" s="73">
        <f>'DOE25'!G97</f>
        <v>1074301.29</v>
      </c>
      <c r="E60" s="23" t="s">
        <v>288</v>
      </c>
      <c r="F60" s="23" t="s">
        <v>288</v>
      </c>
      <c r="G60" s="23" t="s">
        <v>288</v>
      </c>
      <c r="H60" s="13">
        <f t="shared" si="3"/>
        <v>1074301.29</v>
      </c>
      <c r="I60"/>
    </row>
    <row r="61" spans="1:9" ht="12" thickBot="1" x14ac:dyDescent="0.25">
      <c r="A61" s="1" t="s">
        <v>172</v>
      </c>
      <c r="B61" s="22" t="s">
        <v>173</v>
      </c>
      <c r="C61" s="73">
        <f>SUM('DOE25'!F98:F110)</f>
        <v>82683.28</v>
      </c>
      <c r="D61" s="73">
        <f>SUM('DOE25'!G98:G110)</f>
        <v>28857.489999999998</v>
      </c>
      <c r="E61" s="73">
        <f>SUM('DOE25'!H98:H110)</f>
        <v>9571.6</v>
      </c>
      <c r="F61" s="73">
        <f>SUM('DOE25'!I98:I110)</f>
        <v>0</v>
      </c>
      <c r="G61" s="73">
        <f>SUM('DOE25'!J98:J110)</f>
        <v>0</v>
      </c>
      <c r="H61" s="13">
        <f t="shared" si="3"/>
        <v>121112.37</v>
      </c>
      <c r="I61"/>
    </row>
    <row r="62" spans="1:9" ht="12.75" thickTop="1" thickBot="1" x14ac:dyDescent="0.25">
      <c r="A62" s="28" t="s">
        <v>174</v>
      </c>
      <c r="B62" s="6"/>
      <c r="C62" s="93">
        <f>SUM(C57:C61)</f>
        <v>2043426.11</v>
      </c>
      <c r="D62" s="93">
        <f>SUM(D57:D61)</f>
        <v>1103166.57</v>
      </c>
      <c r="E62" s="93">
        <f>SUM(E57:E61)</f>
        <v>9571.6</v>
      </c>
      <c r="F62" s="93">
        <f>SUM(F57:F61)</f>
        <v>0</v>
      </c>
      <c r="G62" s="93">
        <f>SUM(G57:G61)</f>
        <v>22831.15</v>
      </c>
      <c r="H62" s="13">
        <f t="shared" si="3"/>
        <v>3178995.43</v>
      </c>
      <c r="I62"/>
    </row>
    <row r="63" spans="1:9" ht="12" thickTop="1" x14ac:dyDescent="0.2">
      <c r="A63" s="28" t="s">
        <v>175</v>
      </c>
      <c r="B63" s="6"/>
      <c r="C63" s="21">
        <f>C56+C62</f>
        <v>66773494.109999999</v>
      </c>
      <c r="D63" s="21">
        <f>D56+D62</f>
        <v>1103166.57</v>
      </c>
      <c r="E63" s="21">
        <f>E56+E62</f>
        <v>9571.6</v>
      </c>
      <c r="F63" s="21">
        <f>F56+F62</f>
        <v>0</v>
      </c>
      <c r="G63" s="21">
        <f>G56+G62</f>
        <v>22831.15</v>
      </c>
      <c r="H63" s="13">
        <f t="shared" si="3"/>
        <v>67909063.429999992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11927483.560000001</v>
      </c>
      <c r="D66" s="23" t="s">
        <v>288</v>
      </c>
      <c r="E66" s="23" t="s">
        <v>288</v>
      </c>
      <c r="F66" s="23" t="s">
        <v>288</v>
      </c>
      <c r="G66" s="23" t="s">
        <v>288</v>
      </c>
      <c r="H66" s="13">
        <f t="shared" ref="H66:H81" si="4">SUM(C66:G66)</f>
        <v>11927483.560000001</v>
      </c>
      <c r="I66"/>
    </row>
    <row r="67" spans="1:9" x14ac:dyDescent="0.2">
      <c r="A67" s="1" t="s">
        <v>767</v>
      </c>
      <c r="B67" s="6">
        <v>3112</v>
      </c>
      <c r="C67" s="73">
        <f>'DOE25'!F118</f>
        <v>7043652</v>
      </c>
      <c r="D67" s="23"/>
      <c r="E67" s="23"/>
      <c r="F67" s="23"/>
      <c r="G67" s="23"/>
      <c r="H67" s="13">
        <f t="shared" si="4"/>
        <v>7043652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15335.01</v>
      </c>
      <c r="D69" s="73">
        <f>'DOE25'!G120</f>
        <v>0</v>
      </c>
      <c r="E69" s="73">
        <f>'DOE25'!H120</f>
        <v>0</v>
      </c>
      <c r="F69" s="73">
        <f>'DOE25'!I120</f>
        <v>0</v>
      </c>
      <c r="G69" s="73">
        <f>'DOE25'!J120</f>
        <v>0</v>
      </c>
      <c r="H69" s="13">
        <f t="shared" si="4"/>
        <v>15335.01</v>
      </c>
      <c r="I69"/>
    </row>
    <row r="70" spans="1:9" ht="12" thickTop="1" x14ac:dyDescent="0.2">
      <c r="A70" s="28" t="s">
        <v>252</v>
      </c>
      <c r="B70" s="2"/>
      <c r="C70" s="97">
        <f>SUM(C66:C69)</f>
        <v>18986470.570000004</v>
      </c>
      <c r="D70" s="97">
        <f>D69</f>
        <v>0</v>
      </c>
      <c r="E70" s="97">
        <f>E69</f>
        <v>0</v>
      </c>
      <c r="F70" s="97">
        <f>F69</f>
        <v>0</v>
      </c>
      <c r="G70" s="97">
        <f>G69</f>
        <v>0</v>
      </c>
      <c r="H70" s="13">
        <f t="shared" si="4"/>
        <v>18986470.570000004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160367.82999999999</v>
      </c>
      <c r="D72" s="23" t="s">
        <v>288</v>
      </c>
      <c r="E72" s="23" t="s">
        <v>288</v>
      </c>
      <c r="F72" s="73">
        <f>'DOE25'!I123</f>
        <v>0</v>
      </c>
      <c r="G72" s="23" t="s">
        <v>288</v>
      </c>
      <c r="H72" s="13">
        <f t="shared" si="4"/>
        <v>160367.82999999999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582232.99</v>
      </c>
      <c r="D75" s="23" t="s">
        <v>288</v>
      </c>
      <c r="E75" s="23" t="s">
        <v>288</v>
      </c>
      <c r="F75" s="23" t="s">
        <v>288</v>
      </c>
      <c r="G75" s="23" t="s">
        <v>288</v>
      </c>
      <c r="H75" s="13">
        <f t="shared" si="4"/>
        <v>582232.99</v>
      </c>
      <c r="I75"/>
    </row>
    <row r="76" spans="1:9" x14ac:dyDescent="0.2">
      <c r="A76" s="1" t="s">
        <v>257</v>
      </c>
      <c r="B76" s="6" t="s">
        <v>179</v>
      </c>
      <c r="C76" s="73">
        <f>SUM('DOE25'!F127:F130)</f>
        <v>30124.400000000001</v>
      </c>
      <c r="D76" s="23" t="s">
        <v>288</v>
      </c>
      <c r="E76" s="73">
        <f>SUM('DOE25'!H127:H130)</f>
        <v>4560</v>
      </c>
      <c r="F76" s="73">
        <f>SUM('DOE25'!I127:I130)</f>
        <v>0</v>
      </c>
      <c r="G76" s="23" t="s">
        <v>288</v>
      </c>
      <c r="H76" s="13">
        <f t="shared" si="4"/>
        <v>34684.400000000001</v>
      </c>
      <c r="I76"/>
    </row>
    <row r="77" spans="1:9" ht="12" thickBot="1" x14ac:dyDescent="0.25">
      <c r="A77" s="1" t="s">
        <v>258</v>
      </c>
      <c r="B77" s="6" t="s">
        <v>180</v>
      </c>
      <c r="C77" s="73">
        <f>SUM('DOE25'!F131:F135)</f>
        <v>0</v>
      </c>
      <c r="D77" s="73">
        <f>SUM('DOE25'!G131:G135)</f>
        <v>20292.63</v>
      </c>
      <c r="E77" s="73">
        <f>SUM('DOE25'!H131:H135)</f>
        <v>241303.88</v>
      </c>
      <c r="F77" s="73">
        <f>SUM('DOE25'!I131:I135)</f>
        <v>0</v>
      </c>
      <c r="G77" s="73">
        <f>SUM('DOE25'!J131:J135)</f>
        <v>0</v>
      </c>
      <c r="H77" s="13">
        <f t="shared" si="4"/>
        <v>261596.51</v>
      </c>
      <c r="I77"/>
    </row>
    <row r="78" spans="1:9" ht="12.75" thickTop="1" thickBot="1" x14ac:dyDescent="0.25">
      <c r="A78" s="28" t="s">
        <v>259</v>
      </c>
      <c r="B78" s="6"/>
      <c r="C78" s="93">
        <f>SUM(C72:C77)</f>
        <v>772725.22</v>
      </c>
      <c r="D78" s="93">
        <f>SUM(D72:D77)</f>
        <v>20292.63</v>
      </c>
      <c r="E78" s="93">
        <f>SUM(E72:E77)</f>
        <v>245863.88</v>
      </c>
      <c r="F78" s="93">
        <f>SUM(F72:F77)</f>
        <v>0</v>
      </c>
      <c r="G78" s="93">
        <f>SUM(G72:G77)</f>
        <v>0</v>
      </c>
      <c r="H78" s="13">
        <f t="shared" si="4"/>
        <v>1038881.73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19759195.790000003</v>
      </c>
      <c r="D81" s="93">
        <f>SUM(D79:D80)+D78+D70</f>
        <v>20292.63</v>
      </c>
      <c r="E81" s="93">
        <f>SUM(E79:E80)+E78+E70</f>
        <v>245863.88</v>
      </c>
      <c r="F81" s="93">
        <f>SUM(F79:F80)+F78+F70</f>
        <v>0</v>
      </c>
      <c r="G81" s="93">
        <f>SUM(G79:G80)+G78+G70</f>
        <v>0</v>
      </c>
      <c r="H81" s="93">
        <f t="shared" si="4"/>
        <v>20025352.300000001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144484.69</v>
      </c>
      <c r="D88" s="252">
        <f>SUM('DOE25'!G153:G162)</f>
        <v>533630.06000000006</v>
      </c>
      <c r="E88" s="252">
        <f>SUM('DOE25'!H153:H162)</f>
        <v>1944895.7</v>
      </c>
      <c r="F88" s="252">
        <f>SUM('DOE25'!I153:I162)</f>
        <v>0</v>
      </c>
      <c r="G88" s="23" t="s">
        <v>288</v>
      </c>
      <c r="H88" s="13">
        <f t="shared" si="5"/>
        <v>2623010.4500000002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144484.69</v>
      </c>
      <c r="D91" s="94">
        <f>SUM(D85:D90)</f>
        <v>533630.06000000006</v>
      </c>
      <c r="E91" s="94">
        <f>SUM(E85:E90)</f>
        <v>1944895.7</v>
      </c>
      <c r="F91" s="94">
        <f>SUM(F85:F90)</f>
        <v>0</v>
      </c>
      <c r="G91" s="23" t="s">
        <v>288</v>
      </c>
      <c r="H91" s="13">
        <f t="shared" si="5"/>
        <v>2623010.4500000002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5000000</v>
      </c>
      <c r="G93" s="23" t="s">
        <v>288</v>
      </c>
      <c r="H93" s="13">
        <f t="shared" si="5"/>
        <v>5000000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5529.07</v>
      </c>
      <c r="E96" s="73">
        <f>'DOE25'!H180</f>
        <v>0</v>
      </c>
      <c r="F96" s="73">
        <f>'DOE25'!I180</f>
        <v>0</v>
      </c>
      <c r="G96" s="73">
        <f>'DOE25'!J180</f>
        <v>723500</v>
      </c>
      <c r="H96" s="13">
        <f t="shared" si="5"/>
        <v>729029.07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502374.54</v>
      </c>
      <c r="D99" s="73">
        <f>'DOE25'!G186</f>
        <v>0</v>
      </c>
      <c r="E99" s="73">
        <f>'DOE25'!H186</f>
        <v>0</v>
      </c>
      <c r="F99" s="73">
        <f>'DOE25'!I186</f>
        <v>0</v>
      </c>
      <c r="G99" s="23" t="s">
        <v>288</v>
      </c>
      <c r="H99" s="13">
        <f t="shared" si="5"/>
        <v>502374.54</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502374.54</v>
      </c>
      <c r="D103" s="68">
        <f>SUM(D93:D102)</f>
        <v>5529.07</v>
      </c>
      <c r="E103" s="68">
        <f>SUM(E93:E102)</f>
        <v>0</v>
      </c>
      <c r="F103" s="68">
        <f>SUM(F93:F102)</f>
        <v>5000000</v>
      </c>
      <c r="G103" s="68">
        <f>SUM(G93:G102)</f>
        <v>723500</v>
      </c>
      <c r="H103" s="68">
        <f t="shared" si="5"/>
        <v>6231403.6100000003</v>
      </c>
    </row>
    <row r="104" spans="1:8" ht="12.75" thickTop="1" thickBot="1" x14ac:dyDescent="0.25">
      <c r="A104" s="32" t="s">
        <v>758</v>
      </c>
      <c r="C104" s="68">
        <f>C63+C81+C91+C103</f>
        <v>87179549.13000001</v>
      </c>
      <c r="D104" s="68">
        <f>D63+D81+D91+D103</f>
        <v>1662618.33</v>
      </c>
      <c r="E104" s="68">
        <f>E63+E81+E91+E103</f>
        <v>2200331.1800000002</v>
      </c>
      <c r="F104" s="68">
        <f>F63+F81+F91+F103</f>
        <v>5000000</v>
      </c>
      <c r="G104" s="68">
        <f>G63+G81+G103</f>
        <v>746331.15</v>
      </c>
      <c r="H104" s="68">
        <f t="shared" si="5"/>
        <v>96788829.790000021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31826254.150000002</v>
      </c>
      <c r="D109" s="23" t="s">
        <v>288</v>
      </c>
      <c r="E109" s="73">
        <f>('DOE25'!L277)+('DOE25'!L296)+('DOE25'!L315)</f>
        <v>421034.86</v>
      </c>
      <c r="F109" s="23" t="s">
        <v>288</v>
      </c>
      <c r="G109" s="23" t="s">
        <v>288</v>
      </c>
      <c r="H109" s="13">
        <f t="shared" ref="H109:H115" si="6">SUM(C109:G109)</f>
        <v>32247289.010000002</v>
      </c>
    </row>
    <row r="110" spans="1:8" x14ac:dyDescent="0.2">
      <c r="A110" t="s">
        <v>198</v>
      </c>
      <c r="B110" s="31" t="s">
        <v>199</v>
      </c>
      <c r="C110" s="73">
        <f>('DOE25'!L199)+('DOE25'!L217)+('DOE25'!L235)</f>
        <v>16691037.059999999</v>
      </c>
      <c r="D110" s="23" t="s">
        <v>288</v>
      </c>
      <c r="E110" s="73">
        <f>('DOE25'!L278)+('DOE25'!L297)+('DOE25'!L316)</f>
        <v>1068245.24</v>
      </c>
      <c r="F110" s="23" t="s">
        <v>288</v>
      </c>
      <c r="G110" s="23" t="s">
        <v>288</v>
      </c>
      <c r="H110" s="13">
        <f t="shared" si="6"/>
        <v>17759282.299999997</v>
      </c>
    </row>
    <row r="111" spans="1:8" x14ac:dyDescent="0.2">
      <c r="A111" t="s">
        <v>200</v>
      </c>
      <c r="B111" s="31" t="s">
        <v>165</v>
      </c>
      <c r="C111" s="73">
        <f>('DOE25'!L200)+('DOE25'!L218)+('DOE25'!L236)</f>
        <v>188006.57</v>
      </c>
      <c r="D111" s="23" t="s">
        <v>288</v>
      </c>
      <c r="E111" s="73">
        <f>('DOE25'!L279)+('DOE25'!L298)+('DOE25'!L317)</f>
        <v>0</v>
      </c>
      <c r="F111" s="23" t="s">
        <v>288</v>
      </c>
      <c r="G111" s="23" t="s">
        <v>288</v>
      </c>
      <c r="H111" s="13">
        <f t="shared" si="6"/>
        <v>188006.57</v>
      </c>
    </row>
    <row r="112" spans="1:8" x14ac:dyDescent="0.2">
      <c r="A112" t="s">
        <v>201</v>
      </c>
      <c r="B112" s="31" t="s">
        <v>167</v>
      </c>
      <c r="C112" s="73">
        <f>('DOE25'!L201)+('DOE25'!L219)+('DOE25'!L237)</f>
        <v>2366724.92</v>
      </c>
      <c r="D112" s="23" t="s">
        <v>288</v>
      </c>
      <c r="E112" s="73">
        <f>+('DOE25'!L280)+('DOE25'!L299)+('DOE25'!L318)</f>
        <v>80633.22</v>
      </c>
      <c r="F112" s="23" t="s">
        <v>288</v>
      </c>
      <c r="G112" s="23" t="s">
        <v>288</v>
      </c>
      <c r="H112" s="13">
        <f t="shared" si="6"/>
        <v>2447358.14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77827.8</v>
      </c>
      <c r="D114" s="23" t="s">
        <v>288</v>
      </c>
      <c r="E114" s="73">
        <f>+ SUM('DOE25'!L334:L336)</f>
        <v>35116.9</v>
      </c>
      <c r="F114" s="23" t="s">
        <v>288</v>
      </c>
      <c r="G114" s="23" t="s">
        <v>288</v>
      </c>
      <c r="H114" s="13">
        <f t="shared" si="6"/>
        <v>112944.70000000001</v>
      </c>
    </row>
    <row r="115" spans="1:8" ht="12.75" thickTop="1" thickBot="1" x14ac:dyDescent="0.25">
      <c r="A115" s="32" t="s">
        <v>205</v>
      </c>
      <c r="C115" s="68">
        <f>SUM(C109:C114)</f>
        <v>51149850.5</v>
      </c>
      <c r="D115" s="68">
        <f>SUM(D109:D114)</f>
        <v>0</v>
      </c>
      <c r="E115" s="68">
        <f>SUM(E109:E114)</f>
        <v>1605030.22</v>
      </c>
      <c r="F115" s="68">
        <f>SUM(F109:F114)</f>
        <v>0</v>
      </c>
      <c r="G115" s="68">
        <f>SUM(G109:G114)</f>
        <v>0</v>
      </c>
      <c r="H115" s="68">
        <f t="shared" si="6"/>
        <v>52754880.719999999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8200967.3999999994</v>
      </c>
      <c r="D118" s="23" t="s">
        <v>288</v>
      </c>
      <c r="E118" s="73">
        <f>+('DOE25'!L282)+('DOE25'!L301)+('DOE25'!L320)</f>
        <v>118160.06999999999</v>
      </c>
      <c r="F118" s="23" t="s">
        <v>288</v>
      </c>
      <c r="G118" s="23" t="s">
        <v>288</v>
      </c>
      <c r="H118" s="13">
        <f t="shared" ref="H118:H145" si="7">SUM(C118:G118)</f>
        <v>8319127.4699999997</v>
      </c>
    </row>
    <row r="119" spans="1:8" x14ac:dyDescent="0.2">
      <c r="A119" t="s">
        <v>208</v>
      </c>
      <c r="B119" s="31" t="s">
        <v>209</v>
      </c>
      <c r="C119" s="73">
        <f>('DOE25'!L204)+('DOE25'!L222)+('DOE25'!L240)</f>
        <v>2152125.9399999995</v>
      </c>
      <c r="D119" s="23" t="s">
        <v>288</v>
      </c>
      <c r="E119" s="73">
        <f>+('DOE25'!L283)+('DOE25'!L302)+('DOE25'!L321)</f>
        <v>199137.49</v>
      </c>
      <c r="F119" s="23" t="s">
        <v>288</v>
      </c>
      <c r="G119" s="23" t="s">
        <v>288</v>
      </c>
      <c r="H119" s="13">
        <f t="shared" si="7"/>
        <v>2351263.4299999997</v>
      </c>
    </row>
    <row r="120" spans="1:8" x14ac:dyDescent="0.2">
      <c r="A120" t="s">
        <v>210</v>
      </c>
      <c r="B120" s="31" t="s">
        <v>211</v>
      </c>
      <c r="C120" s="73">
        <f>('DOE25'!L205)+('DOE25'!L223)+('DOE25'!L241)</f>
        <v>1652543.33</v>
      </c>
      <c r="D120" s="23" t="s">
        <v>288</v>
      </c>
      <c r="E120" s="73">
        <f>+('DOE25'!L284)+('DOE25'!L303)+('DOE25'!L322)</f>
        <v>0</v>
      </c>
      <c r="F120" s="23" t="s">
        <v>288</v>
      </c>
      <c r="G120" s="23" t="s">
        <v>288</v>
      </c>
      <c r="H120" s="13">
        <f t="shared" si="7"/>
        <v>1652543.33</v>
      </c>
    </row>
    <row r="121" spans="1:8" x14ac:dyDescent="0.2">
      <c r="A121" t="s">
        <v>212</v>
      </c>
      <c r="B121" s="31" t="s">
        <v>213</v>
      </c>
      <c r="C121" s="73">
        <f>('DOE25'!L206)+('DOE25'!L224)+('DOE25'!L242)</f>
        <v>4420750.7299999995</v>
      </c>
      <c r="D121" s="23" t="s">
        <v>288</v>
      </c>
      <c r="E121" s="73">
        <f>+('DOE25'!L285)+('DOE25'!L304)+('DOE25'!L323)</f>
        <v>0</v>
      </c>
      <c r="F121" s="23" t="s">
        <v>288</v>
      </c>
      <c r="G121" s="23" t="s">
        <v>288</v>
      </c>
      <c r="H121" s="13">
        <f t="shared" si="7"/>
        <v>4420750.7299999995</v>
      </c>
    </row>
    <row r="122" spans="1:8" x14ac:dyDescent="0.2">
      <c r="A122" t="s">
        <v>214</v>
      </c>
      <c r="B122" s="31" t="s">
        <v>215</v>
      </c>
      <c r="C122" s="73">
        <f>('DOE25'!L207)+('DOE25'!L225)+('DOE25'!L243)</f>
        <v>1116621.24</v>
      </c>
      <c r="D122" s="23" t="s">
        <v>288</v>
      </c>
      <c r="E122" s="73">
        <f>+('DOE25'!L286)+('DOE25'!L305)+('DOE25'!L324)</f>
        <v>0</v>
      </c>
      <c r="F122" s="23" t="s">
        <v>288</v>
      </c>
      <c r="G122" s="23" t="s">
        <v>288</v>
      </c>
      <c r="H122" s="13">
        <f t="shared" si="7"/>
        <v>1116621.24</v>
      </c>
    </row>
    <row r="123" spans="1:8" x14ac:dyDescent="0.2">
      <c r="A123" t="s">
        <v>216</v>
      </c>
      <c r="B123" s="31" t="s">
        <v>217</v>
      </c>
      <c r="C123" s="73">
        <f>('DOE25'!L208)+('DOE25'!L226)+('DOE25'!L244)</f>
        <v>8168076.6899999995</v>
      </c>
      <c r="D123" s="23" t="s">
        <v>288</v>
      </c>
      <c r="E123" s="73">
        <f>+('DOE25'!L287)+('DOE25'!L306)+('DOE25'!L325)</f>
        <v>241303.88</v>
      </c>
      <c r="F123" s="23" t="s">
        <v>288</v>
      </c>
      <c r="G123" s="23" t="s">
        <v>288</v>
      </c>
      <c r="H123" s="13">
        <f t="shared" si="7"/>
        <v>8409380.5700000003</v>
      </c>
    </row>
    <row r="124" spans="1:8" x14ac:dyDescent="0.2">
      <c r="A124" t="s">
        <v>218</v>
      </c>
      <c r="B124" s="31" t="s">
        <v>219</v>
      </c>
      <c r="C124" s="73">
        <f>('DOE25'!L209)+('DOE25'!L227)+('DOE25'!L245+'DOE25'!L255)</f>
        <v>5251147.58</v>
      </c>
      <c r="D124" s="23" t="s">
        <v>288</v>
      </c>
      <c r="E124" s="73">
        <f>+('DOE25'!L288)+('DOE25'!L307)+('DOE25'!L326)</f>
        <v>35629.75</v>
      </c>
      <c r="F124" s="23" t="s">
        <v>288</v>
      </c>
      <c r="G124" s="23" t="s">
        <v>288</v>
      </c>
      <c r="H124" s="13">
        <f t="shared" si="7"/>
        <v>5286777.33</v>
      </c>
    </row>
    <row r="125" spans="1:8" x14ac:dyDescent="0.2">
      <c r="A125" t="s">
        <v>220</v>
      </c>
      <c r="B125" s="31" t="s">
        <v>221</v>
      </c>
      <c r="C125" s="73">
        <f>('DOE25'!L210)+('DOE25'!L228)+('DOE25'!L246)</f>
        <v>2317903.2200000002</v>
      </c>
      <c r="D125" s="23" t="s">
        <v>288</v>
      </c>
      <c r="E125" s="73">
        <f>+('DOE25'!L289)+('DOE25'!L308)+('DOE25'!L327)</f>
        <v>0</v>
      </c>
      <c r="F125" s="23" t="s">
        <v>288</v>
      </c>
      <c r="G125" s="23" t="s">
        <v>288</v>
      </c>
      <c r="H125" s="13">
        <f t="shared" si="7"/>
        <v>2317903.2200000002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1925358.94</v>
      </c>
      <c r="E127" s="23" t="s">
        <v>288</v>
      </c>
      <c r="F127" s="23" t="s">
        <v>288</v>
      </c>
      <c r="G127" s="23" t="s">
        <v>288</v>
      </c>
      <c r="H127" s="13">
        <f t="shared" si="7"/>
        <v>1925358.94</v>
      </c>
    </row>
    <row r="128" spans="1:8" ht="12.75" thickTop="1" thickBot="1" x14ac:dyDescent="0.25">
      <c r="A128" s="32" t="s">
        <v>226</v>
      </c>
      <c r="C128" s="68">
        <f>SUM(C118:C127)</f>
        <v>33280136.129999995</v>
      </c>
      <c r="D128" s="68">
        <f>SUM(D118:D127)</f>
        <v>1925358.94</v>
      </c>
      <c r="E128" s="68">
        <f>SUM(E118:E127)</f>
        <v>594231.18999999994</v>
      </c>
      <c r="F128" s="68">
        <f>SUM(F118:F127)</f>
        <v>0</v>
      </c>
      <c r="G128" s="68">
        <f>SUM(G118:G127)</f>
        <v>0</v>
      </c>
      <c r="H128" s="68">
        <f t="shared" si="7"/>
        <v>35799726.25999999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1935671.75</v>
      </c>
      <c r="G130" s="23" t="s">
        <v>288</v>
      </c>
      <c r="H130" s="13">
        <f t="shared" si="7"/>
        <v>1935671.75</v>
      </c>
    </row>
    <row r="131" spans="1:8" x14ac:dyDescent="0.2">
      <c r="A131" t="s">
        <v>229</v>
      </c>
      <c r="B131" s="31">
        <v>5110</v>
      </c>
      <c r="C131" s="73">
        <f>'DOE25'!L261</f>
        <v>935000</v>
      </c>
      <c r="D131" s="23" t="s">
        <v>288</v>
      </c>
      <c r="E131" s="92">
        <f>'DOE25'!L342</f>
        <v>0</v>
      </c>
      <c r="F131" s="23" t="s">
        <v>288</v>
      </c>
      <c r="G131" s="23" t="s">
        <v>288</v>
      </c>
      <c r="H131" s="13">
        <f t="shared" si="7"/>
        <v>935000</v>
      </c>
    </row>
    <row r="132" spans="1:8" x14ac:dyDescent="0.2">
      <c r="A132" t="s">
        <v>230</v>
      </c>
      <c r="B132" s="31">
        <v>5120</v>
      </c>
      <c r="C132" s="73">
        <f>'DOE25'!L262</f>
        <v>360438.26</v>
      </c>
      <c r="D132" s="23" t="s">
        <v>288</v>
      </c>
      <c r="E132" s="92">
        <f>'DOE25'!L343</f>
        <v>0</v>
      </c>
      <c r="F132" s="23" t="s">
        <v>288</v>
      </c>
      <c r="G132" s="23" t="s">
        <v>288</v>
      </c>
      <c r="H132" s="13">
        <f t="shared" si="7"/>
        <v>360438.26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502374.54000000004</v>
      </c>
      <c r="H134" s="13">
        <f t="shared" si="7"/>
        <v>502374.54000000004</v>
      </c>
    </row>
    <row r="135" spans="1:8" x14ac:dyDescent="0.2">
      <c r="A135" t="s">
        <v>233</v>
      </c>
      <c r="B135" s="31" t="s">
        <v>234</v>
      </c>
      <c r="C135" s="73">
        <f>'DOE25'!L264</f>
        <v>5529.07</v>
      </c>
      <c r="D135" s="23" t="s">
        <v>288</v>
      </c>
      <c r="E135" s="92">
        <f>'DOE25'!L346</f>
        <v>0</v>
      </c>
      <c r="F135" s="23" t="s">
        <v>288</v>
      </c>
      <c r="G135" s="23" t="s">
        <v>288</v>
      </c>
      <c r="H135" s="13">
        <f t="shared" si="7"/>
        <v>5529.07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742576.03</v>
      </c>
      <c r="D138" s="23" t="s">
        <v>288</v>
      </c>
      <c r="E138" s="23" t="s">
        <v>288</v>
      </c>
      <c r="F138" s="23" t="s">
        <v>288</v>
      </c>
      <c r="G138" s="23" t="s">
        <v>288</v>
      </c>
      <c r="H138" s="13">
        <f t="shared" si="7"/>
        <v>742576.03</v>
      </c>
    </row>
    <row r="139" spans="1:8" x14ac:dyDescent="0.2">
      <c r="A139" t="s">
        <v>239</v>
      </c>
      <c r="B139" s="31">
        <v>5252</v>
      </c>
      <c r="C139" s="73">
        <f>'DOE25'!L402</f>
        <v>3755.12</v>
      </c>
      <c r="D139" s="23" t="s">
        <v>288</v>
      </c>
      <c r="E139" s="23" t="s">
        <v>288</v>
      </c>
      <c r="F139" s="23" t="s">
        <v>288</v>
      </c>
      <c r="G139" s="23" t="s">
        <v>288</v>
      </c>
      <c r="H139" s="13">
        <f t="shared" si="7"/>
        <v>3755.12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-22831.150000000023</v>
      </c>
      <c r="D141" s="23" t="s">
        <v>288</v>
      </c>
      <c r="E141" s="23" t="s">
        <v>288</v>
      </c>
      <c r="F141" s="23" t="s">
        <v>288</v>
      </c>
      <c r="G141" s="23" t="s">
        <v>288</v>
      </c>
      <c r="H141" s="13">
        <f t="shared" si="7"/>
        <v>-22831.150000000023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2024467.33</v>
      </c>
      <c r="D144" s="98">
        <f>SUM(D130:D143)</f>
        <v>0</v>
      </c>
      <c r="E144" s="98">
        <f>SUM(E130:E143)</f>
        <v>0</v>
      </c>
      <c r="F144" s="98">
        <f>SUM(F130:F143)</f>
        <v>1935671.75</v>
      </c>
      <c r="G144" s="98">
        <f>SUM(G130:G143)</f>
        <v>502374.54000000004</v>
      </c>
      <c r="H144" s="98">
        <f t="shared" si="7"/>
        <v>4462513.62</v>
      </c>
    </row>
    <row r="145" spans="1:9" ht="12.75" thickTop="1" thickBot="1" x14ac:dyDescent="0.25">
      <c r="A145" s="32" t="s">
        <v>244</v>
      </c>
      <c r="C145" s="68">
        <f>(C115+C128+C144)</f>
        <v>86454453.959999993</v>
      </c>
      <c r="D145" s="68">
        <f>(D115+D128+D144)</f>
        <v>1925358.94</v>
      </c>
      <c r="E145" s="68">
        <f>(E115+E128+E144)</f>
        <v>2199261.41</v>
      </c>
      <c r="F145" s="68">
        <f>(F115+F128+F144)</f>
        <v>1935671.75</v>
      </c>
      <c r="G145" s="68">
        <f>(G115+G128+G144)</f>
        <v>502374.54000000004</v>
      </c>
      <c r="H145" s="68">
        <f t="shared" si="7"/>
        <v>93017120.599999994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12</v>
      </c>
      <c r="D151" s="110">
        <f>'DOE25'!H491</f>
        <v>10</v>
      </c>
      <c r="E151" s="110">
        <f>'DOE25'!I491</f>
        <v>15</v>
      </c>
      <c r="F151" s="110">
        <f>'DOE25'!J491</f>
        <v>0</v>
      </c>
      <c r="G151" s="23" t="s">
        <v>288</v>
      </c>
    </row>
    <row r="152" spans="1:9" x14ac:dyDescent="0.2">
      <c r="A152" s="21" t="s">
        <v>28</v>
      </c>
      <c r="B152" s="109" t="str">
        <f>'DOE25'!F492</f>
        <v>05/2017</v>
      </c>
      <c r="C152" s="109" t="str">
        <f>'DOE25'!G492</f>
        <v>05/14</v>
      </c>
      <c r="D152" s="109" t="str">
        <f>'DOE25'!H492</f>
        <v xml:space="preserve"> 07/14</v>
      </c>
      <c r="E152" s="109" t="str">
        <f>'DOE25'!I492</f>
        <v xml:space="preserve"> 01/24</v>
      </c>
      <c r="F152" s="109">
        <f>'DOE25'!J492</f>
        <v>0</v>
      </c>
      <c r="G152" s="23" t="s">
        <v>288</v>
      </c>
    </row>
    <row r="153" spans="1:9" x14ac:dyDescent="0.2">
      <c r="A153" s="21" t="s">
        <v>29</v>
      </c>
      <c r="B153" s="109" t="str">
        <f>'DOE25'!F493</f>
        <v>07/2028</v>
      </c>
      <c r="C153" s="109" t="str">
        <f>'DOE25'!G493</f>
        <v>08/25</v>
      </c>
      <c r="D153" s="109" t="str">
        <f>'DOE25'!H493</f>
        <v xml:space="preserve"> 07/24</v>
      </c>
      <c r="E153" s="109" t="str">
        <f>'DOE25'!I493</f>
        <v xml:space="preserve"> 02/39</v>
      </c>
      <c r="F153" s="109">
        <f>'DOE25'!J493</f>
        <v>0</v>
      </c>
      <c r="G153" s="23" t="s">
        <v>288</v>
      </c>
    </row>
    <row r="154" spans="1:9" x14ac:dyDescent="0.2">
      <c r="A154" s="21" t="s">
        <v>30</v>
      </c>
      <c r="B154" s="19">
        <f>'DOE25'!F494</f>
        <v>2720000</v>
      </c>
      <c r="C154" s="19">
        <f>'DOE25'!G494</f>
        <v>2955000</v>
      </c>
      <c r="D154" s="19">
        <f>'DOE25'!H494</f>
        <v>3895000</v>
      </c>
      <c r="E154" s="19">
        <f>'DOE25'!I494</f>
        <v>5000000</v>
      </c>
      <c r="F154" s="19">
        <f>'DOE25'!J494</f>
        <v>0</v>
      </c>
      <c r="G154" s="23" t="s">
        <v>288</v>
      </c>
    </row>
    <row r="155" spans="1:9" x14ac:dyDescent="0.2">
      <c r="A155" s="21" t="s">
        <v>31</v>
      </c>
      <c r="B155" s="19">
        <f>'DOE25'!F495</f>
        <v>2.69</v>
      </c>
      <c r="C155" s="19">
        <f>'DOE25'!G495</f>
        <v>1.94</v>
      </c>
      <c r="D155" s="19">
        <f>'DOE25'!H495</f>
        <v>2.14</v>
      </c>
      <c r="E155" s="19">
        <f>'DOE25'!I495</f>
        <v>3.09</v>
      </c>
      <c r="F155" s="19">
        <f>'DOE25'!J495</f>
        <v>0</v>
      </c>
      <c r="G155" s="23" t="s">
        <v>288</v>
      </c>
    </row>
    <row r="156" spans="1:9" x14ac:dyDescent="0.2">
      <c r="A156" s="21" t="s">
        <v>32</v>
      </c>
      <c r="B156" s="19">
        <f>'DOE25'!F496</f>
        <v>1555000</v>
      </c>
      <c r="C156" s="19">
        <f>'DOE25'!G496</f>
        <v>810000</v>
      </c>
      <c r="D156" s="19">
        <f>'DOE25'!H496</f>
        <v>775000</v>
      </c>
      <c r="E156" s="19">
        <f>'DOE25'!I496</f>
        <v>0</v>
      </c>
      <c r="F156" s="19">
        <f>'DOE25'!J496</f>
        <v>0</v>
      </c>
      <c r="G156" s="96">
        <f>SUM(B156:F156)</f>
        <v>3140000</v>
      </c>
    </row>
    <row r="157" spans="1:9" x14ac:dyDescent="0.2">
      <c r="A157" s="21" t="s">
        <v>33</v>
      </c>
      <c r="B157" s="19">
        <f>'DOE25'!F497</f>
        <v>0</v>
      </c>
      <c r="C157" s="19">
        <f>'DOE25'!G497</f>
        <v>0</v>
      </c>
      <c r="D157" s="19">
        <f>'DOE25'!H497</f>
        <v>0</v>
      </c>
      <c r="E157" s="19">
        <f>'DOE25'!I497</f>
        <v>5000000</v>
      </c>
      <c r="F157" s="19">
        <f>'DOE25'!J497</f>
        <v>0</v>
      </c>
      <c r="G157" s="96">
        <f t="shared" ref="G157:G164" si="8">SUM(B157:F157)</f>
        <v>5000000</v>
      </c>
    </row>
    <row r="158" spans="1:9" x14ac:dyDescent="0.2">
      <c r="A158" s="21" t="s">
        <v>34</v>
      </c>
      <c r="B158" s="19">
        <f>'DOE25'!F498</f>
        <v>270000</v>
      </c>
      <c r="C158" s="19">
        <f>'DOE25'!G498</f>
        <v>275000</v>
      </c>
      <c r="D158" s="19">
        <f>'DOE25'!H498</f>
        <v>390000</v>
      </c>
      <c r="E158" s="19">
        <f>'DOE25'!I498</f>
        <v>0</v>
      </c>
      <c r="F158" s="19">
        <f>'DOE25'!J498</f>
        <v>0</v>
      </c>
      <c r="G158" s="96">
        <f t="shared" si="8"/>
        <v>935000</v>
      </c>
    </row>
    <row r="159" spans="1:9" x14ac:dyDescent="0.2">
      <c r="A159" s="21" t="s">
        <v>35</v>
      </c>
      <c r="B159" s="19">
        <f>'DOE25'!F499</f>
        <v>1285000</v>
      </c>
      <c r="C159" s="19">
        <f>'DOE25'!G499</f>
        <v>535000</v>
      </c>
      <c r="D159" s="19">
        <f>'DOE25'!H499</f>
        <v>385000</v>
      </c>
      <c r="E159" s="19">
        <f>'DOE25'!I499</f>
        <v>4457900</v>
      </c>
      <c r="F159" s="19">
        <f>'DOE25'!J499</f>
        <v>0</v>
      </c>
      <c r="G159" s="96">
        <f t="shared" si="8"/>
        <v>6662900</v>
      </c>
    </row>
    <row r="160" spans="1:9" x14ac:dyDescent="0.2">
      <c r="A160" s="21" t="s">
        <v>36</v>
      </c>
      <c r="B160" s="19">
        <f>'DOE25'!F500</f>
        <v>85747.72</v>
      </c>
      <c r="C160" s="19">
        <f>'DOE25'!G500</f>
        <v>12646.890000000001</v>
      </c>
      <c r="D160" s="19">
        <f>'DOE25'!H500</f>
        <v>5775</v>
      </c>
      <c r="E160" s="19">
        <f>'DOE25'!I500</f>
        <v>1732599.04</v>
      </c>
      <c r="F160" s="19">
        <f>'DOE25'!J500</f>
        <v>0</v>
      </c>
      <c r="G160" s="96">
        <f t="shared" si="8"/>
        <v>1836768.6500000001</v>
      </c>
    </row>
    <row r="161" spans="1:7" x14ac:dyDescent="0.2">
      <c r="A161" s="21" t="s">
        <v>37</v>
      </c>
      <c r="B161" s="19">
        <f>'DOE25'!F501</f>
        <v>1370747.72</v>
      </c>
      <c r="C161" s="19">
        <f>'DOE25'!G501</f>
        <v>547646.89</v>
      </c>
      <c r="D161" s="19">
        <f>'DOE25'!H501</f>
        <v>390775</v>
      </c>
      <c r="E161" s="19">
        <f>'DOE25'!I501</f>
        <v>6190499.04</v>
      </c>
      <c r="F161" s="19">
        <f>'DOE25'!J501</f>
        <v>0</v>
      </c>
      <c r="G161" s="96">
        <f t="shared" si="8"/>
        <v>8499668.6500000004</v>
      </c>
    </row>
    <row r="162" spans="1:7" x14ac:dyDescent="0.2">
      <c r="A162" s="21" t="s">
        <v>38</v>
      </c>
      <c r="B162" s="19">
        <f>'DOE25'!F502</f>
        <v>265000</v>
      </c>
      <c r="C162" s="19">
        <f>'DOE25'!G502</f>
        <v>270000</v>
      </c>
      <c r="D162" s="19">
        <f>'DOE25'!H502</f>
        <v>385000</v>
      </c>
      <c r="E162" s="19">
        <f>'DOE25'!I502</f>
        <v>297500</v>
      </c>
      <c r="F162" s="19">
        <f>'DOE25'!J502</f>
        <v>0</v>
      </c>
      <c r="G162" s="96">
        <f t="shared" si="8"/>
        <v>1217500</v>
      </c>
    </row>
    <row r="163" spans="1:7" x14ac:dyDescent="0.2">
      <c r="A163" s="21" t="s">
        <v>39</v>
      </c>
      <c r="B163" s="19">
        <f>'DOE25'!F503</f>
        <v>31030.76</v>
      </c>
      <c r="C163" s="19">
        <f>'DOE25'!G503</f>
        <v>9500.01</v>
      </c>
      <c r="D163" s="19">
        <f>'DOE25'!H503</f>
        <v>5775</v>
      </c>
      <c r="E163" s="19">
        <f>'DOE25'!I503</f>
        <v>222028.94</v>
      </c>
      <c r="F163" s="19">
        <f>'DOE25'!J503</f>
        <v>0</v>
      </c>
      <c r="G163" s="96">
        <f t="shared" si="8"/>
        <v>268334.71000000002</v>
      </c>
    </row>
    <row r="164" spans="1:7" x14ac:dyDescent="0.2">
      <c r="A164" s="21" t="s">
        <v>246</v>
      </c>
      <c r="B164" s="19">
        <f>'DOE25'!F504</f>
        <v>296030.76</v>
      </c>
      <c r="C164" s="19">
        <f>'DOE25'!G504</f>
        <v>279500.01</v>
      </c>
      <c r="D164" s="19">
        <f>'DOE25'!H504</f>
        <v>390775</v>
      </c>
      <c r="E164" s="19">
        <f>'DOE25'!I504</f>
        <v>519528.94</v>
      </c>
      <c r="F164" s="19">
        <f>'DOE25'!J504</f>
        <v>0</v>
      </c>
      <c r="G164" s="96">
        <f t="shared" si="8"/>
        <v>1485834.71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Londonderry</v>
      </c>
    </row>
    <row r="3" spans="1:4" x14ac:dyDescent="0.2">
      <c r="B3" s="136" t="s">
        <v>1792</v>
      </c>
    </row>
    <row r="4" spans="1:4" x14ac:dyDescent="0.2">
      <c r="B4" t="s">
        <v>61</v>
      </c>
      <c r="C4" s="128">
        <f>IF('DOE25'!F666+'DOE25'!F671=0,0,ROUND('DOE25'!F673,0))</f>
        <v>21500</v>
      </c>
    </row>
    <row r="5" spans="1:4" x14ac:dyDescent="0.2">
      <c r="B5" t="s">
        <v>700</v>
      </c>
      <c r="C5" s="128">
        <f>IF('DOE25'!G666+'DOE25'!G671=0,0,ROUND('DOE25'!G673,0))</f>
        <v>19065</v>
      </c>
    </row>
    <row r="6" spans="1:4" x14ac:dyDescent="0.2">
      <c r="B6" t="s">
        <v>62</v>
      </c>
      <c r="C6" s="128">
        <f>IF('DOE25'!H666+'DOE25'!H671=0,0,ROUND('DOE25'!H673,0))</f>
        <v>21049</v>
      </c>
    </row>
    <row r="7" spans="1:4" x14ac:dyDescent="0.2">
      <c r="B7" t="s">
        <v>701</v>
      </c>
      <c r="C7" s="128">
        <f>IF('DOE25'!I666+'DOE25'!I671=0,0,ROUND('DOE25'!I673,0))</f>
        <v>20741</v>
      </c>
    </row>
    <row r="9" spans="1:4" x14ac:dyDescent="0.2">
      <c r="A9" s="135" t="s">
        <v>94</v>
      </c>
      <c r="B9" s="136" t="s">
        <v>1793</v>
      </c>
      <c r="C9" s="130" t="s">
        <v>720</v>
      </c>
      <c r="D9" s="130" t="s">
        <v>721</v>
      </c>
    </row>
    <row r="10" spans="1:4" x14ac:dyDescent="0.2">
      <c r="A10">
        <v>1100</v>
      </c>
      <c r="B10" t="s">
        <v>702</v>
      </c>
      <c r="C10" s="128">
        <f>ROUND('DOE25'!L198+'DOE25'!L216+'DOE25'!L234+'DOE25'!L277+'DOE25'!L296+'DOE25'!L315,0)</f>
        <v>32247289</v>
      </c>
      <c r="D10" s="131">
        <f>ROUND((C10/$C$28)*100,1)</f>
        <v>36.700000000000003</v>
      </c>
    </row>
    <row r="11" spans="1:4" x14ac:dyDescent="0.2">
      <c r="A11">
        <v>1200</v>
      </c>
      <c r="B11" t="s">
        <v>703</v>
      </c>
      <c r="C11" s="128">
        <f>ROUND('DOE25'!L199+'DOE25'!L217+'DOE25'!L235+'DOE25'!L278+'DOE25'!L297+'DOE25'!L316,0)</f>
        <v>17759282</v>
      </c>
      <c r="D11" s="131">
        <f>ROUND((C11/$C$28)*100,1)</f>
        <v>20.2</v>
      </c>
    </row>
    <row r="12" spans="1:4" x14ac:dyDescent="0.2">
      <c r="A12">
        <v>1300</v>
      </c>
      <c r="B12" t="s">
        <v>704</v>
      </c>
      <c r="C12" s="128">
        <f>ROUND('DOE25'!L200+'DOE25'!L218+'DOE25'!L236+'DOE25'!L279+'DOE25'!L298+'DOE25'!L317,0)</f>
        <v>188007</v>
      </c>
      <c r="D12" s="131">
        <f>ROUND((C12/$C$28)*100,1)</f>
        <v>0.2</v>
      </c>
    </row>
    <row r="13" spans="1:4" x14ac:dyDescent="0.2">
      <c r="A13">
        <v>1400</v>
      </c>
      <c r="B13" t="s">
        <v>705</v>
      </c>
      <c r="C13" s="128">
        <f>ROUND('DOE25'!L201+'DOE25'!L219+'DOE25'!L237+'DOE25'!L280+'DOE25'!L299+'DOE25'!L318,0)</f>
        <v>2447358</v>
      </c>
      <c r="D13" s="131">
        <f>ROUND((C13/$C$28)*100,1)</f>
        <v>2.8</v>
      </c>
    </row>
    <row r="14" spans="1:4" x14ac:dyDescent="0.2">
      <c r="D14" s="131"/>
    </row>
    <row r="15" spans="1:4" x14ac:dyDescent="0.2">
      <c r="A15">
        <v>2100</v>
      </c>
      <c r="B15" t="s">
        <v>706</v>
      </c>
      <c r="C15" s="128">
        <f>ROUND('DOE25'!L203+'DOE25'!L221+'DOE25'!L239+'DOE25'!L282+'DOE25'!L301+'DOE25'!L320,0)</f>
        <v>8319127</v>
      </c>
      <c r="D15" s="131">
        <f t="shared" ref="D15:D27" si="0">ROUND((C15/$C$28)*100,1)</f>
        <v>9.5</v>
      </c>
    </row>
    <row r="16" spans="1:4" x14ac:dyDescent="0.2">
      <c r="A16">
        <v>2200</v>
      </c>
      <c r="B16" t="s">
        <v>707</v>
      </c>
      <c r="C16" s="128">
        <f>ROUND('DOE25'!L204+'DOE25'!L222+'DOE25'!L240+'DOE25'!L283+'DOE25'!L302+'DOE25'!L321,0)</f>
        <v>2351263</v>
      </c>
      <c r="D16" s="131">
        <f t="shared" si="0"/>
        <v>2.7</v>
      </c>
    </row>
    <row r="17" spans="1:4" x14ac:dyDescent="0.2">
      <c r="A17" s="132" t="s">
        <v>723</v>
      </c>
      <c r="B17" t="s">
        <v>738</v>
      </c>
      <c r="C17" s="128">
        <f>ROUND('DOE25'!L205+'DOE25'!L210+'DOE25'!L223+'DOE25'!L228+'DOE25'!L241+'DOE25'!L246+'DOE25'!L284+'DOE25'!L289+'DOE25'!L303+'DOE25'!L308+'DOE25'!L322+'DOE25'!L327,0)</f>
        <v>3970447</v>
      </c>
      <c r="D17" s="131">
        <f t="shared" si="0"/>
        <v>4.5</v>
      </c>
    </row>
    <row r="18" spans="1:4" x14ac:dyDescent="0.2">
      <c r="A18">
        <v>2400</v>
      </c>
      <c r="B18" t="s">
        <v>711</v>
      </c>
      <c r="C18" s="128">
        <f>ROUND('DOE25'!L206+'DOE25'!L224+'DOE25'!L242+'DOE25'!L285+'DOE25'!L304+'DOE25'!L323,0)</f>
        <v>4420751</v>
      </c>
      <c r="D18" s="131">
        <f t="shared" si="0"/>
        <v>5</v>
      </c>
    </row>
    <row r="19" spans="1:4" x14ac:dyDescent="0.2">
      <c r="A19">
        <v>2500</v>
      </c>
      <c r="B19" t="s">
        <v>708</v>
      </c>
      <c r="C19" s="128">
        <f>ROUND('DOE25'!L207+'DOE25'!L225+'DOE25'!L243+'DOE25'!L286+'DOE25'!L305+'DOE25'!L324,0)</f>
        <v>1116621</v>
      </c>
      <c r="D19" s="131">
        <f t="shared" si="0"/>
        <v>1.3</v>
      </c>
    </row>
    <row r="20" spans="1:4" x14ac:dyDescent="0.2">
      <c r="A20">
        <v>2600</v>
      </c>
      <c r="B20" t="s">
        <v>709</v>
      </c>
      <c r="C20" s="128">
        <f>ROUND('DOE25'!L208+'DOE25'!L226+'DOE25'!L244+'DOE25'!L287+'DOE25'!L306+'DOE25'!L325,0)</f>
        <v>8409381</v>
      </c>
      <c r="D20" s="131">
        <f t="shared" si="0"/>
        <v>9.6</v>
      </c>
    </row>
    <row r="21" spans="1:4" x14ac:dyDescent="0.2">
      <c r="A21">
        <v>2700</v>
      </c>
      <c r="B21" t="s">
        <v>710</v>
      </c>
      <c r="C21" s="128">
        <f>ROUND('DOE25'!L209+'DOE25'!L227+'DOE25'!L245+'DOE25'!L288+'DOE25'!L307+'DOE25'!L326,0)</f>
        <v>5286777</v>
      </c>
      <c r="D21" s="131">
        <f t="shared" si="0"/>
        <v>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112945</v>
      </c>
      <c r="D24" s="131">
        <f t="shared" si="0"/>
        <v>0.1</v>
      </c>
    </row>
    <row r="25" spans="1:4" x14ac:dyDescent="0.2">
      <c r="A25">
        <v>5120</v>
      </c>
      <c r="B25" t="s">
        <v>716</v>
      </c>
      <c r="C25" s="128">
        <f>ROUND('DOE25'!L262+'DOE25'!L343,0)</f>
        <v>360438</v>
      </c>
      <c r="D25" s="131">
        <f t="shared" si="0"/>
        <v>0.4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822200.22</v>
      </c>
      <c r="D27" s="131">
        <f t="shared" si="0"/>
        <v>0.9</v>
      </c>
    </row>
    <row r="28" spans="1:4" x14ac:dyDescent="0.2">
      <c r="B28" s="135" t="s">
        <v>719</v>
      </c>
      <c r="C28" s="129">
        <f>SUM(C10:C27)</f>
        <v>87811886.219999999</v>
      </c>
      <c r="D28" s="133">
        <f>ROUND(SUM(D10:D27),0)</f>
        <v>100</v>
      </c>
    </row>
    <row r="29" spans="1:4" x14ac:dyDescent="0.2">
      <c r="A29">
        <v>4000</v>
      </c>
      <c r="B29" t="s">
        <v>724</v>
      </c>
      <c r="C29" s="128">
        <f>ROUND('DOE25'!L256+'DOE25'!L337+'DOE25'!L375+'DOE25'!L376+'DOE25'!L377+'DOE25'!L378+'DOE25'!L379+'DOE25'!L380+'DOE25'!L381,0)</f>
        <v>1935672</v>
      </c>
    </row>
    <row r="30" spans="1:4" x14ac:dyDescent="0.2">
      <c r="B30" s="135" t="s">
        <v>725</v>
      </c>
      <c r="C30" s="129">
        <f>SUM(C28:C29)</f>
        <v>89747558.219999999</v>
      </c>
    </row>
    <row r="31" spans="1:4" x14ac:dyDescent="0.2">
      <c r="B31" s="32"/>
      <c r="C31" s="129"/>
    </row>
    <row r="32" spans="1:4" x14ac:dyDescent="0.2">
      <c r="A32">
        <v>5100</v>
      </c>
      <c r="B32" s="32" t="s">
        <v>726</v>
      </c>
      <c r="C32" s="129">
        <f>ROUND('DOE25'!L261+'DOE25'!L342,0)</f>
        <v>935000</v>
      </c>
    </row>
    <row r="34" spans="1:4" x14ac:dyDescent="0.2">
      <c r="A34" s="135" t="s">
        <v>94</v>
      </c>
      <c r="B34" s="136" t="s">
        <v>1794</v>
      </c>
      <c r="C34" s="130" t="s">
        <v>720</v>
      </c>
      <c r="D34" s="130" t="s">
        <v>721</v>
      </c>
    </row>
    <row r="35" spans="1:4" x14ac:dyDescent="0.2">
      <c r="A35">
        <v>1100</v>
      </c>
      <c r="B35" s="71" t="s">
        <v>727</v>
      </c>
      <c r="C35" s="128">
        <f>ROUND('DOE25'!F60+'DOE25'!G60+'DOE25'!H60+'DOE25'!I60+'DOE25'!J60,0)</f>
        <v>64730068</v>
      </c>
      <c r="D35" s="131">
        <f t="shared" ref="D35:D40" si="1">ROUND((C35/$C$41)*100,1)</f>
        <v>72.400000000000006</v>
      </c>
    </row>
    <row r="36" spans="1:4" x14ac:dyDescent="0.2">
      <c r="B36" s="71" t="s">
        <v>739</v>
      </c>
      <c r="C36" s="128">
        <f>SUM('DOE25'!F112:J112)-SUM('DOE25'!G97:G110)+('DOE25'!F175+'DOE25'!F176+'DOE25'!I175+'DOE25'!I176)-C35</f>
        <v>2075836.650000006</v>
      </c>
      <c r="D36" s="131">
        <f t="shared" si="1"/>
        <v>2.2999999999999998</v>
      </c>
    </row>
    <row r="37" spans="1:4" x14ac:dyDescent="0.2">
      <c r="A37" s="132" t="s">
        <v>831</v>
      </c>
      <c r="B37" s="71" t="s">
        <v>728</v>
      </c>
      <c r="C37" s="128">
        <f>ROUND('DOE25'!F117+'DOE25'!F118,0)</f>
        <v>18971136</v>
      </c>
      <c r="D37" s="131">
        <f t="shared" si="1"/>
        <v>21.2</v>
      </c>
    </row>
    <row r="38" spans="1:4" x14ac:dyDescent="0.2">
      <c r="A38" s="132" t="s">
        <v>734</v>
      </c>
      <c r="B38" s="71" t="s">
        <v>729</v>
      </c>
      <c r="C38" s="128">
        <f>ROUND(SUM('DOE25'!F140:J140)-SUM('DOE25'!F117:F119),0)</f>
        <v>1054217</v>
      </c>
      <c r="D38" s="131">
        <f t="shared" si="1"/>
        <v>1.2</v>
      </c>
    </row>
    <row r="39" spans="1:4" x14ac:dyDescent="0.2">
      <c r="A39">
        <v>4000</v>
      </c>
      <c r="B39" s="71" t="s">
        <v>730</v>
      </c>
      <c r="C39" s="128">
        <f>ROUND('DOE25'!F170+'DOE25'!G170+'DOE25'!H170+'DOE25'!I170,0)</f>
        <v>2623010</v>
      </c>
      <c r="D39" s="131">
        <f t="shared" si="1"/>
        <v>2.9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89454267.650000006</v>
      </c>
      <c r="D41" s="133">
        <f>SUM(D35:D40)</f>
        <v>100.00000000000001</v>
      </c>
    </row>
    <row r="42" spans="1:4" x14ac:dyDescent="0.2">
      <c r="A42" s="132" t="s">
        <v>737</v>
      </c>
      <c r="B42" s="71" t="s">
        <v>733</v>
      </c>
      <c r="C42" s="128">
        <f>ROUND('DOE25'!F174+'DOE25'!I174+'DOE25'!F177+'DOE25'!I177,0)</f>
        <v>5000000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Londonderry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v>1</v>
      </c>
      <c r="B5" s="149">
        <v>32</v>
      </c>
      <c r="C5" s="332" t="s">
        <v>1849</v>
      </c>
      <c r="D5" s="332"/>
      <c r="E5" s="332"/>
      <c r="F5" s="332"/>
      <c r="G5" s="332"/>
      <c r="H5" s="332"/>
      <c r="I5" s="332"/>
      <c r="J5" s="332"/>
      <c r="K5" s="332"/>
      <c r="L5" s="332"/>
      <c r="M5" s="334"/>
    </row>
    <row r="6" spans="1:13" x14ac:dyDescent="0.2">
      <c r="A6" s="158">
        <v>1</v>
      </c>
      <c r="B6" s="149">
        <v>35</v>
      </c>
      <c r="C6" s="332"/>
      <c r="D6" s="332"/>
      <c r="E6" s="332"/>
      <c r="F6" s="332"/>
      <c r="G6" s="332"/>
      <c r="H6" s="332"/>
      <c r="I6" s="332"/>
      <c r="J6" s="332"/>
      <c r="K6" s="332"/>
      <c r="L6" s="332"/>
      <c r="M6" s="334"/>
    </row>
    <row r="7" spans="1:13" x14ac:dyDescent="0.2">
      <c r="A7" s="158">
        <v>1</v>
      </c>
      <c r="B7" s="149">
        <v>32</v>
      </c>
      <c r="C7" s="332" t="s">
        <v>1850</v>
      </c>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t="s">
        <v>1851</v>
      </c>
      <c r="D9" s="332"/>
      <c r="E9" s="332"/>
      <c r="F9" s="332"/>
      <c r="G9" s="332"/>
      <c r="H9" s="332"/>
      <c r="I9" s="332"/>
      <c r="J9" s="332"/>
      <c r="K9" s="332"/>
      <c r="L9" s="332"/>
      <c r="M9" s="334"/>
    </row>
    <row r="10" spans="1:13" x14ac:dyDescent="0.2">
      <c r="A10" s="158"/>
      <c r="B10" s="149"/>
      <c r="C10" s="332" t="s">
        <v>1852</v>
      </c>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187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205</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225</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282</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f>IF('School Level Expenditures'!$B$2='School Tables'!L46,'School Tables'!S46,"")</f>
        <v>43</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f>IF('School Level Expenditures'!$B$2='School Tables'!W53,'School Tables'!AD53,"")</f>
        <v>50</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f>IF('School Level Expenditures'!$B$2=A190,'School Tables'!H190,"")</f>
        <v>187</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f>IF('School Level Expenditures'!$B$2=A208,'School Tables'!H208,"")</f>
        <v>205</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f>IF('School Level Expenditures'!$B$2=A228,'School Tables'!H228,"")</f>
        <v>225</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f>IF('School Level Expenditures'!$B$2=A285,'School Tables'!H285,"")</f>
        <v>282</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2024-09-05T12:12:11Z</cp:lastPrinted>
  <dcterms:created xsi:type="dcterms:W3CDTF">1997-12-04T19:04:30Z</dcterms:created>
  <dcterms:modified xsi:type="dcterms:W3CDTF">2024-12-20T19:08:22Z</dcterms:modified>
</cp:coreProperties>
</file>