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5A6C385-5C0A-476A-8787-65388286A8E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J652" i="1" l="1"/>
  <c r="E112" i="2"/>
  <c r="F409" i="1"/>
  <c r="H644" i="1" s="1"/>
  <c r="H94" i="2"/>
  <c r="H76" i="2"/>
  <c r="H72" i="2"/>
  <c r="H9" i="2"/>
  <c r="H101" i="2"/>
  <c r="H89" i="2"/>
  <c r="H44" i="2"/>
  <c r="H135" i="2"/>
  <c r="H26" i="2"/>
  <c r="C12" i="10"/>
  <c r="C125" i="2"/>
  <c r="H125" i="2" s="1"/>
  <c r="H98" i="2"/>
  <c r="E120" i="2"/>
  <c r="C13" i="10"/>
  <c r="H113" i="2"/>
  <c r="G477" i="1"/>
  <c r="H624" i="1" s="1"/>
  <c r="J624" i="1" s="1"/>
  <c r="C32" i="10"/>
  <c r="H11" i="2"/>
  <c r="H477" i="1"/>
  <c r="H625" i="1" s="1"/>
  <c r="J625" i="1" s="1"/>
  <c r="H93" i="2"/>
  <c r="H80" i="2"/>
  <c r="H27" i="2"/>
  <c r="H22" i="2"/>
  <c r="H87" i="2"/>
  <c r="H77" i="2"/>
  <c r="H28" i="2"/>
  <c r="G409" i="1"/>
  <c r="H646" i="1" s="1"/>
  <c r="I409" i="1"/>
  <c r="H100" i="2"/>
  <c r="H79" i="2"/>
  <c r="H73" i="2"/>
  <c r="H59" i="2"/>
  <c r="H35" i="2"/>
  <c r="H47" i="2"/>
  <c r="D144" i="2"/>
  <c r="C112" i="2"/>
  <c r="H112" i="2" s="1"/>
  <c r="H96" i="2"/>
  <c r="H24" i="2"/>
  <c r="H97" i="2"/>
  <c r="C85" i="2"/>
  <c r="H69" i="2"/>
  <c r="H61" i="2"/>
  <c r="H29" i="2"/>
  <c r="H17" i="2"/>
  <c r="H8" i="2"/>
  <c r="H140" i="1"/>
  <c r="J112" i="1"/>
  <c r="G62" i="2"/>
  <c r="K36" i="14"/>
  <c r="K37" i="14" s="1"/>
  <c r="K2" i="14"/>
  <c r="K3" i="14" s="1"/>
  <c r="D29" i="13"/>
  <c r="C29" i="13" s="1"/>
  <c r="D15" i="13"/>
  <c r="C15" i="13" s="1"/>
  <c r="C120" i="2"/>
  <c r="H38" i="2"/>
  <c r="H30" i="2"/>
  <c r="H12" i="2"/>
  <c r="C119" i="2"/>
  <c r="E13" i="13"/>
  <c r="C13" i="13" s="1"/>
  <c r="H137" i="2"/>
  <c r="H102" i="2"/>
  <c r="H99" i="2"/>
  <c r="H34" i="2"/>
  <c r="H23" i="2"/>
  <c r="H15" i="2"/>
  <c r="H13" i="2"/>
  <c r="H143" i="2"/>
  <c r="H132" i="2"/>
  <c r="G662" i="1"/>
  <c r="H36" i="2"/>
  <c r="H43" i="2"/>
  <c r="H4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103" i="2"/>
  <c r="H85" i="2"/>
  <c r="I662" i="1"/>
  <c r="L572" i="1"/>
  <c r="B33" i="16"/>
  <c r="H120" i="2"/>
  <c r="H50" i="2"/>
  <c r="C81" i="2"/>
  <c r="H81" i="2" s="1"/>
  <c r="H78" i="2"/>
  <c r="D128" i="2"/>
  <c r="D145" i="2" s="1"/>
  <c r="H127" i="2"/>
  <c r="H18" i="2"/>
  <c r="H16" i="2"/>
  <c r="H31" i="2"/>
  <c r="H62" i="2"/>
  <c r="H21" i="2"/>
  <c r="H114" i="2"/>
  <c r="H134" i="2"/>
  <c r="F194" i="1"/>
  <c r="G628" i="1" s="1"/>
  <c r="J628" i="1" s="1"/>
  <c r="C91" i="2"/>
  <c r="H91" i="2" s="1"/>
  <c r="H119" i="2"/>
  <c r="H42" i="2"/>
  <c r="H57"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<sst xmlns="http://schemas.openxmlformats.org/spreadsheetml/2006/main" count="6645" uniqueCount="1847">
  <si>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</si>
  <si>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</si>
  <si>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</si>
  <si>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</si>
  <si>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</si>
  <si>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</si>
  <si>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</si>
  <si>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</si>
  <si>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</si>
  <si>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</si>
  <si>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</si>
  <si>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</si>
  <si>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</si>
  <si>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</si>
  <si>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</si>
  <si>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</si>
  <si>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</si>
  <si>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</si>
  <si>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</si>
  <si>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</si>
  <si>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</si>
  <si>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</si>
  <si>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</si>
  <si>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</si>
  <si>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</si>
  <si>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</si>
  <si>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</si>
  <si>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</si>
  <si>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</si>
  <si>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</si>
  <si>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</si>
  <si>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</si>
  <si>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</si>
  <si>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</si>
  <si>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</si>
  <si>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</si>
  <si>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</si>
  <si>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</si>
  <si>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</si>
  <si>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</si>
  <si>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</si>
  <si>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</si>
  <si>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</si>
  <si>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</si>
  <si>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</si>
  <si>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</si>
  <si>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</si>
  <si>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</si>
  <si>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</si>
  <si>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</si>
  <si>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</si>
  <si>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</si>
  <si>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</si>
  <si>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</si>
  <si>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</si>
  <si>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</si>
  <si>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</si>
  <si>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</si>
  <si>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</si>
  <si>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</si>
  <si>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</si>
  <si>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</si>
  <si>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</si>
  <si>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</si>
  <si>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</si>
  <si>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</si>
  <si>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</si>
  <si>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</si>
  <si>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</si>
  <si>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</si>
  <si>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</si>
  <si>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</si>
  <si>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</si>
  <si>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</si>
  <si>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</si>
  <si>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</si>
  <si>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</si>
  <si>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</si>
  <si>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</si>
  <si>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</si>
  <si>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</si>
  <si>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</si>
  <si>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</si>
  <si>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</si>
  <si>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</si>
  <si>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</si>
  <si>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</si>
  <si>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</si>
  <si>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</si>
  <si>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</si>
  <si>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</si>
  <si>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</si>
  <si>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</si>
  <si>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</si>
  <si>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</si>
  <si>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</si>
  <si>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</si>
  <si>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</si>
  <si>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</si>
  <si>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</si>
  <si>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</si>
  <si>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</si>
  <si>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</si>
  <si>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</si>
  <si>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</si>
  <si>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</si>
  <si>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</si>
  <si>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</si>
  <si>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</si>
  <si>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</si>
  <si>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</si>
  <si>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</si>
  <si>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</si>
  <si>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</si>
  <si>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</si>
  <si>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</si>
  <si>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</si>
  <si>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</si>
  <si>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</si>
  <si>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</si>
  <si>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</si>
  <si>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</si>
  <si>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</si>
  <si>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</si>
  <si>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</si>
  <si>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</si>
  <si>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</si>
  <si>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</si>
  <si>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</si>
  <si>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</si>
  <si>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</si>
  <si>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</si>
  <si>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</si>
  <si>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</si>
  <si>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</si>
  <si>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</si>
  <si>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</si>
  <si>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</si>
  <si>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</si>
  <si>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</si>
  <si>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</si>
  <si>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</si>
  <si>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</si>
  <si>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</si>
  <si>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</si>
  <si>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</si>
  <si>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</si>
  <si>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</si>
  <si>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</si>
  <si>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</si>
  <si>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</si>
  <si>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</si>
  <si>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</si>
  <si>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</si>
  <si>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</si>
  <si>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</si>
  <si>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</si>
  <si>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</si>
  <si>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</si>
  <si>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</si>
  <si>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</si>
  <si>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</si>
  <si>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</si>
  <si>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</si>
  <si>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</si>
  <si>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</si>
  <si>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</si>
  <si>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</si>
  <si>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</si>
  <si>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</si>
  <si>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</si>
  <si>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</si>
  <si>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</si>
  <si>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</si>
  <si>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</si>
  <si>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</si>
  <si>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</si>
  <si>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</si>
  <si>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</si>
  <si>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</si>
  <si>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</si>
  <si>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</si>
  <si>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</si>
  <si>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</si>
  <si>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</si>
  <si>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</si>
  <si>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</si>
  <si>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</si>
  <si>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</si>
  <si>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</si>
  <si>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</si>
  <si>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</si>
  <si>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</si>
  <si>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</si>
  <si>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</si>
  <si>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</si>
  <si>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</si>
  <si>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</si>
  <si>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</si>
  <si>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</si>
  <si>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</si>
  <si>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</si>
  <si>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</si>
  <si>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</si>
  <si>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</si>
  <si>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</si>
  <si>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</si>
  <si>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</si>
  <si>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</si>
  <si>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</si>
  <si>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</si>
  <si>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</si>
  <si>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</si>
  <si>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</si>
  <si>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</si>
  <si>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</si>
  <si>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</si>
  <si>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</si>
  <si>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</si>
  <si>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</si>
  <si>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</si>
  <si>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</si>
  <si>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</si>
  <si>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</si>
  <si>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</si>
  <si>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</si>
  <si>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</si>
  <si>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</si>
  <si>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</si>
  <si>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</si>
  <si>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</si>
  <si>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</si>
  <si>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</si>
  <si>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</si>
  <si>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</si>
  <si>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</si>
  <si>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</si>
  <si>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</si>
  <si>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</si>
  <si>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</si>
  <si>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</si>
  <si>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</si>
  <si>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</si>
  <si>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</si>
  <si>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</si>
  <si>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</si>
  <si>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</si>
  <si>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</si>
  <si>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</si>
  <si>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</si>
  <si>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</si>
  <si>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</si>
  <si>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</si>
  <si>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</si>
  <si>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</si>
  <si>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</si>
  <si>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</si>
  <si>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</si>
  <si>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</si>
  <si>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</si>
  <si>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</si>
  <si>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</si>
  <si>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</si>
  <si>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</si>
  <si>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</si>
  <si>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</si>
  <si>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</si>
  <si>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</si>
  <si>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</si>
  <si>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</si>
  <si>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</si>
  <si>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</si>
  <si>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</si>
  <si>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</si>
  <si>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</si>
  <si>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</si>
  <si>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</si>
  <si>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</si>
  <si>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</si>
  <si>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</si>
  <si>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</si>
  <si>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</si>
  <si>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</si>
  <si>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</si>
  <si>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</si>
  <si>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</si>
  <si>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</si>
  <si>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</si>
  <si>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</si>
  <si>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</si>
  <si>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</si>
  <si>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</si>
  <si>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</si>
  <si>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</si>
  <si>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</si>
  <si>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</si>
  <si>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</si>
  <si>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</si>
  <si>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</si>
  <si>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</si>
  <si>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</si>
  <si>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</si>
  <si>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</si>
  <si>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</si>
  <si>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</si>
  <si>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</si>
  <si>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</si>
  <si>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</si>
  <si>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</si>
  <si>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</si>
  <si>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</si>
  <si>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</si>
  <si>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</si>
  <si>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</si>
  <si>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</si>
  <si>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</si>
  <si>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</si>
  <si>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</si>
  <si>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</si>
  <si>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</si>
  <si>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</si>
  <si>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</si>
  <si>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</si>
  <si>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</si>
  <si>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</si>
  <si>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</si>
  <si>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</si>
  <si>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</si>
  <si>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</si>
  <si>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</si>
  <si>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</si>
  <si>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</si>
  <si>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</si>
  <si>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</si>
  <si>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</si>
  <si>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</si>
  <si>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</si>
  <si>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</si>
  <si>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</si>
  <si>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</si>
  <si>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</si>
  <si>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</si>
  <si>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</si>
  <si>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</si>
  <si>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</si>
  <si>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</si>
  <si>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</si>
  <si>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</si>
  <si>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</si>
  <si>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</si>
  <si>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</si>
  <si>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</si>
  <si>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</si>
  <si>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</si>
  <si>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</si>
  <si>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</si>
  <si>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</si>
  <si>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</si>
  <si>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</si>
  <si>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</si>
  <si>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</si>
  <si>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</si>
  <si>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</si>
  <si>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</si>
  <si>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</si>
  <si>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</si>
  <si>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</si>
  <si>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</si>
  <si>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</si>
  <si>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</si>
  <si>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</si>
  <si>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</si>
  <si>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</si>
  <si>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</si>
  <si>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</si>
  <si>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</si>
  <si>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</si>
  <si>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</si>
  <si>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</si>
  <si>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</si>
  <si>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</si>
  <si>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</si>
  <si>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</si>
  <si>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</si>
  <si>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</si>
  <si>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</si>
  <si>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</si>
  <si>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</si>
  <si>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</si>
  <si>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</si>
  <si>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</si>
  <si>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</si>
  <si>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</si>
  <si>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</si>
  <si>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</si>
  <si>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</si>
  <si>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</si>
  <si>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</si>
  <si>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</si>
  <si>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</si>
  <si>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</si>
  <si>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</si>
  <si>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</si>
  <si>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</si>
  <si>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</si>
  <si>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</si>
  <si>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</si>
  <si>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</si>
  <si>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</si>
  <si>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</si>
  <si>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</si>
  <si>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</si>
  <si>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</si>
  <si>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</si>
  <si>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</si>
  <si>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</si>
  <si>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</si>
  <si>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</si>
  <si>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</si>
  <si>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</si>
  <si>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</si>
  <si>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</si>
  <si>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</si>
  <si>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</si>
  <si>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</si>
  <si>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</si>
  <si>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</si>
  <si>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</si>
  <si>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</si>
  <si>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</si>
  <si>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</si>
  <si>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</si>
  <si>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</si>
  <si>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</si>
  <si>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</si>
  <si>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</si>
  <si>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</si>
  <si>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</si>
  <si>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</si>
  <si>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</si>
  <si>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</si>
  <si>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</si>
  <si>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</si>
  <si>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</si>
  <si>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</si>
  <si>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</si>
  <si>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</si>
  <si>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</si>
  <si>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</si>
  <si>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</si>
  <si>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</si>
  <si>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</si>
  <si>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</si>
  <si>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</si>
  <si>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</si>
  <si>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</si>
  <si>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</si>
  <si>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</si>
  <si>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</si>
  <si>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</si>
  <si>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</si>
  <si>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</si>
  <si>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</si>
  <si>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</si>
  <si>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</si>
  <si>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</si>
  <si>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</si>
  <si>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</si>
  <si>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</si>
  <si>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</si>
  <si>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</si>
  <si>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</si>
  <si>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</si>
  <si>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</si>
  <si>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</si>
  <si>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</si>
  <si>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</si>
  <si>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</si>
  <si>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</si>
  <si>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</si>
  <si>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</si>
  <si>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</si>
  <si>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</si>
  <si>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</si>
  <si>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</si>
  <si>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</si>
  <si>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</si>
  <si>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</si>
  <si>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</si>
  <si>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</si>
  <si>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</si>
  <si>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</si>
  <si>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</si>
  <si>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</si>
  <si>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</si>
  <si>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</si>
  <si>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</si>
  <si>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</si>
  <si>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</si>
  <si>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</si>
  <si>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</si>
  <si>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</si>
  <si>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</si>
  <si>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</si>
  <si>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</si>
  <si>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</si>
  <si>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</si>
  <si>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</si>
  <si>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</si>
  <si>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</si>
  <si>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</si>
  <si>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</si>
  <si>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</si>
  <si>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</si>
  <si>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</si>
  <si>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</si>
  <si>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</si>
  <si>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</si>
  <si>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</si>
  <si>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</si>
  <si>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</si>
  <si>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</si>
  <si>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</si>
  <si>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</si>
  <si>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</si>
  <si>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</si>
  <si>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</si>
  <si>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</si>
  <si>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</si>
  <si>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</si>
  <si>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</si>
  <si>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</si>
  <si>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</si>
  <si>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</si>
  <si>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</si>
  <si>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</si>
  <si>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</si>
  <si>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</si>
  <si>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</si>
  <si>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</si>
  <si>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</si>
  <si>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</si>
  <si>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</si>
  <si>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</si>
  <si>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</si>
  <si>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</si>
  <si>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</si>
  <si>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</si>
  <si>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</si>
  <si>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</si>
  <si>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</si>
  <si>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</si>
  <si>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</si>
  <si>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</si>
  <si>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</si>
  <si>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</si>
  <si>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</si>
  <si>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</si>
  <si>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</si>
  <si>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</si>
  <si>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</si>
  <si>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</si>
  <si>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</si>
  <si>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</si>
  <si>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</si>
  <si>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</si>
  <si>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</si>
  <si>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</si>
  <si>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</si>
  <si>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</si>
  <si>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</si>
  <si>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</si>
  <si>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</si>
  <si>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</si>
  <si>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</si>
  <si>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</si>
  <si>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</si>
  <si>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</si>
  <si>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</si>
  <si>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</si>
  <si>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</si>
  <si>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</si>
  <si>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</si>
  <si>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</si>
  <si>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</si>
  <si>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</si>
  <si>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</si>
  <si>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</si>
  <si>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</si>
  <si>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</si>
  <si>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</si>
  <si>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</si>
  <si>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</si>
  <si>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</si>
  <si>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</si>
  <si>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</si>
  <si>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</si>
  <si>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</si>
  <si>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</si>
  <si>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</si>
  <si>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</si>
  <si>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</si>
  <si>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</si>
  <si>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</si>
  <si>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</si>
  <si>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</si>
  <si>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</si>
  <si>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</si>
  <si>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</si>
  <si>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</si>
  <si>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</si>
  <si>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</si>
  <si>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</si>
  <si>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</si>
  <si>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</si>
  <si>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</si>
  <si>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</si>
  <si>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</si>
  <si>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</si>
  <si>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</si>
  <si>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</si>
  <si>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</si>
  <si>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</si>
  <si>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</si>
  <si>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</si>
  <si>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</si>
  <si>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</si>
  <si>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</si>
  <si>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</si>
  <si>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</si>
  <si>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</si>
  <si>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</si>
  <si>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</si>
  <si>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</si>
  <si>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</si>
  <si>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</si>
  <si>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</si>
  <si>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</si>
  <si>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</si>
  <si>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</si>
  <si>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</si>
  <si>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</si>
  <si>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</si>
  <si>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</si>
  <si>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</si>
  <si>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</si>
  <si>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</si>
  <si>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</si>
  <si>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</si>
  <si>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</si>
  <si>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</si>
  <si>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</si>
  <si>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</si>
  <si>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</si>
  <si>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</si>
  <si>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</si>
  <si>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</si>
  <si>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</si>
  <si>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</si>
  <si>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</si>
  <si>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</si>
  <si>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</si>
  <si>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</si>
  <si>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</si>
  <si>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</si>
  <si>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</si>
  <si>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</si>
  <si>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</si>
  <si>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</si>
  <si>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</si>
  <si>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</si>
  <si>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</si>
  <si>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</si>
  <si>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</si>
  <si>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</si>
  <si>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</si>
  <si>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</si>
  <si>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</si>
  <si>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</si>
  <si>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</si>
  <si>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</si>
  <si>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</si>
  <si>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</si>
  <si>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</si>
  <si>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</si>
  <si>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</si>
  <si>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</si>
  <si>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</si>
  <si>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</si>
  <si>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</si>
  <si>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</si>
  <si>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</si>
  <si>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</si>
  <si>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</si>
  <si>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</si>
  <si>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</si>
  <si>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</si>
  <si>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</si>
  <si>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</si>
  <si>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</si>
  <si>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</si>
  <si>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</si>
  <si>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</si>
  <si>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</si>
  <si>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</si>
  <si>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</si>
  <si>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</si>
  <si>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</si>
  <si>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</si>
  <si>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</si>
  <si>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</si>
  <si>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</si>
  <si>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</si>
  <si>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</si>
  <si>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</si>
  <si>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</si>
  <si>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</si>
  <si>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</si>
  <si>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</si>
  <si>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</si>
  <si>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</si>
  <si>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</si>
  <si>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</si>
  <si>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</si>
  <si>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</si>
  <si>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</si>
  <si>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</si>
  <si>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</si>
  <si>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</si>
  <si>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</si>
  <si>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</si>
  <si>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</si>
  <si>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</si>
  <si>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</si>
  <si>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</si>
  <si>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</si>
  <si>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</si>
  <si>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</si>
  <si>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</si>
  <si>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</si>
  <si>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</si>
  <si>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</si>
  <si>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</si>
  <si>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</si>
  <si>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</si>
  <si>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</si>
  <si>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</si>
  <si>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</si>
  <si>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</si>
  <si>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</si>
  <si>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</si>
  <si>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</si>
  <si>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</si>
  <si>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</si>
  <si>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</si>
  <si>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</si>
  <si>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</si>
  <si>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</si>
  <si>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</si>
  <si>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</si>
  <si>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</si>
  <si>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</si>
  <si>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</si>
  <si>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</si>
  <si>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</si>
  <si>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</si>
  <si>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</si>
  <si>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</si>
  <si>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</si>
  <si>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</si>
  <si>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</si>
  <si>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</si>
  <si>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</si>
  <si>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</si>
  <si>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</si>
  <si>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</si>
  <si>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</si>
  <si>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</si>
  <si>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</si>
  <si>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</si>
  <si>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</si>
  <si>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</si>
  <si>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</si>
  <si>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</si>
  <si>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</si>
  <si>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</si>
  <si>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</si>
  <si>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</si>
  <si>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</si>
  <si>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</si>
  <si>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</si>
  <si>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</si>
  <si>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</si>
  <si>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</si>
  <si>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</si>
  <si>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</si>
  <si>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</si>
  <si>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</si>
  <si>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</si>
  <si>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</si>
  <si>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</si>
  <si>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</si>
  <si>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</si>
  <si>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</si>
  <si>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</si>
  <si>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</si>
  <si>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</si>
  <si>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</si>
  <si>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</si>
  <si>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</si>
  <si>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</si>
  <si>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</si>
  <si>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</si>
  <si>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</si>
  <si>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</si>
  <si>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</si>
  <si>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</si>
  <si>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</si>
  <si>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</si>
  <si>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</si>
  <si>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</si>
  <si>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</si>
  <si>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</si>
  <si>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</si>
  <si>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</si>
  <si>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</si>
  <si>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</si>
  <si>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</si>
  <si>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</si>
  <si>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</si>
  <si>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</si>
  <si>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</si>
  <si>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</si>
  <si>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</si>
  <si>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</si>
  <si>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</si>
  <si>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</si>
  <si>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</si>
  <si>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</si>
  <si>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</si>
  <si>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</si>
  <si>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</si>
  <si>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</si>
  <si>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</si>
  <si>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</si>
  <si>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</si>
  <si>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</si>
  <si>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</si>
  <si>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</si>
  <si>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</si>
  <si>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</si>
  <si>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</si>
  <si>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</si>
  <si>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</si>
  <si>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</si>
  <si>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</si>
  <si>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</si>
  <si>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</si>
  <si>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</si>
  <si>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</si>
  <si>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</si>
  <si>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</si>
  <si>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</si>
  <si>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</si>
  <si>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</si>
  <si>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</si>
  <si>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</si>
  <si>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</si>
  <si>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</si>
  <si>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</si>
  <si>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</si>
  <si>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</si>
  <si>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</si>
  <si>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</si>
  <si>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</si>
  <si>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</si>
  <si>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</si>
  <si>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</si>
  <si>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</si>
  <si>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</si>
  <si>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</si>
  <si>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</si>
  <si>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</si>
  <si>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</si>
  <si>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</si>
  <si>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</si>
  <si>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</si>
  <si>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</si>
  <si>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</si>
  <si>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</si>
  <si>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</si>
  <si>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</si>
  <si>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</si>
  <si>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</si>
  <si>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</si>
  <si>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</si>
  <si>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</si>
  <si>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</si>
  <si>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</si>
  <si>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</si>
  <si>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</si>
  <si>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</si>
  <si>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</si>
  <si>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</si>
  <si>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</si>
  <si>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</si>
  <si>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</si>
  <si>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</si>
  <si>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</si>
  <si>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</si>
  <si>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</si>
  <si>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</si>
  <si>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</si>
  <si>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</si>
  <si>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</si>
  <si>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</si>
  <si>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</si>
  <si>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</si>
  <si>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</si>
  <si>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</si>
  <si>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</si>
  <si>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</si>
  <si>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</si>
  <si>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</si>
  <si>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</si>
  <si>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</si>
  <si>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</si>
  <si>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</si>
  <si>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</si>
  <si>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</si>
  <si>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</si>
  <si>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</si>
  <si>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</si>
  <si>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</si>
  <si>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</si>
  <si>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</si>
  <si>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</si>
  <si>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</si>
  <si>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</si>
  <si>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</si>
  <si>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</si>
  <si>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</si>
  <si>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</si>
  <si>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</si>
  <si>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</si>
  <si>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</si>
  <si>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</si>
  <si>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</si>
  <si>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</si>
  <si>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</si>
  <si>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</si>
  <si>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</si>
  <si>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</si>
  <si>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</si>
  <si>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</si>
  <si>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</si>
  <si>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</si>
  <si>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</si>
  <si>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</si>
  <si>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</si>
  <si>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</si>
  <si>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</si>
  <si>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</si>
  <si>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</si>
  <si>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</si>
  <si>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</si>
  <si>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</si>
  <si>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</si>
  <si>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</si>
  <si>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</si>
  <si>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</si>
  <si>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</si>
  <si>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</si>
  <si>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</si>
  <si>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</si>
  <si>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</si>
  <si>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</si>
  <si>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</si>
  <si>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</si>
  <si>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</si>
  <si>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</si>
  <si>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</si>
  <si>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</si>
  <si>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</si>
  <si>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</si>
  <si>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</si>
  <si>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</si>
  <si>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</si>
  <si>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</si>
  <si>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</si>
  <si>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</si>
  <si>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</si>
  <si>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</si>
  <si>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</si>
  <si>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</si>
  <si>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</si>
  <si>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</si>
  <si>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</si>
  <si>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</si>
  <si>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</si>
  <si>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</si>
  <si>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</si>
  <si>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</si>
  <si>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</si>
  <si>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</si>
  <si>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</si>
  <si>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</si>
  <si>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</si>
  <si>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</si>
  <si>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</si>
  <si>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</si>
  <si>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</si>
  <si>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</si>
  <si>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</si>
  <si>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</si>
  <si>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</si>
  <si>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</si>
  <si>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</si>
  <si>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</si>
  <si>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</si>
  <si>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</si>
  <si>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</si>
  <si>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</si>
  <si>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</si>
  <si>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</si>
  <si>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</si>
  <si>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</si>
  <si>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</si>
  <si>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</si>
  <si>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</si>
  <si>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</si>
  <si>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</si>
  <si>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</si>
  <si>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</si>
  <si>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</si>
  <si>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</si>
  <si>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</si>
  <si>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</si>
  <si>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</si>
  <si>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</si>
  <si>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</si>
  <si>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</si>
  <si>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</si>
  <si>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</si>
  <si>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</si>
  <si>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</si>
  <si>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</si>
  <si>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</si>
  <si>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</si>
  <si>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</si>
  <si>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</si>
  <si>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</si>
  <si>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</si>
  <si>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</si>
  <si>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</si>
  <si>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</si>
  <si>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</si>
  <si>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</si>
  <si>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</si>
  <si>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</si>
  <si>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</si>
  <si>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</si>
  <si>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</si>
  <si>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</si>
  <si>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</si>
  <si>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</si>
  <si>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</si>
  <si>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</si>
  <si>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</si>
  <si>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</si>
  <si>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</si>
  <si>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</si>
  <si>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</si>
  <si>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</si>
  <si>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</si>
  <si>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</si>
  <si>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</si>
  <si>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</si>
  <si>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</si>
  <si>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</si>
  <si>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</si>
  <si>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</si>
  <si>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</si>
  <si>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</si>
  <si>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</si>
  <si>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</si>
  <si>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</si>
  <si>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</si>
  <si>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</si>
  <si>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</si>
  <si>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</si>
  <si>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</si>
  <si>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</si>
  <si>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</si>
  <si>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</si>
  <si>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</si>
  <si>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</si>
  <si>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</si>
  <si>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</si>
  <si>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</si>
  <si>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</si>
  <si>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</si>
  <si>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</si>
  <si>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</si>
  <si>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</si>
  <si>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</si>
  <si>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</si>
  <si>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</si>
  <si>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</si>
  <si>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</si>
  <si>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</si>
  <si>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</si>
  <si>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</si>
  <si>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</si>
  <si>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</si>
  <si>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</si>
  <si>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</si>
  <si>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</si>
  <si>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</si>
  <si>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</si>
  <si>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</si>
  <si>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</si>
  <si>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</si>
  <si>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</si>
  <si>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</si>
  <si>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</si>
  <si>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</si>
  <si>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</si>
  <si>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</si>
  <si>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</si>
  <si>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</si>
  <si>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</si>
  <si>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</si>
  <si>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</si>
  <si>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</si>
  <si>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</si>
  <si>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</si>
  <si>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</si>
  <si>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</si>
  <si>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</si>
  <si>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</si>
  <si>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</si>
  <si>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</si>
  <si>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</si>
  <si>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</si>
  <si>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</si>
  <si>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</si>
  <si>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</si>
  <si>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</si>
  <si>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</si>
  <si>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</si>
  <si>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</si>
  <si>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</si>
  <si>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</si>
  <si>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</si>
  <si>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</si>
  <si>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</si>
  <si>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</si>
  <si>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</si>
  <si>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</si>
  <si>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</si>
  <si>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</si>
  <si>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</si>
  <si>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</si>
  <si>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</si>
  <si>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</si>
  <si>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</si>
  <si>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</si>
  <si>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</si>
  <si>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</si>
  <si>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</si>
  <si>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</si>
  <si>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</si>
  <si>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</si>
  <si>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</si>
  <si>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</si>
  <si>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</si>
  <si>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</si>
  <si>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</si>
  <si>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</si>
  <si>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</si>
  <si>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</si>
  <si>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</si>
  <si>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</si>
  <si>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</si>
  <si>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</si>
  <si>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</si>
  <si>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</si>
  <si>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</si>
  <si>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</si>
  <si>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</si>
  <si>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</si>
  <si>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</si>
  <si>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</si>
  <si>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</si>
  <si>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</si>
  <si>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</si>
  <si>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</si>
  <si>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</si>
  <si>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</si>
  <si>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</si>
  <si>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</si>
  <si>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</si>
  <si>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</si>
  <si>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</si>
  <si>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</si>
  <si>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</si>
  <si>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</si>
  <si>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</si>
  <si>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</si>
  <si>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</si>
  <si>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</si>
  <si>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</si>
  <si>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</si>
  <si>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</si>
  <si>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</si>
  <si>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</si>
  <si>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</si>
  <si>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</si>
  <si>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</si>
  <si>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</si>
  <si>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</si>
  <si>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</si>
  <si>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</si>
  <si>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</si>
  <si>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</si>
  <si>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</si>
  <si>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</si>
  <si>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</si>
  <si>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</si>
  <si>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</si>
  <si>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</si>
  <si>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</si>
  <si>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</si>
  <si>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</si>
  <si>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</si>
  <si>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</si>
  <si>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</si>
  <si>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</si>
  <si>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</si>
  <si>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</si>
  <si>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</si>
  <si>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</si>
  <si>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</si>
  <si>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</si>
  <si>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</si>
  <si>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</si>
  <si>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</si>
  <si>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</si>
  <si>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</si>
  <si>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</si>
  <si>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</si>
  <si>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</si>
  <si>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</si>
  <si>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</si>
  <si>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</si>
  <si>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</si>
  <si>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</si>
  <si>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</si>
  <si>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</si>
  <si>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</si>
  <si>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</si>
  <si>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</si>
  <si>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</si>
  <si>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</si>
  <si>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</si>
  <si>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</si>
  <si>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</si>
  <si>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</si>
  <si>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</si>
  <si>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</si>
  <si>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</si>
  <si>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</si>
  <si>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</si>
  <si>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</si>
  <si>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</si>
  <si>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</si>
  <si>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</si>
  <si>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</si>
  <si>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</si>
  <si>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</si>
  <si>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</si>
  <si>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</si>
  <si>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</si>
  <si>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</si>
  <si>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</si>
  <si>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</si>
  <si>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</si>
  <si>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</si>
  <si>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</si>
  <si>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</si>
  <si>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</si>
  <si>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</si>
  <si>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</si>
  <si>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</si>
  <si>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</si>
  <si>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</si>
  <si>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</si>
  <si>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</si>
  <si>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</si>
  <si>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</si>
  <si>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</si>
  <si>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</si>
  <si>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</si>
  <si>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</si>
  <si>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</si>
  <si>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</si>
  <si>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</si>
  <si>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</si>
  <si>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</si>
  <si>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</si>
  <si>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</si>
  <si>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</si>
  <si>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</si>
  <si>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</si>
  <si>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</si>
  <si>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</si>
  <si>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</si>
  <si>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</si>
  <si>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</si>
  <si>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</si>
  <si>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</si>
  <si>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</si>
  <si>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</si>
  <si>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</si>
  <si>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</si>
  <si>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</si>
  <si>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</si>
  <si>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</si>
  <si>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</si>
  <si>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</si>
  <si>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</si>
  <si>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</si>
  <si>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</si>
  <si>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</si>
  <si>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</si>
  <si>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</si>
  <si>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</si>
  <si>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</si>
  <si>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</si>
  <si>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</si>
  <si>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</si>
  <si>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</si>
  <si>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</si>
  <si>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</si>
  <si>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</si>
  <si>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</si>
  <si>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</si>
  <si>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</si>
  <si>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</si>
  <si>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</si>
  <si>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</si>
  <si>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</si>
  <si>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</si>
  <si>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</si>
  <si>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</si>
  <si>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</si>
  <si>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</si>
  <si>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</si>
  <si>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</si>
  <si>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</si>
  <si>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</si>
  <si>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</si>
  <si>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</si>
  <si>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</si>
  <si>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</si>
  <si>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</si>
  <si>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</si>
  <si>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</si>
  <si>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</si>
  <si>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</si>
  <si>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</si>
  <si>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</si>
  <si>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</si>
  <si>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</si>
  <si>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</si>
  <si>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</si>
  <si>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</si>
  <si>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</si>
  <si>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</si>
  <si>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</si>
  <si>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</si>
  <si>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</si>
  <si>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</si>
  <si>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</si>
  <si>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</si>
  <si>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</si>
  <si>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</si>
  <si>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</si>
  <si>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</si>
  <si>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</si>
  <si>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</si>
  <si>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</si>
  <si>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</si>
  <si>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</si>
  <si>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</si>
  <si>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</si>
  <si>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</si>
  <si>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</si>
  <si>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</si>
  <si>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</si>
  <si>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</si>
  <si>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</si>
  <si>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</si>
  <si>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</si>
  <si>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</si>
  <si>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</si>
  <si>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</si>
  <si>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</si>
  <si>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</si>
  <si>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</si>
  <si>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</si>
  <si>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</si>
  <si>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</si>
  <si>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</si>
  <si>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</si>
  <si>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</si>
  <si>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</si>
  <si>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</si>
  <si>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</si>
  <si>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</si>
  <si>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</si>
  <si>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</si>
  <si>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</si>
  <si>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</si>
  <si>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</si>
  <si>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</si>
  <si>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</si>
  <si>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</si>
  <si>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</si>
  <si>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</si>
  <si>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</si>
  <si>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</si>
  <si>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</si>
  <si>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</si>
  <si>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</si>
  <si>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</si>
  <si>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</si>
  <si>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</si>
  <si>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</si>
  <si>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</si>
  <si>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</si>
  <si>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</si>
  <si>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</si>
  <si>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</si>
  <si>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</si>
  <si>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</si>
  <si>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</si>
  <si>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</si>
  <si>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</si>
  <si>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</si>
  <si>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</si>
  <si>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</si>
  <si>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</si>
  <si>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</si>
  <si>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</si>
  <si>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</si>
  <si>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</si>
  <si>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</si>
  <si>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</si>
  <si>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</si>
  <si>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</si>
  <si>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</si>
  <si>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</si>
  <si>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</si>
  <si>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</si>
  <si>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</si>
  <si>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</si>
  <si>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</si>
  <si>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</si>
  <si>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</si>
  <si>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</si>
  <si>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</si>
  <si>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</si>
  <si>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</si>
  <si>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</si>
  <si>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</si>
  <si>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</si>
  <si>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</si>
  <si>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</si>
  <si>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</si>
  <si>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</si>
  <si>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</si>
  <si>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</si>
  <si>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</si>
  <si>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</si>
  <si>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</si>
  <si>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</si>
  <si>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</si>
  <si>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</si>
  <si>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</si>
  <si>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</si>
  <si>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</si>
  <si>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</si>
  <si>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</si>
  <si>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</si>
  <si>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</si>
  <si>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</si>
  <si>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</si>
  <si>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</si>
  <si>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</si>
  <si>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</si>
  <si>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</si>
  <si>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</si>
  <si>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</si>
  <si>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</si>
  <si>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</si>
  <si>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</si>
  <si>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</si>
  <si>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</si>
  <si>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</si>
  <si>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</si>
  <si>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</si>
  <si>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</si>
  <si>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</si>
  <si>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</si>
  <si>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</si>
  <si>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</si>
  <si>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</si>
  <si>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</si>
  <si>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</si>
  <si>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</si>
  <si>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</si>
  <si>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</si>
  <si>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</si>
  <si>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</si>
  <si>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</si>
  <si>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</si>
  <si>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</si>
  <si>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</si>
  <si>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</si>
  <si>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</si>
  <si>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</si>
  <si>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</si>
  <si>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</si>
  <si>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</si>
  <si>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</si>
  <si>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</si>
  <si>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</si>
  <si>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</si>
  <si>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</si>
  <si>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</si>
  <si>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</si>
  <si>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</si>
  <si>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</si>
  <si>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</si>
  <si>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</si>
  <si>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</si>
  <si>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</si>
  <si>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</si>
  <si>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</si>
  <si>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</si>
  <si>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</si>
  <si>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</si>
  <si>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</si>
  <si>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</si>
  <si>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</si>
  <si>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</si>
  <si>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</si>
  <si>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</si>
  <si>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</si>
  <si>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</si>
  <si>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</si>
  <si>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</si>
  <si>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</si>
  <si>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</si>
  <si>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</si>
  <si>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</si>
  <si>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</si>
  <si>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</si>
  <si>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</si>
  <si>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</si>
  <si>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</si>
  <si>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</si>
  <si>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</si>
  <si>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</si>
  <si>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</si>
  <si>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</si>
  <si>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</si>
  <si>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</si>
  <si>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</si>
  <si>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</si>
  <si>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</si>
  <si>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</si>
  <si>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</si>
  <si>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</si>
  <si>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</si>
  <si>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</si>
  <si>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</si>
  <si>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</si>
  <si>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</si>
  <si>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</si>
  <si>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</si>
  <si>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</si>
  <si>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</si>
  <si>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</si>
  <si>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</si>
  <si>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</si>
  <si>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</si>
  <si>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</si>
  <si>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</si>
  <si>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</si>
  <si>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</si>
  <si>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</si>
  <si>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</si>
  <si>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</si>
  <si>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</si>
  <si>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</si>
  <si>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</si>
  <si>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</si>
  <si>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</si>
  <si>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</si>
  <si>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</si>
  <si>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</si>
  <si>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</si>
  <si>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</si>
  <si>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</si>
  <si>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</si>
  <si>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</si>
  <si>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</si>
  <si>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</si>
  <si>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</si>
  <si>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</si>
  <si>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</si>
  <si>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</si>
  <si>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</si>
  <si>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</si>
  <si>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</si>
  <si>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</si>
  <si>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</si>
  <si>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</si>
  <si>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</si>
  <si>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</si>
  <si>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</si>
  <si>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</si>
  <si>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</si>
  <si>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</si>
  <si>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</si>
  <si>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</si>
  <si>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</si>
  <si>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</si>
  <si>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</si>
  <si>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</si>
  <si>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</si>
  <si>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</si>
  <si>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</si>
  <si>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</si>
  <si>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</si>
  <si>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</si>
  <si>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</si>
  <si>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</si>
  <si>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</si>
  <si>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</si>
  <si>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</si>
  <si>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</si>
  <si>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</si>
  <si>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</si>
  <si>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</si>
  <si>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</si>
  <si>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</si>
  <si>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</si>
  <si>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</si>
  <si>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</si>
  <si>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</si>
  <si>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</si>
  <si>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</si>
  <si>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</si>
  <si>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</si>
  <si>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</si>
  <si>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</si>
  <si>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</si>
  <si>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</si>
  <si>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</si>
  <si>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</si>
  <si>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</si>
  <si>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</si>
  <si>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</si>
  <si>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</si>
  <si>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</si>
  <si>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</si>
  <si>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</si>
  <si>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</si>
  <si>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</si>
  <si>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</si>
  <si>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</si>
  <si>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</si>
  <si>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</si>
  <si>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</si>
  <si>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</si>
  <si>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</si>
  <si>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</si>
  <si>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</si>
  <si>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</si>
  <si>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</si>
  <si>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</si>
  <si>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</si>
  <si>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</si>
  <si>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</si>
  <si>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</si>
  <si>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</si>
  <si>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</si>
  <si>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</si>
  <si>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</si>
  <si>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</si>
  <si>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</si>
  <si>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</si>
  <si>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</si>
  <si>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</si>
  <si>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</si>
  <si>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</si>
  <si>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</si>
  <si>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</si>
  <si>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</si>
  <si>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</si>
  <si>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</si>
  <si>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</si>
  <si>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</si>
  <si>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</si>
  <si>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</si>
  <si>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</si>
  <si>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</si>
  <si>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</si>
  <si>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</si>
  <si>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</si>
  <si>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</si>
  <si>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</si>
  <si>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</si>
  <si>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</si>
  <si>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</si>
  <si>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</si>
  <si>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</si>
  <si>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</si>
  <si>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</si>
  <si>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</si>
  <si>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</si>
  <si>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</si>
  <si>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</si>
  <si>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</si>
  <si>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</si>
  <si>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</si>
  <si>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</si>
  <si>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</si>
  <si>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</si>
  <si>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</si>
  <si>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</si>
  <si>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</si>
  <si>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</si>
  <si>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</si>
  <si>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</si>
  <si>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</si>
  <si>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</si>
  <si>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</si>
  <si>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</si>
  <si>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</si>
  <si>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</si>
  <si>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</si>
  <si>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</si>
  <si>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</si>
  <si>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</si>
  <si>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</si>
  <si>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</si>
  <si>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</si>
  <si>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</si>
  <si>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</si>
  <si>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</si>
  <si>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</si>
  <si>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</si>
  <si>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</si>
  <si>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</si>
  <si>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</si>
  <si>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</si>
  <si>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</si>
  <si>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</si>
  <si>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</si>
  <si>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</si>
  <si>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</si>
  <si>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</si>
  <si>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</si>
  <si>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</si>
  <si>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</si>
  <si>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</si>
  <si>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</si>
  <si>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</si>
  <si>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</si>
  <si>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</si>
  <si>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</si>
  <si>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</si>
  <si>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</si>
  <si>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</si>
  <si>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</si>
  <si>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</si>
  <si>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</si>
  <si>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</si>
  <si>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</si>
  <si>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</si>
  <si>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</si>
  <si>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</si>
  <si>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</si>
  <si>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</si>
  <si>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</si>
  <si>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</si>
  <si>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</si>
  <si>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</si>
  <si>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</si>
  <si>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</si>
  <si>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</si>
  <si>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</si>
  <si>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</si>
  <si>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</si>
  <si>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</si>
  <si>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</si>
  <si>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</si>
  <si>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</si>
  <si>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</si>
  <si>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</si>
  <si>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</si>
  <si>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</si>
  <si>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</si>
  <si>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</si>
  <si>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</si>
  <si>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</si>
  <si>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</si>
  <si>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</si>
  <si>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</si>
  <si>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</si>
  <si>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</si>
  <si>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</si>
  <si>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</si>
  <si>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</si>
  <si>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</si>
  <si>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</si>
  <si>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</si>
  <si>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</si>
  <si>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</si>
  <si>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</si>
  <si>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</si>
  <si>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</si>
  <si>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</si>
  <si>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</si>
  <si>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</si>
  <si>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</si>
  <si>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7/14</t>
  </si>
  <si>
    <t>6/18</t>
  </si>
  <si>
    <t>8/34</t>
  </si>
  <si>
    <t>7/26</t>
  </si>
  <si>
    <t>Open Purchase Orders</t>
  </si>
  <si>
    <t>I have made the corrections.  Please let me know if I did not do something correctly.  Thanks for your patience! Janet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</si>
</sst>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87" zoomScaleNormal="87" workbookViewId="0">
      <selection activeCell="J649" sqref="J649"/>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1191</v>
      </c>
      <c r="B2">
        <f>INDEX('School Tables'!$AH$3:$AH$213,MATCH('DOE25'!A2,'School Tables'!$AJ$3:$AJ$213,0))</f>
        <v>327</v>
      </c>
      <c r="C2">
        <f>INDEX('School Tables'!$AI$3:$AI$213,MATCH('DOE25'!A2,'School Tables'!$AJ$3:$AJ$213,0))</f>
        <v>327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-191824.2</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565551.31999999995</v>
      </c>
      <c r="G12" s="18"/>
      <c r="H12" s="18">
        <v>52486.879999999997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1101544.02</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1000</v>
      </c>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374727.11999999994</v>
      </c>
      <c r="G19" s="38">
        <f>SUM(G9:G18)</f>
        <v>0</v>
      </c>
      <c r="H19" s="38">
        <f>SUM(H9:H18)</f>
        <v>52486.879999999997</v>
      </c>
      <c r="I19" s="38">
        <f>SUM(I9:I18)</f>
        <v>0</v>
      </c>
      <c r="J19" s="38">
        <f>SUM(J9:J18)</f>
        <v>1101544.02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118294.92</v>
      </c>
      <c r="G22" s="18"/>
      <c r="H22" s="18">
        <v>19420.53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v>-992.2</v>
      </c>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-39294.550000000003</v>
      </c>
      <c r="G24" s="18">
        <v>992.2</v>
      </c>
      <c r="H24" s="18">
        <v>33066.35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-2413.56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76586.81</v>
      </c>
      <c r="G32" s="38">
        <f>SUM(G22:G31)</f>
        <v>0</v>
      </c>
      <c r="H32" s="38">
        <f>SUM(H22:H31)</f>
        <v>52486.879999999997</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1101544.02</v>
      </c>
      <c r="K43" s="23" t="s">
        <v>288</v>
      </c>
      <c r="L43" s="23" t="s">
        <v>288</v>
      </c>
      <c r="M43" s="8"/>
      <c r="N43" s="164"/>
    </row>
    <row r="44" spans="1:14" s="3" customFormat="1" ht="12.2" customHeight="1" x14ac:dyDescent="0.15">
      <c r="A44" s="1" t="s">
        <v>833</v>
      </c>
      <c r="B44" s="6">
        <v>1</v>
      </c>
      <c r="C44" s="6">
        <v>30</v>
      </c>
      <c r="D44" s="2" t="s">
        <v>653</v>
      </c>
      <c r="E44" s="6">
        <v>755</v>
      </c>
      <c r="F44" s="18">
        <v>100000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55551.56</v>
      </c>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v>70367</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72221.75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298140.31</v>
      </c>
      <c r="G51" s="38">
        <f>SUM(G35:G50)</f>
        <v>0</v>
      </c>
      <c r="H51" s="38">
        <f>SUM(H35:H50)</f>
        <v>0</v>
      </c>
      <c r="I51" s="38">
        <f>SUM(I35:I50)</f>
        <v>0</v>
      </c>
      <c r="J51" s="38">
        <f>SUM(J35:J50)</f>
        <v>1101544.02</v>
      </c>
      <c r="K51" s="42" t="s">
        <v>288</v>
      </c>
      <c r="L51" s="42" t="s">
        <v>288</v>
      </c>
      <c r="N51" s="130"/>
    </row>
    <row r="52" spans="1:14" s="3" customFormat="1" ht="12.2" customHeight="1" thickTop="1" x14ac:dyDescent="0.15">
      <c r="A52" s="35" t="s">
        <v>455</v>
      </c>
      <c r="B52" s="36" t="s">
        <v>289</v>
      </c>
      <c r="C52" s="6">
        <v>37</v>
      </c>
      <c r="D52" s="36" t="s">
        <v>653</v>
      </c>
      <c r="E52" s="36"/>
      <c r="F52" s="38">
        <f>F51+F32</f>
        <v>374727.12</v>
      </c>
      <c r="G52" s="38">
        <f>G51+G32</f>
        <v>0</v>
      </c>
      <c r="H52" s="38">
        <f>H51+H32</f>
        <v>52486.879999999997</v>
      </c>
      <c r="I52" s="38">
        <f>I51+I32</f>
        <v>0</v>
      </c>
      <c r="J52" s="38">
        <f>J51+J32</f>
        <v>1101544.02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7106754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7106754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4100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4100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288.19</v>
      </c>
      <c r="G96" s="18"/>
      <c r="H96" s="18"/>
      <c r="I96" s="18"/>
      <c r="J96" s="18">
        <v>31543.05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58732.6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27756.95</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25593.06</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53638.2</v>
      </c>
      <c r="G111" s="38">
        <f>SUM(G96:G110)</f>
        <v>58732.6</v>
      </c>
      <c r="H111" s="38">
        <f>SUM(H96:H110)</f>
        <v>0</v>
      </c>
      <c r="I111" s="38">
        <f>SUM(I96:I110)</f>
        <v>0</v>
      </c>
      <c r="J111" s="38">
        <f>SUM(J96:J110)</f>
        <v>31543.05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7164492.2000000002</v>
      </c>
      <c r="G112" s="38">
        <f>G60+G111</f>
        <v>58732.6</v>
      </c>
      <c r="H112" s="38">
        <f>H60+H79+H94+H111</f>
        <v>0</v>
      </c>
      <c r="I112" s="38">
        <f>I60+I111</f>
        <v>0</v>
      </c>
      <c r="J112" s="38">
        <f>J60+J111</f>
        <v>31543.05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639149.92000000004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655608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1294757.92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23201.360000000001</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23201.360000000001</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1317959.28</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47735.08</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19354.04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7993.81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71161.919999999998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3307.27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26805.53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176357.64999999997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469.99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469.99</v>
      </c>
      <c r="G170" s="38">
        <f>G147+G163+SUM(G164:G169)</f>
        <v>0</v>
      </c>
      <c r="H170" s="38">
        <f>H147+H163+SUM(H164:H169)</f>
        <v>176357.64999999997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50987.08</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50987.08</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48329.760000000002</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48329.760000000002</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48329.760000000002</v>
      </c>
      <c r="G193" s="38">
        <f>G184+SUM(G189:G192)</f>
        <v>50987.08</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8531251.2300000004</v>
      </c>
      <c r="G194" s="38">
        <f>G112+G140+G170+G193</f>
        <v>109719.67999999999</v>
      </c>
      <c r="H194" s="38">
        <f>H112+H140+H170+H193</f>
        <v>176357.64999999997</v>
      </c>
      <c r="I194" s="38">
        <f>I112+I140+I170+I193</f>
        <v>0</v>
      </c>
      <c r="J194" s="38">
        <f>J112+J140+J193</f>
        <v>31543.05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1680187.7</v>
      </c>
      <c r="G198" s="18">
        <v>988122.66</v>
      </c>
      <c r="H198" s="18">
        <v>23869.23</v>
      </c>
      <c r="I198" s="18">
        <v>62930.75</v>
      </c>
      <c r="J198" s="18">
        <v>38885.4</v>
      </c>
      <c r="K198" s="18"/>
      <c r="L198" s="13">
        <f>SUM(F198:K198)</f>
        <v>2793995.7399999998</v>
      </c>
      <c r="M198" s="8"/>
      <c r="N198" s="164"/>
    </row>
    <row r="199" spans="1:14" s="3" customFormat="1" ht="12.2" customHeight="1" x14ac:dyDescent="0.15">
      <c r="A199" s="1" t="s">
        <v>439</v>
      </c>
      <c r="B199" s="2" t="s">
        <v>341</v>
      </c>
      <c r="C199" s="2" t="s">
        <v>291</v>
      </c>
      <c r="D199" s="2" t="s">
        <v>431</v>
      </c>
      <c r="E199" s="6">
        <v>1200</v>
      </c>
      <c r="F199" s="18">
        <v>416090.97</v>
      </c>
      <c r="G199" s="18">
        <v>201128.21</v>
      </c>
      <c r="H199" s="18">
        <v>117593.68</v>
      </c>
      <c r="I199" s="18">
        <v>12482.92</v>
      </c>
      <c r="J199" s="18"/>
      <c r="K199" s="18"/>
      <c r="L199" s="13">
        <f>SUM(F199:K199)</f>
        <v>747295.77999999991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138443.89000000001</v>
      </c>
      <c r="G203" s="18">
        <v>69672.22</v>
      </c>
      <c r="H203" s="18">
        <v>124655.36</v>
      </c>
      <c r="I203" s="18">
        <v>2746.48</v>
      </c>
      <c r="J203" s="18"/>
      <c r="K203" s="18"/>
      <c r="L203" s="13">
        <f t="shared" ref="L203:L209" si="0">SUM(F203:K203)</f>
        <v>335517.95</v>
      </c>
      <c r="M203" s="8"/>
      <c r="N203" s="164"/>
    </row>
    <row r="204" spans="1:14" s="3" customFormat="1" ht="12.2" customHeight="1" x14ac:dyDescent="0.15">
      <c r="A204" s="1" t="s">
        <v>443</v>
      </c>
      <c r="B204" s="2" t="s">
        <v>341</v>
      </c>
      <c r="C204" s="2" t="s">
        <v>295</v>
      </c>
      <c r="D204" s="2" t="s">
        <v>431</v>
      </c>
      <c r="E204" s="6">
        <v>2200</v>
      </c>
      <c r="F204" s="18">
        <v>43133.59</v>
      </c>
      <c r="G204" s="18">
        <v>60314.62</v>
      </c>
      <c r="H204" s="18">
        <v>2076.09</v>
      </c>
      <c r="I204" s="18">
        <v>7463.61</v>
      </c>
      <c r="J204" s="18"/>
      <c r="K204" s="18"/>
      <c r="L204" s="13">
        <f t="shared" si="0"/>
        <v>112987.90999999999</v>
      </c>
      <c r="M204" s="8"/>
      <c r="N204" s="164"/>
    </row>
    <row r="205" spans="1:14" s="3" customFormat="1" ht="12.2" customHeight="1" x14ac:dyDescent="0.15">
      <c r="A205" s="1" t="s">
        <v>444</v>
      </c>
      <c r="B205" s="2" t="s">
        <v>341</v>
      </c>
      <c r="C205" s="2" t="s">
        <v>296</v>
      </c>
      <c r="D205" s="2" t="s">
        <v>431</v>
      </c>
      <c r="E205" s="6">
        <v>2300</v>
      </c>
      <c r="F205" s="18">
        <v>255790.81</v>
      </c>
      <c r="G205" s="18">
        <v>62453.83</v>
      </c>
      <c r="H205" s="18">
        <v>123932.05</v>
      </c>
      <c r="I205" s="18">
        <v>1785.69</v>
      </c>
      <c r="J205" s="18">
        <v>12768.57</v>
      </c>
      <c r="K205" s="18">
        <v>4653.96</v>
      </c>
      <c r="L205" s="13">
        <f t="shared" si="0"/>
        <v>461384.91000000003</v>
      </c>
      <c r="M205" s="8"/>
      <c r="N205" s="164"/>
    </row>
    <row r="206" spans="1:14" s="3" customFormat="1" ht="12.2" customHeight="1" x14ac:dyDescent="0.15">
      <c r="A206" s="1" t="s">
        <v>445</v>
      </c>
      <c r="B206" s="2" t="s">
        <v>341</v>
      </c>
      <c r="C206" s="2" t="s">
        <v>297</v>
      </c>
      <c r="D206" s="2" t="s">
        <v>431</v>
      </c>
      <c r="E206" s="6">
        <v>2400</v>
      </c>
      <c r="F206" s="18">
        <v>256516.58</v>
      </c>
      <c r="G206" s="18">
        <v>143212.44</v>
      </c>
      <c r="H206" s="18">
        <v>12028.01</v>
      </c>
      <c r="I206" s="18">
        <v>1892.66</v>
      </c>
      <c r="J206" s="18"/>
      <c r="K206" s="18">
        <v>1443.98</v>
      </c>
      <c r="L206" s="13">
        <f t="shared" si="0"/>
        <v>415093.67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91006.51</v>
      </c>
      <c r="G208" s="18">
        <v>48293.3</v>
      </c>
      <c r="H208" s="18">
        <v>396311.85</v>
      </c>
      <c r="I208" s="18">
        <v>77610.42</v>
      </c>
      <c r="J208" s="18">
        <v>17489.919999999998</v>
      </c>
      <c r="K208" s="18"/>
      <c r="L208" s="13">
        <f t="shared" si="0"/>
        <v>630712</v>
      </c>
      <c r="M208" s="8"/>
      <c r="N208" s="164"/>
    </row>
    <row r="209" spans="1:14" s="3" customFormat="1" ht="12.2" customHeight="1" x14ac:dyDescent="0.15">
      <c r="A209" s="1" t="s">
        <v>448</v>
      </c>
      <c r="B209" s="2" t="s">
        <v>341</v>
      </c>
      <c r="C209" s="2" t="s">
        <v>300</v>
      </c>
      <c r="D209" s="2" t="s">
        <v>431</v>
      </c>
      <c r="E209" s="6">
        <v>2700</v>
      </c>
      <c r="F209" s="18"/>
      <c r="G209" s="18"/>
      <c r="H209" s="18">
        <v>127115.66</v>
      </c>
      <c r="I209" s="18">
        <v>3897.88</v>
      </c>
      <c r="J209" s="18"/>
      <c r="K209" s="18"/>
      <c r="L209" s="13">
        <f t="shared" si="0"/>
        <v>131013.54000000001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2881170.05</v>
      </c>
      <c r="G212" s="38">
        <f t="shared" si="1"/>
        <v>1573197.2800000003</v>
      </c>
      <c r="H212" s="38">
        <f t="shared" si="1"/>
        <v>927581.93</v>
      </c>
      <c r="I212" s="38">
        <f t="shared" si="1"/>
        <v>170810.41</v>
      </c>
      <c r="J212" s="38">
        <f t="shared" si="1"/>
        <v>69143.89</v>
      </c>
      <c r="K212" s="38">
        <f t="shared" si="1"/>
        <v>6097.9400000000005</v>
      </c>
      <c r="L212" s="38">
        <f t="shared" si="1"/>
        <v>5628001.5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2224775.2400000002</v>
      </c>
      <c r="I234" s="18"/>
      <c r="J234" s="18"/>
      <c r="K234" s="18"/>
      <c r="L234" s="13">
        <f>SUM(F234:K234)</f>
        <v>2224775.2400000002</v>
      </c>
      <c r="M234" s="8"/>
      <c r="N234" s="164"/>
    </row>
    <row r="235" spans="1:14" s="3" customFormat="1" ht="12.2" customHeight="1" x14ac:dyDescent="0.15">
      <c r="A235" s="1" t="s">
        <v>439</v>
      </c>
      <c r="B235" s="2" t="s">
        <v>350</v>
      </c>
      <c r="C235" s="2" t="s">
        <v>291</v>
      </c>
      <c r="D235" s="2" t="s">
        <v>431</v>
      </c>
      <c r="E235" s="6">
        <v>1200</v>
      </c>
      <c r="F235" s="18"/>
      <c r="G235" s="18"/>
      <c r="H235" s="18">
        <v>141901.65</v>
      </c>
      <c r="I235" s="18"/>
      <c r="J235" s="18"/>
      <c r="K235" s="18">
        <v>555</v>
      </c>
      <c r="L235" s="13">
        <f>SUM(F235:K235)</f>
        <v>142456.65</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v>44625</v>
      </c>
      <c r="G242" s="18">
        <v>29949.53</v>
      </c>
      <c r="H242" s="18"/>
      <c r="I242" s="18"/>
      <c r="J242" s="18"/>
      <c r="K242" s="18"/>
      <c r="L242" s="13">
        <f t="shared" si="4"/>
        <v>74574.53</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0</v>
      </c>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44625</v>
      </c>
      <c r="G248" s="38">
        <f t="shared" si="5"/>
        <v>29949.53</v>
      </c>
      <c r="H248" s="38">
        <f t="shared" si="5"/>
        <v>2366676.89</v>
      </c>
      <c r="I248" s="38">
        <f t="shared" si="5"/>
        <v>0</v>
      </c>
      <c r="J248" s="38">
        <f t="shared" si="5"/>
        <v>0</v>
      </c>
      <c r="K248" s="38">
        <f t="shared" si="5"/>
        <v>555</v>
      </c>
      <c r="L248" s="38">
        <f t="shared" si="5"/>
        <v>2441806.42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2925795.05</v>
      </c>
      <c r="G258" s="38">
        <f t="shared" si="8"/>
        <v>1603146.8100000003</v>
      </c>
      <c r="H258" s="38">
        <f t="shared" si="8"/>
        <v>3294258.8200000003</v>
      </c>
      <c r="I258" s="38">
        <f t="shared" si="8"/>
        <v>170810.41</v>
      </c>
      <c r="J258" s="38">
        <f t="shared" si="8"/>
        <v>69143.89</v>
      </c>
      <c r="K258" s="38">
        <f t="shared" si="8"/>
        <v>6652.9400000000005</v>
      </c>
      <c r="L258" s="38">
        <f t="shared" si="8"/>
        <v>8069807.9199999999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144027.09</v>
      </c>
      <c r="L261" s="13">
        <f>SUM(F261:K261)</f>
        <v>144027.09</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74459.91</v>
      </c>
      <c r="L262" s="13">
        <f>SUM(F262:K262)</f>
        <v>74459.91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50987.08</v>
      </c>
      <c r="L264" s="13">
        <f>SUM(F264:K264)</f>
        <v>50987.08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269474.08</v>
      </c>
      <c r="L271" s="38">
        <f t="shared" si="9"/>
        <v>269474.08</v>
      </c>
      <c r="M271" s="8"/>
      <c r="N271" s="164"/>
    </row>
    <row r="272" spans="1:14" s="33" customFormat="1" ht="12.2" customHeight="1" thickTop="1" x14ac:dyDescent="0.2">
      <c r="A272" s="40" t="s">
        <v>464</v>
      </c>
      <c r="B272" s="37">
        <v>10</v>
      </c>
      <c r="C272" s="37">
        <v>18</v>
      </c>
      <c r="D272" s="36" t="s">
        <v>431</v>
      </c>
      <c r="E272" s="37"/>
      <c r="F272" s="39">
        <f t="shared" ref="F272:L272" si="11">F258+F271</f>
        <v>2925795.05</v>
      </c>
      <c r="G272" s="39">
        <f t="shared" si="11"/>
        <v>1603146.8100000003</v>
      </c>
      <c r="H272" s="39">
        <f t="shared" si="11"/>
        <v>3294258.8200000003</v>
      </c>
      <c r="I272" s="39">
        <f t="shared" si="11"/>
        <v>170810.41</v>
      </c>
      <c r="J272" s="39">
        <f t="shared" si="11"/>
        <v>69143.89</v>
      </c>
      <c r="K272" s="39">
        <f t="shared" si="11"/>
        <v>276127.02</v>
      </c>
      <c r="L272" s="39">
        <f t="shared" si="11"/>
        <v>8339282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15450</v>
      </c>
      <c r="G277" s="18">
        <v>3904.04</v>
      </c>
      <c r="H277" s="18">
        <v>2845</v>
      </c>
      <c r="I277" s="18"/>
      <c r="J277" s="18">
        <v>19420.53</v>
      </c>
      <c r="K277" s="18"/>
      <c r="L277" s="13">
        <f>SUM(F277:K277)</f>
        <v>41619.57</v>
      </c>
      <c r="M277" s="8"/>
      <c r="N277" s="164"/>
    </row>
    <row r="278" spans="1:14" s="3" customFormat="1" ht="12.2" customHeight="1" x14ac:dyDescent="0.15">
      <c r="A278" s="1" t="s">
        <v>439</v>
      </c>
      <c r="B278" s="2" t="s">
        <v>357</v>
      </c>
      <c r="C278" s="2" t="s">
        <v>291</v>
      </c>
      <c r="D278" s="2" t="s">
        <v>431</v>
      </c>
      <c r="E278" s="6">
        <v>1200</v>
      </c>
      <c r="F278" s="18">
        <v>532.89</v>
      </c>
      <c r="G278" s="18"/>
      <c r="H278" s="18">
        <v>2008.1</v>
      </c>
      <c r="I278" s="18"/>
      <c r="J278" s="18">
        <v>4398</v>
      </c>
      <c r="K278" s="18"/>
      <c r="L278" s="13">
        <f>SUM(F278:K278)</f>
        <v>6938.99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64222.93</v>
      </c>
      <c r="I282" s="18"/>
      <c r="J282" s="18"/>
      <c r="K282" s="18"/>
      <c r="L282" s="13">
        <f t="shared" ref="L282:L288" si="12">SUM(F282:K282)</f>
        <v>64222.93</v>
      </c>
      <c r="M282" s="8"/>
      <c r="N282" s="164"/>
    </row>
    <row r="283" spans="1:14" s="3" customFormat="1" ht="12.2" customHeight="1" x14ac:dyDescent="0.15">
      <c r="A283" s="1" t="s">
        <v>443</v>
      </c>
      <c r="B283" s="2" t="s">
        <v>357</v>
      </c>
      <c r="C283" s="2" t="s">
        <v>295</v>
      </c>
      <c r="D283" s="2" t="s">
        <v>431</v>
      </c>
      <c r="E283" s="6">
        <v>2200</v>
      </c>
      <c r="F283" s="18"/>
      <c r="G283" s="18"/>
      <c r="H283" s="18">
        <v>6933.81</v>
      </c>
      <c r="I283" s="18"/>
      <c r="J283" s="18"/>
      <c r="K283" s="18"/>
      <c r="L283" s="13">
        <f t="shared" si="12"/>
        <v>6933.81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47852.35</v>
      </c>
      <c r="I287" s="18">
        <v>6123</v>
      </c>
      <c r="J287" s="18">
        <v>2667</v>
      </c>
      <c r="K287" s="18"/>
      <c r="L287" s="13">
        <f t="shared" si="12"/>
        <v>56642.35</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15982.89</v>
      </c>
      <c r="G291" s="39">
        <f t="shared" si="13"/>
        <v>3904.04</v>
      </c>
      <c r="H291" s="39">
        <f t="shared" si="13"/>
        <v>123862.19</v>
      </c>
      <c r="I291" s="39">
        <f t="shared" si="13"/>
        <v>6123</v>
      </c>
      <c r="J291" s="39">
        <f t="shared" si="13"/>
        <v>26485.53</v>
      </c>
      <c r="K291" s="39">
        <f t="shared" si="13"/>
        <v>0</v>
      </c>
      <c r="L291" s="38">
        <f t="shared" si="13"/>
        <v>176357.65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15982.89</v>
      </c>
      <c r="G339" s="38">
        <f t="shared" si="20"/>
        <v>3904.04</v>
      </c>
      <c r="H339" s="38">
        <f t="shared" si="20"/>
        <v>123862.19</v>
      </c>
      <c r="I339" s="38">
        <f t="shared" si="20"/>
        <v>6123</v>
      </c>
      <c r="J339" s="38">
        <f t="shared" si="20"/>
        <v>26485.53</v>
      </c>
      <c r="K339" s="38">
        <f t="shared" si="20"/>
        <v>0</v>
      </c>
      <c r="L339" s="38">
        <f t="shared" si="20"/>
        <v>176357.65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15982.89</v>
      </c>
      <c r="G353" s="38">
        <f>G339</f>
        <v>3904.04</v>
      </c>
      <c r="H353" s="38">
        <f>H339</f>
        <v>123862.19</v>
      </c>
      <c r="I353" s="38">
        <f>I339</f>
        <v>6123</v>
      </c>
      <c r="J353" s="38">
        <f>J339</f>
        <v>26485.53</v>
      </c>
      <c r="K353" s="38">
        <f>K339+K352</f>
        <v>0</v>
      </c>
      <c r="L353" s="38">
        <f>L339+L352</f>
        <v>176357.65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109021</v>
      </c>
      <c r="I359" s="18">
        <v>698.68</v>
      </c>
      <c r="J359" s="18"/>
      <c r="K359" s="18"/>
      <c r="L359" s="13">
        <f>SUM(F359:K359)</f>
        <v>109719.67999999999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109021</v>
      </c>
      <c r="I363" s="38">
        <f t="shared" si="22"/>
        <v>698.68</v>
      </c>
      <c r="J363" s="38">
        <f t="shared" si="22"/>
        <v>0</v>
      </c>
      <c r="K363" s="38">
        <f t="shared" si="22"/>
        <v>0</v>
      </c>
      <c r="L363" s="38">
        <f t="shared" si="22"/>
        <v>109719.67999999999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10.8</v>
      </c>
      <c r="G368" s="18"/>
      <c r="H368" s="18"/>
      <c r="I368" s="13">
        <f>SUM(F368:H368)</f>
        <v>10.8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687.88</v>
      </c>
      <c r="G369" s="53"/>
      <c r="H369" s="53"/>
      <c r="I369" s="13">
        <f>SUM(F369:H369)</f>
        <v>687.88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698.68</v>
      </c>
      <c r="G370" s="38">
        <f>SUM(G368:G369)</f>
        <v>0</v>
      </c>
      <c r="H370" s="38">
        <f>SUM(H368:H369)</f>
        <v>0</v>
      </c>
      <c r="I370" s="38">
        <f>SUM(I368:I369)</f>
        <v>698.68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2600.66</v>
      </c>
      <c r="I397" s="18"/>
      <c r="J397" s="23" t="s">
        <v>288</v>
      </c>
      <c r="K397" s="23" t="s">
        <v>288</v>
      </c>
      <c r="L397" s="13">
        <f t="shared" si="26"/>
        <v>2600.66</v>
      </c>
      <c r="M397" s="8"/>
      <c r="N397" s="164"/>
    </row>
    <row r="398" spans="1:14" s="3" customFormat="1" ht="12.2" customHeight="1" x14ac:dyDescent="0.15">
      <c r="A398" s="62" t="s">
        <v>515</v>
      </c>
      <c r="B398" s="2" t="s">
        <v>381</v>
      </c>
      <c r="C398" s="6">
        <v>10</v>
      </c>
      <c r="D398" s="2" t="s">
        <v>432</v>
      </c>
      <c r="E398" s="6"/>
      <c r="F398" s="18"/>
      <c r="G398" s="18"/>
      <c r="H398" s="18">
        <v>10901.49</v>
      </c>
      <c r="I398" s="18"/>
      <c r="J398" s="23" t="s">
        <v>288</v>
      </c>
      <c r="K398" s="23" t="s">
        <v>288</v>
      </c>
      <c r="L398" s="13">
        <f t="shared" si="26"/>
        <v>10901.49</v>
      </c>
      <c r="M398" s="8"/>
      <c r="N398" s="164"/>
    </row>
    <row r="399" spans="1:14" s="3" customFormat="1" ht="12.2" customHeight="1" x14ac:dyDescent="0.15">
      <c r="A399" s="62" t="s">
        <v>558</v>
      </c>
      <c r="B399" s="2" t="s">
        <v>381</v>
      </c>
      <c r="C399" s="6">
        <v>11</v>
      </c>
      <c r="D399" s="2" t="s">
        <v>432</v>
      </c>
      <c r="E399" s="6"/>
      <c r="F399" s="18"/>
      <c r="G399" s="18"/>
      <c r="H399" s="18">
        <v>13722.42</v>
      </c>
      <c r="I399" s="18"/>
      <c r="J399" s="23" t="s">
        <v>288</v>
      </c>
      <c r="K399" s="23" t="s">
        <v>288</v>
      </c>
      <c r="L399" s="13">
        <f t="shared" si="26"/>
        <v>13722.42</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4318.4799999999996</v>
      </c>
      <c r="I401" s="18"/>
      <c r="J401" s="23" t="s">
        <v>288</v>
      </c>
      <c r="K401" s="23" t="s">
        <v>288</v>
      </c>
      <c r="L401" s="13">
        <f t="shared" si="26"/>
        <v>4318.4799999999996</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31543.05</v>
      </c>
      <c r="I402" s="38">
        <f>SUM(I396:I401)</f>
        <v>0</v>
      </c>
      <c r="J402" s="42" t="s">
        <v>288</v>
      </c>
      <c r="K402" s="42" t="s">
        <v>288</v>
      </c>
      <c r="L402" s="38">
        <f>SUM(L396:L401)</f>
        <v>31543.05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31543.05</v>
      </c>
      <c r="I409" s="38">
        <f>I394+I402+I408</f>
        <v>0</v>
      </c>
      <c r="J409" s="23" t="s">
        <v>288</v>
      </c>
      <c r="K409" s="23" t="s">
        <v>288</v>
      </c>
      <c r="L409" s="38">
        <f>L394+L402+L408</f>
        <v>31543.05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461.33</v>
      </c>
      <c r="I423" s="18"/>
      <c r="J423" s="18"/>
      <c r="K423" s="18"/>
      <c r="L423" s="13">
        <f t="shared" si="29"/>
        <v>461.33</v>
      </c>
      <c r="M423" s="8"/>
      <c r="N423" s="164"/>
    </row>
    <row r="424" spans="1:21" s="3" customFormat="1" ht="12.2" customHeight="1" x14ac:dyDescent="0.15">
      <c r="A424" s="62" t="s">
        <v>515</v>
      </c>
      <c r="B424" s="6">
        <v>17</v>
      </c>
      <c r="C424" s="6">
        <v>10</v>
      </c>
      <c r="D424" s="2" t="s">
        <v>432</v>
      </c>
      <c r="E424" s="6"/>
      <c r="F424" s="18"/>
      <c r="G424" s="18"/>
      <c r="H424" s="18">
        <v>1933.79</v>
      </c>
      <c r="I424" s="18"/>
      <c r="J424" s="18"/>
      <c r="K424" s="18"/>
      <c r="L424" s="13">
        <f t="shared" si="29"/>
        <v>1933.79</v>
      </c>
      <c r="M424" s="8"/>
      <c r="N424" s="164"/>
    </row>
    <row r="425" spans="1:21" s="3" customFormat="1" ht="12.2" customHeight="1" x14ac:dyDescent="0.15">
      <c r="A425" s="62" t="s">
        <v>558</v>
      </c>
      <c r="B425" s="6">
        <v>17</v>
      </c>
      <c r="C425" s="6">
        <v>11</v>
      </c>
      <c r="D425" s="2" t="s">
        <v>432</v>
      </c>
      <c r="E425" s="6"/>
      <c r="F425" s="18"/>
      <c r="G425" s="18"/>
      <c r="H425" s="18">
        <v>2473.16</v>
      </c>
      <c r="I425" s="18"/>
      <c r="J425" s="18"/>
      <c r="K425" s="18">
        <v>30000</v>
      </c>
      <c r="L425" s="13">
        <f t="shared" si="29"/>
        <v>32473.16</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772</v>
      </c>
      <c r="I427" s="18"/>
      <c r="J427" s="18"/>
      <c r="K427" s="18">
        <v>18329.759999999998</v>
      </c>
      <c r="L427" s="13">
        <f t="shared" si="29"/>
        <v>19101.759999999998</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5640.28</v>
      </c>
      <c r="I428" s="38">
        <f t="shared" si="30"/>
        <v>0</v>
      </c>
      <c r="J428" s="38">
        <f t="shared" si="30"/>
        <v>0</v>
      </c>
      <c r="K428" s="38">
        <f t="shared" si="30"/>
        <v>48329.759999999995</v>
      </c>
      <c r="L428" s="38">
        <f t="shared" si="30"/>
        <v>53970.039999999994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5640.28</v>
      </c>
      <c r="I435" s="38">
        <f t="shared" si="32"/>
        <v>0</v>
      </c>
      <c r="J435" s="38">
        <f t="shared" si="32"/>
        <v>0</v>
      </c>
      <c r="K435" s="38">
        <f t="shared" si="32"/>
        <v>48329.759999999995</v>
      </c>
      <c r="L435" s="38">
        <f t="shared" si="32"/>
        <v>53970.039999999994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1101544.02</v>
      </c>
      <c r="G443" s="18"/>
      <c r="H443" s="18"/>
      <c r="I443" s="13">
        <f t="shared" si="33"/>
        <v>1101544.02</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1101544.02</v>
      </c>
      <c r="G447" s="13">
        <f>SUM(G440:G446)</f>
        <v>0</v>
      </c>
      <c r="H447" s="13">
        <f>SUM(H440:H446)</f>
        <v>0</v>
      </c>
      <c r="I447" s="13">
        <f>SUM(I440:I446)</f>
        <v>1101544.02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1101544.02</v>
      </c>
      <c r="G457" s="18"/>
      <c r="H457" s="18"/>
      <c r="I457" s="13">
        <f t="shared" si="34"/>
        <v>1101544.02</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1101544.02</v>
      </c>
      <c r="G461" s="65">
        <f>SUM(G455:G460)</f>
        <v>0</v>
      </c>
      <c r="H461" s="65">
        <f>SUM(H455:H460)</f>
        <v>0</v>
      </c>
      <c r="I461" s="65">
        <f>SUM(I455:I460)</f>
        <v>1101544.02</v>
      </c>
      <c r="J461" s="23" t="s">
        <v>288</v>
      </c>
      <c r="K461" s="23" t="s">
        <v>288</v>
      </c>
      <c r="L461" s="23" t="s">
        <v>288</v>
      </c>
      <c r="N461" s="130"/>
    </row>
    <row r="462" spans="1:86" ht="12.2" customHeight="1" thickTop="1" x14ac:dyDescent="0.2">
      <c r="A462" s="40" t="s">
        <v>424</v>
      </c>
      <c r="B462" s="41">
        <v>18</v>
      </c>
      <c r="C462" s="64">
        <v>21</v>
      </c>
      <c r="D462" s="114" t="s">
        <v>432</v>
      </c>
      <c r="E462" s="64"/>
      <c r="F462" s="39">
        <f>F453+F461</f>
        <v>1101544.02</v>
      </c>
      <c r="G462" s="39">
        <f>G453+G461</f>
        <v>0</v>
      </c>
      <c r="H462" s="39">
        <f>H453+H461</f>
        <v>0</v>
      </c>
      <c r="I462" s="39">
        <f>I453+I461</f>
        <v>1101544.02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35804.080000000002</v>
      </c>
      <c r="G466" s="18"/>
      <c r="H466" s="18"/>
      <c r="I466" s="18"/>
      <c r="J466" s="18">
        <v>1123971.01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8531251.2300000004</v>
      </c>
      <c r="G469" s="18">
        <v>109719.67999999999</v>
      </c>
      <c r="H469" s="18">
        <v>176357.65</v>
      </c>
      <c r="I469" s="18"/>
      <c r="J469" s="18">
        <v>31543.05</v>
      </c>
      <c r="K469" s="23" t="s">
        <v>288</v>
      </c>
      <c r="L469" s="23" t="s">
        <v>288</v>
      </c>
      <c r="N469" s="130"/>
    </row>
    <row r="470" spans="1:14" ht="12.2" customHeight="1" x14ac:dyDescent="0.2">
      <c r="A470" s="71" t="s">
        <v>611</v>
      </c>
      <c r="B470" s="22">
        <v>19</v>
      </c>
      <c r="C470" s="31">
        <v>3</v>
      </c>
      <c r="D470" s="2" t="s">
        <v>432</v>
      </c>
      <c r="E470" s="31"/>
      <c r="F470" s="18">
        <v>70367</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8601618.2300000004</v>
      </c>
      <c r="G471" s="19">
        <f>SUM(G469:G470)</f>
        <v>109719.67999999999</v>
      </c>
      <c r="H471" s="19">
        <f>SUM(H469:H470)</f>
        <v>176357.65</v>
      </c>
      <c r="I471" s="19">
        <f>SUM(I469:I470)</f>
        <v>0</v>
      </c>
      <c r="J471" s="19">
        <f>SUM(J469:J470)</f>
        <v>31543.05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8339282</v>
      </c>
      <c r="G473" s="18">
        <v>109719.67999999999</v>
      </c>
      <c r="H473" s="18">
        <v>176357.65</v>
      </c>
      <c r="I473" s="18"/>
      <c r="J473" s="18">
        <v>53970.04</v>
      </c>
      <c r="K473" s="23" t="s">
        <v>288</v>
      </c>
      <c r="L473" s="23" t="s">
        <v>288</v>
      </c>
      <c r="N473" s="130"/>
    </row>
    <row r="474" spans="1:14" ht="12.2" customHeight="1" x14ac:dyDescent="0.2">
      <c r="A474" s="71" t="s">
        <v>613</v>
      </c>
      <c r="B474" s="22">
        <v>19</v>
      </c>
      <c r="C474" s="31">
        <v>6</v>
      </c>
      <c r="D474" s="2" t="s">
        <v>432</v>
      </c>
      <c r="E474" s="31"/>
      <c r="F474" s="18">
        <v>0</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8339282</v>
      </c>
      <c r="G475" s="19">
        <f>SUM(G473:G474)</f>
        <v>109719.67999999999</v>
      </c>
      <c r="H475" s="19">
        <f>SUM(H473:H474)</f>
        <v>176357.65</v>
      </c>
      <c r="I475" s="19">
        <f>SUM(I473:I474)</f>
        <v>0</v>
      </c>
      <c r="J475" s="19">
        <f>SUM(J473:J474)</f>
        <v>53970.04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298140.31000000052</v>
      </c>
      <c r="G477" s="19">
        <f>(G466+G471)- G475</f>
        <v>0</v>
      </c>
      <c r="H477" s="19">
        <f>(H466+H471)- H475</f>
        <v>0</v>
      </c>
      <c r="I477" s="19">
        <f>(I466+I471)- I475</f>
        <v>0</v>
      </c>
      <c r="J477" s="19">
        <f>(J466+J471)- J475</f>
        <v>1101544.02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1845</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9</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1842</v>
      </c>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t="s">
        <v>1844</v>
      </c>
      <c r="H493" s="111"/>
      <c r="I493" s="111"/>
      <c r="J493" s="111"/>
      <c r="K493" s="23" t="s">
        <v>288</v>
      </c>
      <c r="L493" s="23" t="s">
        <v>288</v>
      </c>
      <c r="N493" s="130"/>
    </row>
    <row r="494" spans="1:14" ht="12.2" customHeight="1" x14ac:dyDescent="0.2">
      <c r="A494" s="21" t="s">
        <v>617</v>
      </c>
      <c r="B494" s="22">
        <v>20</v>
      </c>
      <c r="C494" s="22">
        <v>4</v>
      </c>
      <c r="D494" s="2" t="s">
        <v>432</v>
      </c>
      <c r="E494" s="22"/>
      <c r="F494" s="18">
        <v>2850000</v>
      </c>
      <c r="G494" s="18">
        <v>137628.18</v>
      </c>
      <c r="H494" s="18"/>
      <c r="I494" s="18"/>
      <c r="J494" s="18"/>
      <c r="K494" s="23" t="s">
        <v>288</v>
      </c>
      <c r="L494" s="23" t="s">
        <v>288</v>
      </c>
      <c r="N494" s="130"/>
    </row>
    <row r="495" spans="1:14" ht="12.2" customHeight="1" x14ac:dyDescent="0.2">
      <c r="A495" s="21" t="s">
        <v>618</v>
      </c>
      <c r="B495" s="22">
        <v>20</v>
      </c>
      <c r="C495" s="22">
        <v>5</v>
      </c>
      <c r="D495" s="2" t="s">
        <v>432</v>
      </c>
      <c r="E495" s="22"/>
      <c r="F495" s="18">
        <v>3.36</v>
      </c>
      <c r="G495" s="18">
        <v>2.65</v>
      </c>
      <c r="H495" s="18"/>
      <c r="I495" s="18"/>
      <c r="J495" s="18"/>
      <c r="K495" s="23" t="s">
        <v>288</v>
      </c>
      <c r="L495" s="23" t="s">
        <v>288</v>
      </c>
      <c r="N495" s="130"/>
    </row>
    <row r="496" spans="1:14" ht="12.2" customHeight="1" x14ac:dyDescent="0.2">
      <c r="A496" s="21" t="s">
        <v>619</v>
      </c>
      <c r="B496" s="22">
        <v>20</v>
      </c>
      <c r="C496" s="22">
        <v>6</v>
      </c>
      <c r="D496" s="2" t="s">
        <v>432</v>
      </c>
      <c r="E496" s="22"/>
      <c r="F496" s="18">
        <v>1860000</v>
      </c>
      <c r="G496" s="18">
        <v>66538.22</v>
      </c>
      <c r="H496" s="18"/>
      <c r="I496" s="18"/>
      <c r="J496" s="18"/>
      <c r="K496" s="19">
        <f>SUM(F496:J496)</f>
        <v>1926538.22</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125000</v>
      </c>
      <c r="G498" s="18">
        <v>19027.09</v>
      </c>
      <c r="H498" s="18"/>
      <c r="I498" s="18"/>
      <c r="J498" s="18"/>
      <c r="K498" s="19">
        <f t="shared" si="35"/>
        <v>144027.09</v>
      </c>
      <c r="L498" s="23" t="s">
        <v>288</v>
      </c>
      <c r="N498" s="130"/>
    </row>
    <row r="499" spans="1:14" ht="12.2" customHeight="1" x14ac:dyDescent="0.2">
      <c r="A499" s="143" t="s">
        <v>622</v>
      </c>
      <c r="B499" s="144">
        <v>20</v>
      </c>
      <c r="C499" s="144">
        <v>9</v>
      </c>
      <c r="D499" s="145" t="s">
        <v>432</v>
      </c>
      <c r="E499" s="144"/>
      <c r="F499" s="146">
        <v>1735000</v>
      </c>
      <c r="G499" s="146">
        <v>47566.62</v>
      </c>
      <c r="H499" s="146"/>
      <c r="I499" s="146"/>
      <c r="J499" s="146"/>
      <c r="K499" s="147">
        <f t="shared" si="35"/>
        <v>1782566.62</v>
      </c>
      <c r="L499" s="148" t="s">
        <v>288</v>
      </c>
      <c r="N499" s="130"/>
    </row>
    <row r="500" spans="1:14" ht="12.2" customHeight="1" thickBot="1" x14ac:dyDescent="0.25">
      <c r="A500" s="21" t="s">
        <v>623</v>
      </c>
      <c r="B500" s="22">
        <v>20</v>
      </c>
      <c r="C500" s="22">
        <v>10</v>
      </c>
      <c r="D500" s="2" t="s">
        <v>432</v>
      </c>
      <c r="E500" s="22"/>
      <c r="F500" s="18">
        <v>413632.5</v>
      </c>
      <c r="G500" s="18">
        <v>1763.25</v>
      </c>
      <c r="H500" s="18"/>
      <c r="I500" s="18"/>
      <c r="J500" s="18"/>
      <c r="K500" s="19">
        <f t="shared" si="35"/>
        <v>415395.75</v>
      </c>
      <c r="L500" s="23" t="s">
        <v>288</v>
      </c>
      <c r="N500" s="130"/>
    </row>
    <row r="501" spans="1:14" ht="12.2" customHeight="1" thickTop="1" x14ac:dyDescent="0.2">
      <c r="A501" s="97" t="s">
        <v>624</v>
      </c>
      <c r="B501" s="41">
        <v>20</v>
      </c>
      <c r="C501" s="41">
        <v>11</v>
      </c>
      <c r="D501" s="36" t="s">
        <v>432</v>
      </c>
      <c r="E501" s="41"/>
      <c r="F501" s="39">
        <f>SUM(F499:F500)</f>
        <v>2148632.5</v>
      </c>
      <c r="G501" s="39">
        <f>SUM(G499:G500)</f>
        <v>49329.87</v>
      </c>
      <c r="H501" s="39">
        <f>SUM(H499:H500)</f>
        <v>0</v>
      </c>
      <c r="I501" s="39">
        <f>SUM(I499:I500)</f>
        <v>0</v>
      </c>
      <c r="J501" s="39">
        <f>SUM(J499:J500)</f>
        <v>0</v>
      </c>
      <c r="K501" s="39">
        <f t="shared" si="35"/>
        <v>2197962.37</v>
      </c>
      <c r="L501" s="42" t="s">
        <v>288</v>
      </c>
      <c r="N501" s="130"/>
    </row>
    <row r="502" spans="1:14" ht="12.2" customHeight="1" x14ac:dyDescent="0.2">
      <c r="A502" s="143" t="s">
        <v>651</v>
      </c>
      <c r="B502" s="144">
        <v>20</v>
      </c>
      <c r="C502" s="144">
        <v>12</v>
      </c>
      <c r="D502" s="145" t="s">
        <v>432</v>
      </c>
      <c r="E502" s="144"/>
      <c r="F502" s="146">
        <v>130000</v>
      </c>
      <c r="G502" s="146">
        <v>19481.84</v>
      </c>
      <c r="H502" s="146"/>
      <c r="I502" s="146"/>
      <c r="J502" s="146"/>
      <c r="K502" s="147">
        <f t="shared" si="35"/>
        <v>149481.84</v>
      </c>
      <c r="L502" s="148" t="s">
        <v>288</v>
      </c>
      <c r="N502" s="130"/>
    </row>
    <row r="503" spans="1:14" ht="12.2" customHeight="1" thickBot="1" x14ac:dyDescent="0.25">
      <c r="A503" s="21" t="s">
        <v>625</v>
      </c>
      <c r="B503" s="22">
        <v>20</v>
      </c>
      <c r="C503" s="22">
        <v>13</v>
      </c>
      <c r="D503" s="2" t="s">
        <v>432</v>
      </c>
      <c r="E503" s="22"/>
      <c r="F503" s="18">
        <v>66370</v>
      </c>
      <c r="G503" s="18">
        <v>1132.6600000000001</v>
      </c>
      <c r="H503" s="18"/>
      <c r="I503" s="18"/>
      <c r="J503" s="18"/>
      <c r="K503" s="19">
        <f t="shared" si="35"/>
        <v>67502.66</v>
      </c>
      <c r="L503" s="23" t="s">
        <v>288</v>
      </c>
      <c r="N503" s="130"/>
    </row>
    <row r="504" spans="1:14" ht="12.2" customHeight="1" thickTop="1" x14ac:dyDescent="0.2">
      <c r="A504" s="97" t="s">
        <v>626</v>
      </c>
      <c r="B504" s="41">
        <v>20</v>
      </c>
      <c r="C504" s="41">
        <v>14</v>
      </c>
      <c r="D504" s="36" t="s">
        <v>432</v>
      </c>
      <c r="E504" s="41"/>
      <c r="F504" s="39">
        <f>SUM(F502:F503)</f>
        <v>196370</v>
      </c>
      <c r="G504" s="39">
        <f>SUM(G502:G503)</f>
        <v>20614.5</v>
      </c>
      <c r="H504" s="39">
        <f>SUM(H502:H503)</f>
        <v>0</v>
      </c>
      <c r="I504" s="39">
        <f>SUM(I502:I503)</f>
        <v>0</v>
      </c>
      <c r="J504" s="39">
        <f>SUM(J502:J503)</f>
        <v>0</v>
      </c>
      <c r="K504" s="39">
        <f t="shared" si="35"/>
        <v>216984.5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371998.86</v>
      </c>
      <c r="G522" s="18">
        <v>179314.48</v>
      </c>
      <c r="H522" s="18">
        <v>300376.28000000003</v>
      </c>
      <c r="I522" s="18">
        <v>12482.92</v>
      </c>
      <c r="J522" s="18">
        <v>4398</v>
      </c>
      <c r="K522" s="18"/>
      <c r="L522" s="69">
        <f>SUM(F522:K522)</f>
        <v>868570.54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139718.57999999999</v>
      </c>
      <c r="I524" s="18"/>
      <c r="J524" s="18"/>
      <c r="K524" s="18">
        <v>555</v>
      </c>
      <c r="L524" s="69">
        <f>SUM(F524:K524)</f>
        <v>140273.57999999999</v>
      </c>
      <c r="N524" s="130"/>
    </row>
    <row r="525" spans="1:14" ht="12.2" customHeight="1" thickTop="1" x14ac:dyDescent="0.2">
      <c r="A525" s="97" t="s">
        <v>63</v>
      </c>
      <c r="B525" s="41">
        <v>21</v>
      </c>
      <c r="C525" s="41">
        <v>4</v>
      </c>
      <c r="D525" s="115" t="s">
        <v>432</v>
      </c>
      <c r="E525" s="41"/>
      <c r="F525" s="81">
        <f>SUM(F522:F524)</f>
        <v>371998.86</v>
      </c>
      <c r="G525" s="81">
        <f t="shared" ref="G525:L525" si="36">SUM(G522:G524)</f>
        <v>179314.48</v>
      </c>
      <c r="H525" s="81">
        <f t="shared" si="36"/>
        <v>440094.86</v>
      </c>
      <c r="I525" s="81">
        <f t="shared" si="36"/>
        <v>12482.92</v>
      </c>
      <c r="J525" s="81">
        <f t="shared" si="36"/>
        <v>4398</v>
      </c>
      <c r="K525" s="81">
        <f t="shared" si="36"/>
        <v>555</v>
      </c>
      <c r="L525" s="70">
        <f t="shared" si="36"/>
        <v>1008844.12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44625</v>
      </c>
      <c r="G532" s="18">
        <v>29949.53</v>
      </c>
      <c r="H532" s="18"/>
      <c r="I532" s="18"/>
      <c r="J532" s="18"/>
      <c r="K532" s="18"/>
      <c r="L532" s="69">
        <f>SUM(F532:K532)</f>
        <v>74574.53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44625</v>
      </c>
      <c r="G534" s="18">
        <v>29949.53</v>
      </c>
      <c r="H534" s="18"/>
      <c r="I534" s="18"/>
      <c r="J534" s="18"/>
      <c r="K534" s="18"/>
      <c r="L534" s="69">
        <f>SUM(F534:K534)</f>
        <v>74574.53</v>
      </c>
      <c r="M534" s="8"/>
      <c r="N534" s="164"/>
    </row>
    <row r="535" spans="1:14" s="3" customFormat="1" ht="12.2" customHeight="1" thickTop="1" x14ac:dyDescent="0.15">
      <c r="A535" s="97" t="s">
        <v>67</v>
      </c>
      <c r="B535" s="41">
        <v>21</v>
      </c>
      <c r="C535" s="41">
        <v>12</v>
      </c>
      <c r="D535" s="115" t="s">
        <v>432</v>
      </c>
      <c r="E535" s="41"/>
      <c r="F535" s="70">
        <f>SUM(F532:F534)</f>
        <v>89250</v>
      </c>
      <c r="G535" s="70">
        <f t="shared" ref="G535:L535" si="38">SUM(G532:G534)</f>
        <v>59899.06</v>
      </c>
      <c r="H535" s="70">
        <f t="shared" si="38"/>
        <v>0</v>
      </c>
      <c r="I535" s="70">
        <f t="shared" si="38"/>
        <v>0</v>
      </c>
      <c r="J535" s="70">
        <f t="shared" si="38"/>
        <v>0</v>
      </c>
      <c r="K535" s="70">
        <f t="shared" si="38"/>
        <v>0</v>
      </c>
      <c r="L535" s="70">
        <f t="shared" si="38"/>
        <v>149149.06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1397.76</v>
      </c>
      <c r="I539" s="18"/>
      <c r="J539" s="18"/>
      <c r="K539" s="18"/>
      <c r="L539" s="69">
        <f>SUM(F539:K539)</f>
        <v>1397.76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1397.76</v>
      </c>
      <c r="I540" s="70">
        <f t="shared" si="39"/>
        <v>0</v>
      </c>
      <c r="J540" s="70">
        <f t="shared" si="39"/>
        <v>0</v>
      </c>
      <c r="K540" s="70">
        <f t="shared" si="39"/>
        <v>0</v>
      </c>
      <c r="L540" s="70">
        <f t="shared" si="39"/>
        <v>1397.76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2204.7199999999998</v>
      </c>
      <c r="I542" s="18"/>
      <c r="J542" s="18"/>
      <c r="K542" s="18"/>
      <c r="L542" s="69">
        <f>SUM(F542:K542)</f>
        <v>2204.7199999999998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2204.7199999999998</v>
      </c>
      <c r="I545" s="140">
        <f t="shared" si="40"/>
        <v>0</v>
      </c>
      <c r="J545" s="140">
        <f t="shared" si="40"/>
        <v>0</v>
      </c>
      <c r="K545" s="140">
        <f t="shared" si="40"/>
        <v>0</v>
      </c>
      <c r="L545" s="140">
        <f t="shared" si="40"/>
        <v>2204.7199999999998</v>
      </c>
      <c r="M545" s="8"/>
      <c r="N545" s="164"/>
    </row>
    <row r="546" spans="1:14" s="3" customFormat="1" ht="12.2" customHeight="1" thickTop="1" x14ac:dyDescent="0.15">
      <c r="A546" s="75" t="s">
        <v>72</v>
      </c>
      <c r="B546" s="41">
        <v>21</v>
      </c>
      <c r="C546" s="41">
        <v>21</v>
      </c>
      <c r="D546" s="115" t="s">
        <v>432</v>
      </c>
      <c r="E546" s="41"/>
      <c r="F546" s="70">
        <f>F525+F530+F535+F540+F545</f>
        <v>461248.86</v>
      </c>
      <c r="G546" s="70">
        <f t="shared" ref="G546:L546" si="41">G525+G530+G535+G540+G545</f>
        <v>239213.54</v>
      </c>
      <c r="H546" s="70">
        <f t="shared" si="41"/>
        <v>443697.33999999997</v>
      </c>
      <c r="I546" s="70">
        <f t="shared" si="41"/>
        <v>12482.92</v>
      </c>
      <c r="J546" s="70">
        <f t="shared" si="41"/>
        <v>4398</v>
      </c>
      <c r="K546" s="70">
        <f t="shared" si="41"/>
        <v>555</v>
      </c>
      <c r="L546" s="70">
        <f t="shared" si="41"/>
        <v>1161595.6599999999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868570.54</v>
      </c>
      <c r="G550" s="69">
        <f>L527</f>
        <v>0</v>
      </c>
      <c r="H550" s="69">
        <f>L532</f>
        <v>74574.53</v>
      </c>
      <c r="I550" s="69">
        <f>L537</f>
        <v>0</v>
      </c>
      <c r="J550" s="69">
        <f>L542</f>
        <v>2204.7199999999998</v>
      </c>
      <c r="K550" s="69">
        <f>SUM(F550:J550)</f>
        <v>945349.79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140273.57999999999</v>
      </c>
      <c r="G552" s="69">
        <f>L529</f>
        <v>0</v>
      </c>
      <c r="H552" s="69">
        <f>L534</f>
        <v>74574.53</v>
      </c>
      <c r="I552" s="69">
        <f>L539</f>
        <v>1397.76</v>
      </c>
      <c r="J552" s="69">
        <f>L544</f>
        <v>0</v>
      </c>
      <c r="K552" s="69">
        <f>SUM(F552:J552)</f>
        <v>216245.87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1008844.12</v>
      </c>
      <c r="G553" s="70">
        <f t="shared" si="42"/>
        <v>0</v>
      </c>
      <c r="H553" s="70">
        <f t="shared" si="42"/>
        <v>149149.06</v>
      </c>
      <c r="I553" s="70">
        <f t="shared" si="42"/>
        <v>1397.76</v>
      </c>
      <c r="J553" s="70">
        <f t="shared" si="42"/>
        <v>2204.7199999999998</v>
      </c>
      <c r="K553" s="70">
        <f t="shared" si="42"/>
        <v>1161595.6600000001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1763163.74</v>
      </c>
      <c r="I576" s="69">
        <f>SUM(F576:H576)</f>
        <v>1763163.74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364549</v>
      </c>
      <c r="I577" s="69">
        <f t="shared" ref="I577:I588" si="47">SUM(F577:H577)</f>
        <v>364549</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315</v>
      </c>
      <c r="G581" s="18"/>
      <c r="H581" s="18">
        <v>40422.870000000003</v>
      </c>
      <c r="I581" s="69">
        <f t="shared" si="47"/>
        <v>40737.870000000003</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92530</v>
      </c>
      <c r="I583" s="69">
        <f t="shared" si="47"/>
        <v>92530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89262.5</v>
      </c>
      <c r="I586" s="69">
        <f t="shared" si="47"/>
        <v>89262.5</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315</v>
      </c>
      <c r="G589" s="79">
        <f t="shared" ref="G589:I589" si="48">SUM(G576:G588)</f>
        <v>0</v>
      </c>
      <c r="H589" s="79">
        <f t="shared" si="48"/>
        <v>2349928.1100000003</v>
      </c>
      <c r="I589" s="79">
        <f t="shared" si="48"/>
        <v>2350243.1100000003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124315</v>
      </c>
      <c r="I592" s="18"/>
      <c r="J592" s="18"/>
      <c r="K592" s="80">
        <f t="shared" ref="K592:K598" si="49">SUM(H592:J592)</f>
        <v>124315</v>
      </c>
      <c r="L592" s="23" t="s">
        <v>288</v>
      </c>
      <c r="M592" s="8"/>
      <c r="N592" s="164"/>
    </row>
    <row r="593" spans="1:14" s="3" customFormat="1" ht="12.2" customHeight="1" x14ac:dyDescent="0.15">
      <c r="A593" s="3" t="s">
        <v>638</v>
      </c>
      <c r="B593" s="22">
        <v>23</v>
      </c>
      <c r="C593" s="22">
        <v>2</v>
      </c>
      <c r="D593" s="2" t="s">
        <v>432</v>
      </c>
      <c r="E593" s="22"/>
      <c r="F593" s="78">
        <v>2722</v>
      </c>
      <c r="G593" s="79" t="s">
        <v>97</v>
      </c>
      <c r="H593" s="18">
        <v>0</v>
      </c>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2800.66</v>
      </c>
      <c r="I596" s="18"/>
      <c r="J596" s="18"/>
      <c r="K596" s="80">
        <f t="shared" si="49"/>
        <v>2800.66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3897.88</v>
      </c>
      <c r="I598" s="18"/>
      <c r="J598" s="18"/>
      <c r="K598" s="80">
        <f t="shared" si="49"/>
        <v>3897.88</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131013.54000000001</v>
      </c>
      <c r="I599" s="81">
        <f>SUM(I592:I598)</f>
        <v>0</v>
      </c>
      <c r="J599" s="81">
        <f>SUM(J592:J598)</f>
        <v>0</v>
      </c>
      <c r="K599" s="81">
        <f>SUM(K592:K598)</f>
        <v>131013.54000000001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95629.42</v>
      </c>
      <c r="I605" s="18"/>
      <c r="J605" s="18"/>
      <c r="K605" s="80">
        <f>SUM(H605:J605)</f>
        <v>95629.42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95629.42</v>
      </c>
      <c r="I606" s="81">
        <f>SUM(I603:I605)</f>
        <v>0</v>
      </c>
      <c r="J606" s="81">
        <f>SUM(J603:J605)</f>
        <v>0</v>
      </c>
      <c r="K606" s="81">
        <f>SUM(K603:K605)</f>
        <v>95629.42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22722.57</v>
      </c>
      <c r="G612" s="18">
        <v>3904.04</v>
      </c>
      <c r="H612" s="18">
        <v>599.38</v>
      </c>
      <c r="I612" s="18"/>
      <c r="J612" s="18"/>
      <c r="K612" s="18"/>
      <c r="L612" s="69">
        <f>SUM(F612:K612)</f>
        <v>27225.99</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22722.57</v>
      </c>
      <c r="G615" s="81">
        <f t="shared" si="50"/>
        <v>3904.04</v>
      </c>
      <c r="H615" s="81">
        <f t="shared" si="50"/>
        <v>599.38</v>
      </c>
      <c r="I615" s="81">
        <f t="shared" si="50"/>
        <v>0</v>
      </c>
      <c r="J615" s="81">
        <f t="shared" si="50"/>
        <v>0</v>
      </c>
      <c r="K615" s="81">
        <f t="shared" si="50"/>
        <v>0</v>
      </c>
      <c r="L615" s="70">
        <f t="shared" si="50"/>
        <v>27225.99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374727.11999999994</v>
      </c>
      <c r="H618" s="80">
        <f>SUM(F52)</f>
        <v>374727.12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52486.879999999997</v>
      </c>
      <c r="H620" s="80">
        <f>SUM(H52)</f>
        <v>52486.879999999997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1101544.02</v>
      </c>
      <c r="H622" s="80">
        <f>SUM(J52)</f>
        <v>1101544.02</v>
      </c>
      <c r="I622" s="87" t="s">
        <v>875</v>
      </c>
      <c r="J622" s="80">
        <f>G622-H622</f>
        <v>0</v>
      </c>
      <c r="K622" s="80"/>
      <c r="L622" s="80"/>
      <c r="M622" s="8"/>
    </row>
    <row r="623" spans="1:14" s="3" customFormat="1" ht="12.2" customHeight="1" x14ac:dyDescent="0.15">
      <c r="A623" s="74"/>
      <c r="B623" s="22"/>
      <c r="C623" s="22"/>
      <c r="D623" s="22"/>
      <c r="E623" s="22"/>
      <c r="F623" s="87" t="s">
        <v>861</v>
      </c>
      <c r="G623" s="80">
        <f>F51</f>
        <v>298140.31</v>
      </c>
      <c r="H623" s="80">
        <f>F477</f>
        <v>298140.31000000052</v>
      </c>
      <c r="I623" s="87" t="s">
        <v>101</v>
      </c>
      <c r="J623" s="80">
        <f t="shared" ref="J623:J656" si="51">G623-H623</f>
        <v>-5.2386894822120667E-10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1101544.02</v>
      </c>
      <c r="H627" s="80">
        <f>J477</f>
        <v>1101544.02</v>
      </c>
      <c r="I627" s="87" t="s">
        <v>105</v>
      </c>
      <c r="J627" s="80">
        <f t="shared" si="51"/>
        <v>0</v>
      </c>
      <c r="K627" s="67"/>
      <c r="L627" s="69"/>
      <c r="M627" s="8"/>
    </row>
    <row r="628" spans="1:13" s="3" customFormat="1" ht="12.2" customHeight="1" x14ac:dyDescent="0.15">
      <c r="A628" s="21"/>
      <c r="B628" s="22"/>
      <c r="C628" s="22"/>
      <c r="D628" s="22"/>
      <c r="E628" s="22"/>
      <c r="F628" s="86" t="s">
        <v>658</v>
      </c>
      <c r="G628" s="80">
        <f>F194</f>
        <v>8531251.2300000004</v>
      </c>
      <c r="H628" s="80">
        <f>SUM(F469)</f>
        <v>8531251.2300000004</v>
      </c>
      <c r="I628" s="87" t="s">
        <v>106</v>
      </c>
      <c r="J628" s="80">
        <f>G628-H628</f>
        <v>0</v>
      </c>
      <c r="K628" s="67"/>
      <c r="L628" s="69"/>
      <c r="M628" s="8"/>
    </row>
    <row r="629" spans="1:13" s="3" customFormat="1" ht="12.2" customHeight="1" x14ac:dyDescent="0.15">
      <c r="A629" s="21"/>
      <c r="B629" s="22"/>
      <c r="C629" s="22"/>
      <c r="D629" s="22"/>
      <c r="E629" s="22"/>
      <c r="F629" s="86" t="s">
        <v>659</v>
      </c>
      <c r="G629" s="80">
        <f>G194</f>
        <v>109719.67999999999</v>
      </c>
      <c r="H629" s="80">
        <f>SUM(G469)</f>
        <v>109719.67999999999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176357.64999999997</v>
      </c>
      <c r="H630" s="80">
        <f>SUM(H469)</f>
        <v>176357.65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31543.05</v>
      </c>
      <c r="H632" s="80">
        <f>SUM(J469)</f>
        <v>31543.05</v>
      </c>
      <c r="I632" s="87" t="s">
        <v>110</v>
      </c>
      <c r="J632" s="80">
        <f>G632-H632</f>
        <v>0</v>
      </c>
      <c r="K632" s="67"/>
      <c r="L632" s="69"/>
      <c r="M632" s="8"/>
    </row>
    <row r="633" spans="1:13" s="3" customFormat="1" ht="12.2" customHeight="1" x14ac:dyDescent="0.15">
      <c r="A633" s="21"/>
      <c r="B633" s="22"/>
      <c r="C633" s="22"/>
      <c r="D633" s="22"/>
      <c r="E633" s="22"/>
      <c r="F633" s="86" t="s">
        <v>394</v>
      </c>
      <c r="G633" s="80">
        <f>SUM(L272)</f>
        <v>8339282</v>
      </c>
      <c r="H633" s="80">
        <f>SUM(F473)</f>
        <v>8339282</v>
      </c>
      <c r="I633" s="87" t="s">
        <v>111</v>
      </c>
      <c r="J633" s="80">
        <f t="shared" si="51"/>
        <v>0</v>
      </c>
      <c r="K633" s="67"/>
      <c r="L633" s="69"/>
      <c r="M633" s="8"/>
    </row>
    <row r="634" spans="1:13" s="3" customFormat="1" ht="12.2" customHeight="1" x14ac:dyDescent="0.15">
      <c r="A634" s="21"/>
      <c r="B634" s="22"/>
      <c r="C634" s="22"/>
      <c r="D634" s="22"/>
      <c r="E634" s="22"/>
      <c r="F634" s="86" t="s">
        <v>395</v>
      </c>
      <c r="G634" s="80">
        <f>SUM(L353)</f>
        <v>176357.65</v>
      </c>
      <c r="H634" s="80">
        <f>SUM(H473)</f>
        <v>176357.65</v>
      </c>
      <c r="I634" s="87" t="s">
        <v>112</v>
      </c>
      <c r="J634" s="80">
        <f>G634-H634</f>
        <v>0</v>
      </c>
      <c r="K634" s="67"/>
      <c r="L634" s="69"/>
      <c r="M634" s="8"/>
    </row>
    <row r="635" spans="1:13" s="124" customFormat="1" ht="12.2" customHeight="1" x14ac:dyDescent="0.15">
      <c r="A635" s="21"/>
      <c r="B635" s="22"/>
      <c r="C635" s="22"/>
      <c r="D635" s="22"/>
      <c r="E635" s="22"/>
      <c r="F635" s="99" t="s">
        <v>247</v>
      </c>
      <c r="G635" s="80">
        <f>I363</f>
        <v>698.68</v>
      </c>
      <c r="H635" s="80">
        <f>I370</f>
        <v>698.68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109719.67999999999</v>
      </c>
      <c r="H636" s="80">
        <f>SUM(G473)</f>
        <v>109719.67999999999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31543.05</v>
      </c>
      <c r="H638" s="108">
        <f>SUM(J469)</f>
        <v>31543.05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53970.039999999994</v>
      </c>
      <c r="H639" s="108">
        <f>SUM(J473)</f>
        <v>53970.04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1101544.02</v>
      </c>
      <c r="H640" s="80">
        <f>SUM(F462)</f>
        <v>1101544.02</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1101544.02</v>
      </c>
      <c r="H643" s="80">
        <f>SUM(I462)</f>
        <v>1101544.02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31543.05</v>
      </c>
      <c r="H645" s="80">
        <f>H409</f>
        <v>31543.05</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31543.05</v>
      </c>
      <c r="H647" s="80">
        <f>L409</f>
        <v>31543.05</v>
      </c>
      <c r="I647" s="87" t="s">
        <v>477</v>
      </c>
      <c r="J647" s="80">
        <f t="shared" si="51"/>
        <v>0</v>
      </c>
      <c r="K647" s="67"/>
      <c r="L647" s="69"/>
      <c r="M647" s="8"/>
    </row>
    <row r="648" spans="1:13" s="3" customFormat="1" ht="12.2" customHeight="1" x14ac:dyDescent="0.15">
      <c r="A648" s="21"/>
      <c r="B648" s="22"/>
      <c r="C648" s="22"/>
      <c r="D648" s="22"/>
      <c r="E648" s="22"/>
      <c r="F648" s="86" t="s">
        <v>51</v>
      </c>
      <c r="G648" s="80">
        <f>K599</f>
        <v>131013.54000000001</v>
      </c>
      <c r="H648" s="80">
        <f>L209+L227+L245</f>
        <v>131013.54000000001</v>
      </c>
      <c r="I648" s="87" t="s">
        <v>396</v>
      </c>
      <c r="J648" s="80">
        <f t="shared" si="51"/>
        <v>0</v>
      </c>
      <c r="K648" s="67"/>
      <c r="L648" s="69"/>
      <c r="M648" s="8"/>
    </row>
    <row r="649" spans="1:13" s="3" customFormat="1" ht="12.2" customHeight="1" x14ac:dyDescent="0.15">
      <c r="A649" s="21"/>
      <c r="B649" s="22"/>
      <c r="C649" s="22"/>
      <c r="D649" s="22"/>
      <c r="E649" s="22"/>
      <c r="F649" s="86" t="s">
        <v>52</v>
      </c>
      <c r="G649" s="80">
        <f>K606</f>
        <v>95629.42</v>
      </c>
      <c r="H649" s="80">
        <f>(J258+J339)-(J256+J337)</f>
        <v>95629.42</v>
      </c>
      <c r="I649" s="87" t="s">
        <v>699</v>
      </c>
      <c r="J649" s="80">
        <f t="shared" si="51"/>
        <v>0</v>
      </c>
      <c r="K649" s="67"/>
      <c r="L649" s="69"/>
      <c r="M649" s="8"/>
    </row>
    <row r="650" spans="1:13" s="3" customFormat="1" ht="12.2" customHeight="1" x14ac:dyDescent="0.15">
      <c r="A650" s="21"/>
      <c r="B650" s="22"/>
      <c r="C650" s="22"/>
      <c r="D650" s="22"/>
      <c r="E650" s="22"/>
      <c r="F650" s="86" t="s">
        <v>387</v>
      </c>
      <c r="G650" s="80">
        <f>L209</f>
        <v>131013.54000000001</v>
      </c>
      <c r="H650" s="80">
        <f>H599</f>
        <v>131013.54000000001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50987.08</v>
      </c>
      <c r="H653" s="80">
        <f>K264+K346</f>
        <v>50987.08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5914078.8300000001</v>
      </c>
      <c r="G661" s="13">
        <f>(L230+L310+L360)</f>
        <v>0</v>
      </c>
      <c r="H661" s="13">
        <f>(L248+L329+L361)</f>
        <v>2441806.42</v>
      </c>
      <c r="I661" s="13">
        <f>SUM(F661:H661)</f>
        <v>8355885.25</v>
      </c>
      <c r="J661" s="13"/>
      <c r="K661" s="13"/>
      <c r="L661" s="13"/>
      <c r="M661" s="9"/>
    </row>
    <row r="662" spans="1:13" s="3" customFormat="1" ht="12.2" customHeight="1" x14ac:dyDescent="0.2">
      <c r="A662" s="1" t="s">
        <v>127</v>
      </c>
      <c r="F662" s="13">
        <f>(L359/IF(SUM(L359:L361)=0,1,SUM(L359:L361))*(SUM(G97:G110)))</f>
        <v>58732.6</v>
      </c>
      <c r="G662" s="13">
        <f>(L360/IF(SUM(L359:L361)=0,1,SUM(L359:L361))*(SUM(G97:G110)))</f>
        <v>0</v>
      </c>
      <c r="H662" s="13">
        <f>(L361/IF(SUM(L359:L361)=0,1,SUM(L359:L361))*(SUM(G97:G110)))</f>
        <v>0</v>
      </c>
      <c r="I662" s="13">
        <f>SUM(F662:H662)</f>
        <v>58732.6</v>
      </c>
      <c r="J662"/>
      <c r="K662" s="13"/>
      <c r="L662" s="13"/>
      <c r="M662" s="8"/>
    </row>
    <row r="663" spans="1:13" s="3" customFormat="1" ht="12.2" customHeight="1" x14ac:dyDescent="0.2">
      <c r="A663" s="1" t="s">
        <v>128</v>
      </c>
      <c r="F663" s="13">
        <f>(L209+L288)-(J209+J288)</f>
        <v>131013.54000000001</v>
      </c>
      <c r="G663" s="13">
        <f>(L227+L307)-(J227+J307)</f>
        <v>0</v>
      </c>
      <c r="H663" s="13">
        <f>(L245+L326)-(J245+J326)</f>
        <v>0</v>
      </c>
      <c r="I663" s="13">
        <f>SUM(F663:H663)</f>
        <v>131013.54000000001</v>
      </c>
      <c r="J663"/>
      <c r="K663" s="13"/>
      <c r="L663" s="13"/>
      <c r="M663" s="9"/>
    </row>
    <row r="664" spans="1:13" s="3" customFormat="1" ht="12.2" customHeight="1" x14ac:dyDescent="0.15">
      <c r="A664" s="141" t="s">
        <v>129</v>
      </c>
      <c r="B664" s="124"/>
      <c r="C664" s="124"/>
      <c r="D664" s="124"/>
      <c r="E664" s="124"/>
      <c r="F664" s="142">
        <f>SUM(F576:F588)+SUM(H603:H605)+SUM(L612)</f>
        <v>123170.41</v>
      </c>
      <c r="G664" s="142">
        <f>SUM(G576:G588)+SUM(I603:I605)+L613</f>
        <v>0</v>
      </c>
      <c r="H664" s="142">
        <f>SUM(H576:H588)+SUM(J603:J605)+L614</f>
        <v>2349928.1100000003</v>
      </c>
      <c r="I664" s="13">
        <f>SUM(F664:H664)</f>
        <v>2473098.5200000005</v>
      </c>
      <c r="J664" s="13"/>
      <c r="K664" s="13"/>
      <c r="L664" s="13"/>
      <c r="M664" s="9"/>
    </row>
    <row r="665" spans="1:13" s="3" customFormat="1" ht="12.2" customHeight="1" x14ac:dyDescent="0.15">
      <c r="A665" s="1" t="s">
        <v>130</v>
      </c>
      <c r="F665" s="13">
        <f>F661-SUM(F662:F664)</f>
        <v>5601162.2800000003</v>
      </c>
      <c r="G665" s="13">
        <f>G661-SUM(G662:G664)</f>
        <v>0</v>
      </c>
      <c r="H665" s="13">
        <f>H661-SUM(H662:H664)</f>
        <v>91878.30999999959</v>
      </c>
      <c r="I665" s="13">
        <f>I661-SUM(I662:I664)</f>
        <v>5693040.5899999999</v>
      </c>
      <c r="J665" s="13"/>
      <c r="K665" s="13"/>
      <c r="L665" s="13"/>
      <c r="M665" s="8"/>
    </row>
    <row r="666" spans="1:13" s="3" customFormat="1" ht="12.2" customHeight="1" x14ac:dyDescent="0.2">
      <c r="A666" s="1" t="s">
        <v>131</v>
      </c>
      <c r="F666" s="182">
        <v>193.56</v>
      </c>
      <c r="G666" s="183"/>
      <c r="H666" s="183"/>
      <c r="I666" s="13">
        <f>SUM(F666:H666)</f>
        <v>193.56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28937.599999999999</v>
      </c>
      <c r="G668" s="13" t="e">
        <f>ROUND(G665/G666,2)</f>
        <v>#DIV/0!</v>
      </c>
      <c r="H668" s="13" t="e">
        <f>ROUND(H665/H666,2)</f>
        <v>#DIV/0!</v>
      </c>
      <c r="I668" s="13">
        <f>ROUND(I665/I666,2)</f>
        <v>29412.28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-91878.30999999959</v>
      </c>
      <c r="I670" s="13">
        <f>SUM(F670:H670)</f>
        <v>-91878.30999999959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28937.599999999999</v>
      </c>
      <c r="G673" s="13" t="e">
        <f>ROUND((G665+G670)/(G666+G671),2)</f>
        <v>#DIV/0!</v>
      </c>
      <c r="H673" s="13" t="e">
        <f>ROUND((H665+H670)/(H666+H671),2)</f>
        <v>#DIV/0!</v>
      </c>
      <c r="I673" s="13">
        <f>ROUND((I665+I670)/(I666+I671),2)</f>
        <v>28937.599999999999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3" zoomScaleNormal="100" workbookViewId="0">
      <selection activeCell="A3" sqref="A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7993.81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5463.81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v>2530</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47705.08</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Lyme</v>
      </c>
      <c r="C5" s="321"/>
      <c r="D5" s="321"/>
      <c r="E5" s="321"/>
      <c r="F5" s="321"/>
    </row>
    <row r="8" spans="1:9" ht="18" x14ac:dyDescent="0.25">
      <c r="A8" s="239" t="s">
        <v>1548</v>
      </c>
      <c r="F8" s="246" t="s">
        <v>1566</v>
      </c>
    </row>
    <row r="9" spans="1:9" ht="15" x14ac:dyDescent="0.2">
      <c r="A9" s="237" t="s">
        <v>1549</v>
      </c>
      <c r="B9" s="240">
        <f>'DOE25'!G97</f>
        <v>58732.6</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58732.6</v>
      </c>
    </row>
    <row r="16" spans="1:9" ht="18" x14ac:dyDescent="0.25">
      <c r="A16" s="239" t="s">
        <v>783</v>
      </c>
      <c r="F16" s="246" t="s">
        <v>1567</v>
      </c>
    </row>
    <row r="17" spans="1:6" ht="15" x14ac:dyDescent="0.2">
      <c r="A17" s="237" t="s">
        <v>1554</v>
      </c>
      <c r="B17" s="240">
        <f>'DOE25'!L363-'DOE25'!L362</f>
        <v>109719.67999999999</v>
      </c>
      <c r="F17" s="237" t="s">
        <v>1568</v>
      </c>
    </row>
    <row r="18" spans="1:6" ht="15" x14ac:dyDescent="0.2">
      <c r="A18" s="237" t="s">
        <v>1555</v>
      </c>
      <c r="B18" s="250"/>
      <c r="F18" s="246" t="s">
        <v>1592</v>
      </c>
    </row>
    <row r="19" spans="1:6" ht="18" x14ac:dyDescent="0.25">
      <c r="A19" s="239" t="s">
        <v>725</v>
      </c>
      <c r="B19" s="241">
        <f>SUM(B17:B18)</f>
        <v>109719.67999999999</v>
      </c>
    </row>
    <row r="21" spans="1:6" ht="18.75" thickBot="1" x14ac:dyDescent="0.3">
      <c r="A21" s="239" t="s">
        <v>1556</v>
      </c>
    </row>
    <row r="22" spans="1:6" ht="18.75" thickTop="1" x14ac:dyDescent="0.25">
      <c r="A22" s="239" t="s">
        <v>1557</v>
      </c>
      <c r="B22" s="245">
        <f>B14-B19</f>
        <v>-50987.079999999994</v>
      </c>
      <c r="F22" s="237" t="s">
        <v>1569</v>
      </c>
    </row>
    <row r="26" spans="1:6" ht="18" x14ac:dyDescent="0.25">
      <c r="A26" s="239" t="s">
        <v>186</v>
      </c>
    </row>
    <row r="27" spans="1:6" ht="15" x14ac:dyDescent="0.2">
      <c r="A27" s="237" t="s">
        <v>1558</v>
      </c>
      <c r="B27" s="240">
        <f>'DOE25'!G180</f>
        <v>50987.08</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Lyme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1695637.7</v>
      </c>
      <c r="C9" s="166">
        <f>'DOE25'!G198+'DOE25'!G216+'DOE25'!G234+'DOE25'!G277+'DOE25'!G296+'DOE25'!G315</f>
        <v>992026.70000000007</v>
      </c>
    </row>
    <row r="10" spans="1:3" x14ac:dyDescent="0.2">
      <c r="A10" t="s">
        <v>772</v>
      </c>
      <c r="B10" s="176">
        <v>1549835.62</v>
      </c>
      <c r="C10" s="176">
        <v>915155.91</v>
      </c>
    </row>
    <row r="11" spans="1:3" x14ac:dyDescent="0.2">
      <c r="A11" t="s">
        <v>773</v>
      </c>
      <c r="B11" s="176">
        <v>103507.44</v>
      </c>
      <c r="C11" s="176">
        <v>38457.160000000003</v>
      </c>
    </row>
    <row r="12" spans="1:3" x14ac:dyDescent="0.2">
      <c r="A12" t="s">
        <v>774</v>
      </c>
      <c r="B12" s="176">
        <v>42294.64</v>
      </c>
      <c r="C12" s="176">
        <v>38413.629999999997</v>
      </c>
    </row>
    <row r="13" spans="1:3" x14ac:dyDescent="0.2">
      <c r="A13" t="str">
        <f>IF(B9=B13,IF(C9=C13,"Check Total OK","Check Total Error"),"Check Total Error")</f>
        <v>Check Total OK</v>
      </c>
      <c r="B13" s="168">
        <f>SUM(B10:B12)</f>
        <v>1695637.7</v>
      </c>
      <c r="C13" s="168">
        <f>SUM(C10:C12)</f>
        <v>992026.70000000007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416623.86</v>
      </c>
      <c r="C18" s="166">
        <f>'DOE25'!G199+'DOE25'!G217+'DOE25'!G235+'DOE25'!G278+'DOE25'!G297+'DOE25'!G316</f>
        <v>201128.21</v>
      </c>
    </row>
    <row r="19" spans="1:3" x14ac:dyDescent="0.2">
      <c r="A19" t="s">
        <v>772</v>
      </c>
      <c r="B19" s="176">
        <v>211121</v>
      </c>
      <c r="C19" s="176">
        <v>128901.34</v>
      </c>
    </row>
    <row r="20" spans="1:3" x14ac:dyDescent="0.2">
      <c r="A20" t="s">
        <v>773</v>
      </c>
      <c r="B20" s="176">
        <v>160877.85999999999</v>
      </c>
      <c r="C20" s="176">
        <v>42277.34</v>
      </c>
    </row>
    <row r="21" spans="1:3" x14ac:dyDescent="0.2">
      <c r="A21" t="s">
        <v>774</v>
      </c>
      <c r="B21" s="176">
        <v>44625</v>
      </c>
      <c r="C21" s="176">
        <v>29949.53</v>
      </c>
    </row>
    <row r="22" spans="1:3" x14ac:dyDescent="0.2">
      <c r="A22" t="str">
        <f>IF(B18=B22,IF(C18=C22,"Check Total OK","Check Total Error"),"Check Total Error")</f>
        <v>Check Total OK</v>
      </c>
      <c r="B22" s="168">
        <f>SUM(B19:B21)</f>
        <v>416623.86</v>
      </c>
      <c r="C22" s="168">
        <f>SUM(C19:C21)</f>
        <v>201128.21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Lyme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5908523.4100000001</v>
      </c>
      <c r="D5" s="19">
        <f>SUM('DOE25'!L198:L201)+SUM('DOE25'!L216:L219)+SUM('DOE25'!L234:L237)-F5-G5-H5</f>
        <v>5869083.0099999998</v>
      </c>
      <c r="E5" s="179"/>
      <c r="F5" s="180"/>
      <c r="G5" s="19">
        <f>SUM('DOE25'!J198:J201)+SUM('DOE25'!J216:J219)+SUM('DOE25'!J234:J237)</f>
        <v>38885.4</v>
      </c>
      <c r="H5" s="19">
        <f>SUM('DOE25'!K198:K201)+SUM('DOE25'!K216:K219)+SUM('DOE25'!K234:K237)</f>
        <v>555</v>
      </c>
      <c r="I5" s="191"/>
    </row>
    <row r="6" spans="1:9" x14ac:dyDescent="0.2">
      <c r="A6" s="31">
        <v>2100</v>
      </c>
      <c r="B6" t="s">
        <v>793</v>
      </c>
      <c r="C6" s="205">
        <f t="shared" si="0"/>
        <v>335517.95</v>
      </c>
      <c r="D6" s="19">
        <f>'DOE25'!L203+'DOE25'!L221+'DOE25'!L239-F6-G6-H6</f>
        <v>335517.95</v>
      </c>
      <c r="E6" s="179"/>
      <c r="F6" s="180"/>
      <c r="G6" s="19">
        <f>'DOE25'!J203+'DOE25'!J221+'DOE25'!J239</f>
        <v>0</v>
      </c>
      <c r="H6" s="19">
        <f>'DOE25'!K203+'DOE25'!K221+'DOE25'!K239</f>
        <v>0</v>
      </c>
      <c r="I6" s="191"/>
    </row>
    <row r="7" spans="1:9" x14ac:dyDescent="0.2">
      <c r="A7" s="31">
        <v>2200</v>
      </c>
      <c r="B7" t="s">
        <v>817</v>
      </c>
      <c r="C7" s="205">
        <f t="shared" si="0"/>
        <v>112987.90999999999</v>
      </c>
      <c r="D7" s="19">
        <f>'DOE25'!L204+'DOE25'!L222+'DOE25'!L240-F7-G7-H7</f>
        <v>112987.90999999999</v>
      </c>
      <c r="E7" s="179"/>
      <c r="F7" s="180"/>
      <c r="G7" s="19">
        <f>'DOE25'!J204+'DOE25'!J222+'DOE25'!J240</f>
        <v>0</v>
      </c>
      <c r="H7" s="19">
        <f>'DOE25'!K204+'DOE25'!K222+'DOE25'!K240</f>
        <v>0</v>
      </c>
      <c r="I7" s="191"/>
    </row>
    <row r="8" spans="1:9" x14ac:dyDescent="0.2">
      <c r="A8" s="31">
        <v>2300</v>
      </c>
      <c r="B8" t="s">
        <v>794</v>
      </c>
      <c r="C8" s="205">
        <f t="shared" si="0"/>
        <v>397174.07000000007</v>
      </c>
      <c r="D8" s="179"/>
      <c r="E8" s="19">
        <f>'DOE25'!L205+'DOE25'!L223+'DOE25'!L241-F8-G8-H8-D9-D11</f>
        <v>379751.54000000004</v>
      </c>
      <c r="F8" s="180"/>
      <c r="G8" s="19">
        <f>'DOE25'!J205+'DOE25'!J223+'DOE25'!J241</f>
        <v>12768.57</v>
      </c>
      <c r="H8" s="19">
        <f>'DOE25'!K205+'DOE25'!K223+'DOE25'!K241</f>
        <v>4653.96</v>
      </c>
      <c r="I8" s="191"/>
    </row>
    <row r="9" spans="1:9" ht="14.25" x14ac:dyDescent="0.2">
      <c r="A9" s="31">
        <v>2310</v>
      </c>
      <c r="B9" s="71" t="s">
        <v>884</v>
      </c>
      <c r="C9" s="205">
        <f t="shared" si="0"/>
        <v>64210.84</v>
      </c>
      <c r="D9" s="180">
        <v>64210.84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489668.19999999995</v>
      </c>
      <c r="D12" s="19">
        <f>'DOE25'!L206+'DOE25'!L224+'DOE25'!L242-F12-G12-H12</f>
        <v>488224.22</v>
      </c>
      <c r="E12" s="179"/>
      <c r="F12" s="180"/>
      <c r="G12" s="19">
        <f>'DOE25'!J206+'DOE25'!J224+'DOE25'!J242</f>
        <v>0</v>
      </c>
      <c r="H12" s="19">
        <f>'DOE25'!K206+'DOE25'!K224+'DOE25'!K242</f>
        <v>1443.98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630712</v>
      </c>
      <c r="D14" s="19">
        <f>'DOE25'!L208+'DOE25'!L226+'DOE25'!L244-F14-G14-H14</f>
        <v>613222.07999999996</v>
      </c>
      <c r="E14" s="179"/>
      <c r="F14" s="180"/>
      <c r="G14" s="19">
        <f>'DOE25'!J208+'DOE25'!J226+'DOE25'!J244</f>
        <v>17489.919999999998</v>
      </c>
      <c r="H14" s="19">
        <f>'DOE25'!K208+'DOE25'!K226+'DOE25'!K244</f>
        <v>0</v>
      </c>
      <c r="I14" s="191"/>
    </row>
    <row r="15" spans="1:9" x14ac:dyDescent="0.2">
      <c r="A15" s="31">
        <v>2700</v>
      </c>
      <c r="B15" t="s">
        <v>796</v>
      </c>
      <c r="C15" s="205">
        <f t="shared" si="0"/>
        <v>131013.54000000001</v>
      </c>
      <c r="D15" s="19">
        <f>'DOE25'!L209+'DOE25'!L227+'DOE25'!L245-F15-G15-H15</f>
        <v>131013.54000000001</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218487</v>
      </c>
      <c r="D25" s="179"/>
      <c r="E25" s="179"/>
      <c r="F25" s="190"/>
      <c r="G25" s="179"/>
      <c r="H25" s="179"/>
      <c r="I25" s="189">
        <f>'DOE25'!L261+'DOE25'!L262+'DOE25'!L342+'DOE25'!L343</f>
        <v>218487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109708.87999999999</v>
      </c>
      <c r="D29" s="211">
        <f>'DOE25'!L359+'DOE25'!L360+'DOE25'!L361-'DOE25'!I368-F29-G29-H29-F39</f>
        <v>109708.87999999999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176357.65</v>
      </c>
      <c r="D31" s="19">
        <f>'DOE25'!L291+'DOE25'!L310+'DOE25'!L329+'DOE25'!L334+'DOE25'!L335+'DOE25'!L336-F31-G31-H31</f>
        <v>149872.12</v>
      </c>
      <c r="E31" s="179"/>
      <c r="F31" s="180"/>
      <c r="G31" s="19">
        <f>'DOE25'!J291+'DOE25'!J310+'DOE25'!J329+'DOE25'!J334+'DOE25'!J335+'DOE25'!J336</f>
        <v>26485.53</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7873840.5499999998</v>
      </c>
      <c r="E33" s="181">
        <f t="shared" si="1"/>
        <v>379751.54000000004</v>
      </c>
      <c r="F33" s="181">
        <f t="shared" si="1"/>
        <v>0</v>
      </c>
      <c r="G33" s="181">
        <f t="shared" si="1"/>
        <v>95629.42</v>
      </c>
      <c r="H33" s="181">
        <f t="shared" si="1"/>
        <v>6652.9400000000005</v>
      </c>
      <c r="I33" s="181">
        <f t="shared" si="1"/>
        <v>218487</v>
      </c>
    </row>
    <row r="34" spans="1:9" ht="12" thickBot="1" x14ac:dyDescent="0.25"/>
    <row r="35" spans="1:9" ht="12" thickBot="1" x14ac:dyDescent="0.25">
      <c r="B35" s="187" t="s">
        <v>827</v>
      </c>
      <c r="D35" s="188">
        <f>E33</f>
        <v>379751.54000000004</v>
      </c>
      <c r="E35" s="184"/>
      <c r="F35" s="294" t="s">
        <v>1596</v>
      </c>
      <c r="G35" s="295"/>
      <c r="H35" s="295"/>
      <c r="I35" s="296"/>
    </row>
    <row r="36" spans="1:9" ht="12" thickTop="1" x14ac:dyDescent="0.2">
      <c r="B36" t="s">
        <v>807</v>
      </c>
      <c r="D36" s="19">
        <f>D33</f>
        <v>7873840.5499999998</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 zoomScale="75" zoomScaleNormal="75" workbookViewId="0">
      <selection activeCell="A13" sqref="A1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Lyme</v>
      </c>
      <c r="B2">
        <f>'DOE25'!B2</f>
        <v>327</v>
      </c>
      <c r="J2" s="223" t="s">
        <v>1799</v>
      </c>
      <c r="K2" s="308">
        <f>SUM('DOE25'!L198:L201)+SUM('DOE25'!L277:L280)</f>
        <v>3589850.0799999996</v>
      </c>
      <c r="L2" s="308">
        <f>'DOE25'!L203+'DOE25'!L282</f>
        <v>399740.88</v>
      </c>
      <c r="M2" s="308">
        <f>'DOE25'!L204+'DOE25'!L283</f>
        <v>119921.71999999999</v>
      </c>
      <c r="N2" s="308">
        <f>'DOE25'!L206+'DOE25'!L285</f>
        <v>415093.67</v>
      </c>
      <c r="O2" s="316">
        <f>'Salaries-Benefits'!B10+'Salaries-Benefits'!B12+'Salaries-Benefits'!B19+'Salaries-Benefits'!B21+'Salaries-Benefits'!B28+'Salaries-Benefits'!B30+'Salaries-Benefits'!B37+'Salaries-Benefits'!B39</f>
        <v>1847876.26</v>
      </c>
      <c r="P2" s="316">
        <f>'Salaries-Benefits'!B11+'Salaries-Benefits'!B20+'Salaries-Benefits'!B29+'Salaries-Benefits'!B38</f>
        <v>264385.3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5804359.1500000004</v>
      </c>
      <c r="G4" s="228">
        <f>'DOE25'!L212+'DOE25'!L291</f>
        <v>5804359.1500000004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315</v>
      </c>
      <c r="E5" s="219"/>
      <c r="F5" s="231">
        <f>D5+E5</f>
        <v>315</v>
      </c>
      <c r="G5" s="222"/>
      <c r="H5" s="222"/>
      <c r="J5" s="71" t="s">
        <v>1840</v>
      </c>
      <c r="K5" s="20"/>
      <c r="L5" s="20"/>
      <c r="M5" s="20"/>
      <c r="N5" s="20"/>
      <c r="O5" s="20"/>
      <c r="P5" s="20"/>
      <c r="Q5" s="20"/>
    </row>
    <row r="6" spans="1:22" x14ac:dyDescent="0.2">
      <c r="A6" t="str" cm="1">
        <f t="array" ref="A6">IFERROR(INDEX('School Tables'!$A$4:$G$365,'School Tables'!$J4,3),"")</f>
        <v>Lyme Elementary School</v>
      </c>
      <c r="B6" s="229">
        <f>IFERROR(VLOOKUP(A6,'School Tables'!$C$3:$D$365,2,FALSE),"")</f>
        <v>20835</v>
      </c>
      <c r="C6" s="222" t="str">
        <f>IFERROR(INDEX('School Tables'!$B$3:$B$365,MATCH('School Level Expenditures'!B6,'School Tables'!$D$3:$D$365,0)),"")</f>
        <v>Lyme</v>
      </c>
      <c r="D6" s="219">
        <v>5627686.5</v>
      </c>
      <c r="E6" s="219">
        <v>176357.65</v>
      </c>
      <c r="F6" s="231">
        <f t="shared" ref="F6:F20" si="2">D6+E6</f>
        <v>5804044.1500000004</v>
      </c>
      <c r="G6" s="222"/>
      <c r="H6" s="222"/>
      <c r="J6" t="str">
        <f t="shared" ref="J6:J20" si="3">A6</f>
        <v>Lyme Elementary School</v>
      </c>
      <c r="K6" s="20">
        <v>3589850.08</v>
      </c>
      <c r="L6" s="20">
        <v>399740.88</v>
      </c>
      <c r="M6" s="307">
        <v>119921.72</v>
      </c>
      <c r="N6" s="20">
        <v>415093.67</v>
      </c>
      <c r="O6" s="20">
        <v>1847876.26</v>
      </c>
      <c r="P6" s="20">
        <v>264385.3</v>
      </c>
      <c r="Q6" s="20">
        <v>28550.71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5628001.5</v>
      </c>
      <c r="E21" s="261">
        <f>SUM(E5:E20)</f>
        <v>176357.65</v>
      </c>
      <c r="F21" s="216"/>
      <c r="G21" s="216"/>
      <c r="H21" s="216"/>
      <c r="K21" s="262">
        <f t="shared" ref="K21:Q21" si="4">SUM(K5:K20)</f>
        <v>3589850.08</v>
      </c>
      <c r="L21" s="262">
        <f t="shared" si="4"/>
        <v>399740.88</v>
      </c>
      <c r="M21" s="262">
        <f t="shared" si="4"/>
        <v>119921.72</v>
      </c>
      <c r="N21" s="262">
        <f t="shared" si="4"/>
        <v>415093.67</v>
      </c>
      <c r="O21" s="262">
        <f t="shared" si="4"/>
        <v>1847876.26</v>
      </c>
      <c r="P21" s="262">
        <f t="shared" si="4"/>
        <v>264385.3</v>
      </c>
      <c r="Q21" s="262">
        <f t="shared" si="4"/>
        <v>28550.71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2367231.89</v>
      </c>
      <c r="L36" s="19">
        <f>'DOE25'!L239+'DOE25'!L320</f>
        <v>0</v>
      </c>
      <c r="M36" s="19">
        <f>'DOE25'!L240+'DOE25'!L321</f>
        <v>0</v>
      </c>
      <c r="N36" s="19">
        <f>'DOE25'!L242+'DOE25'!L323</f>
        <v>74574.53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2441806.42</v>
      </c>
      <c r="G38" s="228">
        <f>'DOE25'!L248+'DOE25'!L329</f>
        <v>2441806.42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2441806.42</v>
      </c>
      <c r="E39" s="219">
        <v>0</v>
      </c>
      <c r="F39" s="231">
        <f t="shared" ref="F39:F44" si="10">D39+E39</f>
        <v>2441806.42</v>
      </c>
      <c r="G39" s="222"/>
      <c r="H39" s="222"/>
      <c r="J39" s="71" t="s">
        <v>1840</v>
      </c>
      <c r="K39" s="315">
        <v>2367231.89</v>
      </c>
      <c r="L39" s="315"/>
      <c r="M39" s="315"/>
      <c r="N39" s="315">
        <v>74574.53</v>
      </c>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2441806.42</v>
      </c>
      <c r="E45" s="262">
        <f>SUM(E39:E44)</f>
        <v>0</v>
      </c>
      <c r="K45" s="262">
        <f t="shared" ref="K45:Q45" si="11">SUM(K39:K44)</f>
        <v>2367231.89</v>
      </c>
      <c r="L45" s="262">
        <f t="shared" si="11"/>
        <v>0</v>
      </c>
      <c r="M45" s="262">
        <f t="shared" si="11"/>
        <v>0</v>
      </c>
      <c r="N45" s="262">
        <f t="shared" si="11"/>
        <v>74574.53</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9"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Lyme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-191824.2</v>
      </c>
      <c r="D8" s="73">
        <f>'DOE25'!G9</f>
        <v>0</v>
      </c>
      <c r="E8" s="73">
        <f>'DOE25'!H9</f>
        <v>0</v>
      </c>
      <c r="F8" s="73">
        <f>'DOE25'!I9</f>
        <v>0</v>
      </c>
      <c r="G8" s="73">
        <f>'DOE25'!J9</f>
        <v>0</v>
      </c>
      <c r="H8" s="13">
        <f>SUM(C8:G8)</f>
        <v>-191824.2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565551.31999999995</v>
      </c>
      <c r="D11" s="73">
        <f>'DOE25'!G12</f>
        <v>0</v>
      </c>
      <c r="E11" s="73">
        <f>'DOE25'!H12</f>
        <v>52486.879999999997</v>
      </c>
      <c r="F11" s="73">
        <f>'DOE25'!I12</f>
        <v>0</v>
      </c>
      <c r="G11" s="73">
        <f>'DOE25'!J12</f>
        <v>0</v>
      </c>
      <c r="H11" s="13">
        <f t="shared" si="0"/>
        <v>618038.19999999995</v>
      </c>
      <c r="I11" s="90"/>
    </row>
    <row r="12" spans="1:9" x14ac:dyDescent="0.2">
      <c r="A12" s="1" t="s">
        <v>143</v>
      </c>
      <c r="B12" s="6">
        <v>140</v>
      </c>
      <c r="C12" s="73">
        <f>'DOE25'!F13</f>
        <v>0</v>
      </c>
      <c r="D12" s="73">
        <f>'DOE25'!G13</f>
        <v>0</v>
      </c>
      <c r="E12" s="73">
        <f>'DOE25'!H13</f>
        <v>0</v>
      </c>
      <c r="F12" s="73">
        <f>'DOE25'!I13</f>
        <v>0</v>
      </c>
      <c r="G12" s="73">
        <f>'DOE25'!J13</f>
        <v>1101544.02</v>
      </c>
      <c r="H12" s="13">
        <f t="shared" si="0"/>
        <v>1101544.02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1000</v>
      </c>
      <c r="D17" s="73">
        <f>'DOE25'!G18</f>
        <v>0</v>
      </c>
      <c r="E17" s="73">
        <f>'DOE25'!H18</f>
        <v>0</v>
      </c>
      <c r="F17" s="73">
        <f>'DOE25'!I18</f>
        <v>0</v>
      </c>
      <c r="G17" s="73">
        <f>'DOE25'!J18</f>
        <v>0</v>
      </c>
      <c r="H17" s="13">
        <f t="shared" si="0"/>
        <v>1000</v>
      </c>
      <c r="I17" s="90"/>
    </row>
    <row r="18" spans="1:9" ht="12" thickTop="1" x14ac:dyDescent="0.2">
      <c r="A18" s="35" t="s">
        <v>149</v>
      </c>
      <c r="B18" s="36"/>
      <c r="C18" s="38">
        <f>SUM(C8:C17)</f>
        <v>374727.11999999994</v>
      </c>
      <c r="D18" s="38">
        <f>SUM(D8:D17)</f>
        <v>0</v>
      </c>
      <c r="E18" s="38">
        <f>SUM(E8:E17)</f>
        <v>52486.879999999997</v>
      </c>
      <c r="F18" s="38">
        <f>SUM(F8:F17)</f>
        <v>0</v>
      </c>
      <c r="G18" s="38">
        <f>SUM(G8:G17)</f>
        <v>1101544.02</v>
      </c>
      <c r="H18" s="38">
        <f t="shared" si="0"/>
        <v>1528758.02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118294.92</v>
      </c>
      <c r="D21" s="73">
        <f>'DOE25'!G22</f>
        <v>0</v>
      </c>
      <c r="E21" s="73">
        <f>'DOE25'!H22</f>
        <v>19420.53</v>
      </c>
      <c r="F21" s="73">
        <f>'DOE25'!I22</f>
        <v>0</v>
      </c>
      <c r="G21" s="73">
        <f>'DOE25'!J22</f>
        <v>0</v>
      </c>
      <c r="H21" s="13">
        <f t="shared" ref="H21:H31" si="1">SUM(C21:G21)</f>
        <v>137715.45000000001</v>
      </c>
      <c r="I21" s="90"/>
    </row>
    <row r="22" spans="1:9" x14ac:dyDescent="0.2">
      <c r="A22" s="1" t="s">
        <v>151</v>
      </c>
      <c r="B22" s="6">
        <v>410</v>
      </c>
      <c r="C22" s="73">
        <f>'DOE25'!F23</f>
        <v>0</v>
      </c>
      <c r="D22" s="73">
        <f>'DOE25'!G23</f>
        <v>-992.2</v>
      </c>
      <c r="E22" s="73">
        <f>'DOE25'!H23</f>
        <v>0</v>
      </c>
      <c r="F22" s="73">
        <f>'DOE25'!I23</f>
        <v>0</v>
      </c>
      <c r="G22" s="73">
        <f>'DOE25'!J23</f>
        <v>0</v>
      </c>
      <c r="H22" s="13">
        <f t="shared" si="1"/>
        <v>-992.2</v>
      </c>
      <c r="I22" s="90"/>
    </row>
    <row r="23" spans="1:9" x14ac:dyDescent="0.2">
      <c r="A23" s="1" t="s">
        <v>152</v>
      </c>
      <c r="B23" s="6">
        <v>420</v>
      </c>
      <c r="C23" s="73">
        <f>'DOE25'!F24</f>
        <v>-39294.550000000003</v>
      </c>
      <c r="D23" s="73">
        <f>'DOE25'!G24</f>
        <v>992.2</v>
      </c>
      <c r="E23" s="73">
        <f>'DOE25'!H24</f>
        <v>33066.35</v>
      </c>
      <c r="F23" s="73">
        <f>'DOE25'!I24</f>
        <v>0</v>
      </c>
      <c r="G23" s="73">
        <f>'DOE25'!J24</f>
        <v>0</v>
      </c>
      <c r="H23" s="13">
        <f t="shared" si="1"/>
        <v>-5236.0000000000073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-2413.56</v>
      </c>
      <c r="D28" s="73">
        <f>'DOE25'!G29</f>
        <v>0</v>
      </c>
      <c r="E28" s="73">
        <f>'DOE25'!H29</f>
        <v>0</v>
      </c>
      <c r="F28" s="73">
        <f>'DOE25'!I29</f>
        <v>0</v>
      </c>
      <c r="G28" s="23" t="s">
        <v>288</v>
      </c>
      <c r="H28" s="13">
        <f t="shared" si="1"/>
        <v>-2413.56</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76586.81</v>
      </c>
      <c r="D31" s="38">
        <f>SUM(D21:D30)</f>
        <v>0</v>
      </c>
      <c r="E31" s="38">
        <f>SUM(E21:E30)</f>
        <v>52486.879999999997</v>
      </c>
      <c r="F31" s="38">
        <f>SUM(F21:F30)</f>
        <v>0</v>
      </c>
      <c r="G31" s="38">
        <f>SUM(G21:G30)</f>
        <v>0</v>
      </c>
      <c r="H31" s="38">
        <f t="shared" si="1"/>
        <v>129073.69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1101544.02</v>
      </c>
      <c r="H42" s="13">
        <f t="shared" si="2"/>
        <v>1101544.02</v>
      </c>
      <c r="I42" s="90"/>
    </row>
    <row r="43" spans="1:9" x14ac:dyDescent="0.2">
      <c r="A43" s="1" t="s">
        <v>859</v>
      </c>
      <c r="B43" s="6">
        <v>755</v>
      </c>
      <c r="C43" s="73">
        <f>'DOE25'!F44</f>
        <v>100000</v>
      </c>
      <c r="D43" s="73">
        <f>'DOE25'!G44</f>
        <v>0</v>
      </c>
      <c r="E43" s="73">
        <f>'DOE25'!H44</f>
        <v>0</v>
      </c>
      <c r="F43" s="73">
        <f>'DOE25'!I44</f>
        <v>0</v>
      </c>
      <c r="G43" s="23" t="s">
        <v>288</v>
      </c>
      <c r="H43" s="13">
        <f t="shared" si="2"/>
        <v>100000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55551.56</v>
      </c>
      <c r="D47" s="73">
        <f>'DOE25'!G48</f>
        <v>0</v>
      </c>
      <c r="E47" s="73">
        <f>'DOE25'!H48</f>
        <v>0</v>
      </c>
      <c r="F47" s="73">
        <f>'DOE25'!I48</f>
        <v>0</v>
      </c>
      <c r="G47" s="73">
        <f>'DOE25'!J48</f>
        <v>0</v>
      </c>
      <c r="H47" s="13">
        <f t="shared" si="2"/>
        <v>55551.56</v>
      </c>
      <c r="I47" s="90"/>
    </row>
    <row r="48" spans="1:9" x14ac:dyDescent="0.2">
      <c r="A48" s="1" t="s">
        <v>878</v>
      </c>
      <c r="B48" s="6">
        <v>753</v>
      </c>
      <c r="C48" s="73">
        <f>'DOE25'!F49</f>
        <v>70367</v>
      </c>
      <c r="D48" s="73">
        <f>'DOE25'!G49</f>
        <v>0</v>
      </c>
      <c r="E48" s="73">
        <f>'DOE25'!H49</f>
        <v>0</v>
      </c>
      <c r="F48" s="73">
        <f>'DOE25'!I49</f>
        <v>0</v>
      </c>
      <c r="G48" s="73">
        <f>'DOE25'!J49</f>
        <v>0</v>
      </c>
      <c r="H48" s="13">
        <f t="shared" si="2"/>
        <v>70367</v>
      </c>
      <c r="I48" s="90"/>
    </row>
    <row r="49" spans="1:9" ht="12" thickBot="1" x14ac:dyDescent="0.25">
      <c r="A49" s="28" t="s">
        <v>879</v>
      </c>
      <c r="B49" s="56">
        <v>770</v>
      </c>
      <c r="C49" s="73">
        <f>'DOE25'!F50</f>
        <v>72221.75</v>
      </c>
      <c r="D49" s="23" t="s">
        <v>288</v>
      </c>
      <c r="E49" s="23" t="s">
        <v>288</v>
      </c>
      <c r="F49" s="23" t="s">
        <v>288</v>
      </c>
      <c r="G49" s="23" t="s">
        <v>288</v>
      </c>
      <c r="H49" s="13">
        <f t="shared" si="2"/>
        <v>72221.75</v>
      </c>
      <c r="I49" s="90"/>
    </row>
    <row r="50" spans="1:9" ht="12.75" thickTop="1" thickBot="1" x14ac:dyDescent="0.25">
      <c r="A50" s="35" t="s">
        <v>880</v>
      </c>
      <c r="B50" s="44"/>
      <c r="C50" s="38">
        <f>SUM(C34:C49)</f>
        <v>298140.31</v>
      </c>
      <c r="D50" s="38">
        <f>SUM(D34:D49)</f>
        <v>0</v>
      </c>
      <c r="E50" s="38">
        <f>SUM(E34:E49)</f>
        <v>0</v>
      </c>
      <c r="F50" s="38">
        <f>SUM(F34:F49)</f>
        <v>0</v>
      </c>
      <c r="G50" s="38">
        <f>SUM(G34:G49)</f>
        <v>1101544.02</v>
      </c>
      <c r="H50" s="38">
        <f t="shared" si="2"/>
        <v>1399684.33</v>
      </c>
      <c r="I50" s="90"/>
    </row>
    <row r="51" spans="1:9" ht="12" thickTop="1" x14ac:dyDescent="0.2">
      <c r="A51" s="35" t="s">
        <v>881</v>
      </c>
      <c r="B51" s="2"/>
      <c r="C51" s="38">
        <f>C50+C31</f>
        <v>374727.12</v>
      </c>
      <c r="D51" s="38">
        <f>D50+D31</f>
        <v>0</v>
      </c>
      <c r="E51" s="38">
        <f>E50+E31</f>
        <v>52486.879999999997</v>
      </c>
      <c r="F51" s="38">
        <f>F50+F31</f>
        <v>0</v>
      </c>
      <c r="G51" s="38">
        <f>G50+G31</f>
        <v>1101544.02</v>
      </c>
      <c r="H51" s="38">
        <f t="shared" si="2"/>
        <v>1528758.02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7106754</v>
      </c>
      <c r="D56" s="73">
        <f>'DOE25'!G60</f>
        <v>0</v>
      </c>
      <c r="E56" s="73">
        <f>'DOE25'!H60</f>
        <v>0</v>
      </c>
      <c r="F56" s="73">
        <f>'DOE25'!I60</f>
        <v>0</v>
      </c>
      <c r="G56" s="73">
        <f>'DOE25'!J60</f>
        <v>0</v>
      </c>
      <c r="H56" s="13">
        <f t="shared" ref="H56:H63" si="3">SUM(C56:G56)</f>
        <v>7106754</v>
      </c>
      <c r="I56"/>
    </row>
    <row r="57" spans="1:9" x14ac:dyDescent="0.2">
      <c r="A57" s="1" t="s">
        <v>164</v>
      </c>
      <c r="B57" s="6" t="s">
        <v>165</v>
      </c>
      <c r="C57" s="73">
        <f>'DOE25'!F79</f>
        <v>4100</v>
      </c>
      <c r="D57" s="23" t="s">
        <v>288</v>
      </c>
      <c r="E57" s="73">
        <f>'DOE25'!H79</f>
        <v>0</v>
      </c>
      <c r="F57" s="23" t="s">
        <v>288</v>
      </c>
      <c r="G57" s="23" t="s">
        <v>288</v>
      </c>
      <c r="H57" s="13">
        <f t="shared" si="3"/>
        <v>4100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288.19</v>
      </c>
      <c r="D59" s="73">
        <f>'DOE25'!G96</f>
        <v>0</v>
      </c>
      <c r="E59" s="73">
        <f>'DOE25'!H96</f>
        <v>0</v>
      </c>
      <c r="F59" s="73">
        <f>'DOE25'!I96</f>
        <v>0</v>
      </c>
      <c r="G59" s="73">
        <f>'DOE25'!J96</f>
        <v>31543.05</v>
      </c>
      <c r="H59" s="13">
        <f t="shared" si="3"/>
        <v>31831.239999999998</v>
      </c>
      <c r="I59"/>
    </row>
    <row r="60" spans="1:9" x14ac:dyDescent="0.2">
      <c r="A60" s="1" t="s">
        <v>170</v>
      </c>
      <c r="B60" s="22" t="s">
        <v>171</v>
      </c>
      <c r="C60" s="23" t="s">
        <v>288</v>
      </c>
      <c r="D60" s="73">
        <f>'DOE25'!G97</f>
        <v>58732.6</v>
      </c>
      <c r="E60" s="23" t="s">
        <v>288</v>
      </c>
      <c r="F60" s="23" t="s">
        <v>288</v>
      </c>
      <c r="G60" s="23" t="s">
        <v>288</v>
      </c>
      <c r="H60" s="13">
        <f t="shared" si="3"/>
        <v>58732.6</v>
      </c>
      <c r="I60"/>
    </row>
    <row r="61" spans="1:9" ht="12" thickBot="1" x14ac:dyDescent="0.25">
      <c r="A61" s="1" t="s">
        <v>172</v>
      </c>
      <c r="B61" s="22" t="s">
        <v>173</v>
      </c>
      <c r="C61" s="73">
        <f>SUM('DOE25'!F98:F110)</f>
        <v>53350.01</v>
      </c>
      <c r="D61" s="73">
        <f>SUM('DOE25'!G98:G110)</f>
        <v>0</v>
      </c>
      <c r="E61" s="73">
        <f>SUM('DOE25'!H98:H110)</f>
        <v>0</v>
      </c>
      <c r="F61" s="73">
        <f>SUM('DOE25'!I98:I110)</f>
        <v>0</v>
      </c>
      <c r="G61" s="73">
        <f>SUM('DOE25'!J98:J110)</f>
        <v>0</v>
      </c>
      <c r="H61" s="13">
        <f t="shared" si="3"/>
        <v>53350.01</v>
      </c>
      <c r="I61"/>
    </row>
    <row r="62" spans="1:9" ht="12.75" thickTop="1" thickBot="1" x14ac:dyDescent="0.25">
      <c r="A62" s="28" t="s">
        <v>174</v>
      </c>
      <c r="B62" s="6"/>
      <c r="C62" s="93">
        <f>SUM(C57:C61)</f>
        <v>57738.200000000004</v>
      </c>
      <c r="D62" s="93">
        <f>SUM(D57:D61)</f>
        <v>58732.6</v>
      </c>
      <c r="E62" s="93">
        <f>SUM(E57:E61)</f>
        <v>0</v>
      </c>
      <c r="F62" s="93">
        <f>SUM(F57:F61)</f>
        <v>0</v>
      </c>
      <c r="G62" s="93">
        <f>SUM(G57:G61)</f>
        <v>31543.05</v>
      </c>
      <c r="H62" s="13">
        <f t="shared" si="3"/>
        <v>148013.85</v>
      </c>
      <c r="I62"/>
    </row>
    <row r="63" spans="1:9" ht="12" thickTop="1" x14ac:dyDescent="0.2">
      <c r="A63" s="28" t="s">
        <v>175</v>
      </c>
      <c r="B63" s="6"/>
      <c r="C63" s="21">
        <f>C56+C62</f>
        <v>7164492.2000000002</v>
      </c>
      <c r="D63" s="21">
        <f>D56+D62</f>
        <v>58732.6</v>
      </c>
      <c r="E63" s="21">
        <f>E56+E62</f>
        <v>0</v>
      </c>
      <c r="F63" s="21">
        <f>F56+F62</f>
        <v>0</v>
      </c>
      <c r="G63" s="21">
        <f>G56+G62</f>
        <v>31543.05</v>
      </c>
      <c r="H63" s="13">
        <f t="shared" si="3"/>
        <v>7254767.8499999996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639149.92000000004</v>
      </c>
      <c r="D66" s="23" t="s">
        <v>288</v>
      </c>
      <c r="E66" s="23" t="s">
        <v>288</v>
      </c>
      <c r="F66" s="23" t="s">
        <v>288</v>
      </c>
      <c r="G66" s="23" t="s">
        <v>288</v>
      </c>
      <c r="H66" s="13">
        <f t="shared" ref="H66:H81" si="4">SUM(C66:G66)</f>
        <v>639149.92000000004</v>
      </c>
      <c r="I66"/>
    </row>
    <row r="67" spans="1:9" x14ac:dyDescent="0.2">
      <c r="A67" s="1" t="s">
        <v>767</v>
      </c>
      <c r="B67" s="6">
        <v>3112</v>
      </c>
      <c r="C67" s="73">
        <f>'DOE25'!F118</f>
        <v>655608</v>
      </c>
      <c r="D67" s="23"/>
      <c r="E67" s="23"/>
      <c r="F67" s="23"/>
      <c r="G67" s="23"/>
      <c r="H67" s="13">
        <f t="shared" si="4"/>
        <v>655608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1294757.92</v>
      </c>
      <c r="D70" s="97">
        <f>D69</f>
        <v>0</v>
      </c>
      <c r="E70" s="97">
        <f>E69</f>
        <v>0</v>
      </c>
      <c r="F70" s="97">
        <f>F69</f>
        <v>0</v>
      </c>
      <c r="G70" s="97">
        <f>G69</f>
        <v>0</v>
      </c>
      <c r="H70" s="13">
        <f t="shared" si="4"/>
        <v>1294757.92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23201.360000000001</v>
      </c>
      <c r="D76" s="23" t="s">
        <v>288</v>
      </c>
      <c r="E76" s="73">
        <f>SUM('DOE25'!H127:H130)</f>
        <v>0</v>
      </c>
      <c r="F76" s="73">
        <f>SUM('DOE25'!I127:I130)</f>
        <v>0</v>
      </c>
      <c r="G76" s="23" t="s">
        <v>288</v>
      </c>
      <c r="H76" s="13">
        <f t="shared" si="4"/>
        <v>23201.360000000001</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23201.360000000001</v>
      </c>
      <c r="D78" s="93">
        <f>SUM(D72:D77)</f>
        <v>0</v>
      </c>
      <c r="E78" s="93">
        <f>SUM(E72:E77)</f>
        <v>0</v>
      </c>
      <c r="F78" s="93">
        <f>SUM(F72:F77)</f>
        <v>0</v>
      </c>
      <c r="G78" s="93">
        <f>SUM(G72:G77)</f>
        <v>0</v>
      </c>
      <c r="H78" s="13">
        <f t="shared" si="4"/>
        <v>23201.360000000001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1317959.28</v>
      </c>
      <c r="D81" s="93">
        <f>SUM(D79:D80)+D78+D70</f>
        <v>0</v>
      </c>
      <c r="E81" s="93">
        <f>SUM(E79:E80)+E78+E70</f>
        <v>0</v>
      </c>
      <c r="F81" s="93">
        <f>SUM(F79:F80)+F78+F70</f>
        <v>0</v>
      </c>
      <c r="G81" s="93">
        <f>SUM(G79:G80)+G78+G70</f>
        <v>0</v>
      </c>
      <c r="H81" s="93">
        <f t="shared" si="4"/>
        <v>1317959.28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47735.08</v>
      </c>
      <c r="F87" s="73">
        <f>SUM('DOE25'!I149:I152)</f>
        <v>0</v>
      </c>
      <c r="G87" s="23" t="s">
        <v>288</v>
      </c>
      <c r="H87" s="13">
        <f t="shared" si="5"/>
        <v>47735.08</v>
      </c>
    </row>
    <row r="88" spans="1:9" x14ac:dyDescent="0.2">
      <c r="A88" s="216" t="s">
        <v>744</v>
      </c>
      <c r="B88" s="230" t="s">
        <v>184</v>
      </c>
      <c r="C88" s="252">
        <f>SUM('DOE25'!F153:F162)</f>
        <v>0</v>
      </c>
      <c r="D88" s="252">
        <f>SUM('DOE25'!G153:G162)</f>
        <v>0</v>
      </c>
      <c r="E88" s="252">
        <f>SUM('DOE25'!H153:H162)</f>
        <v>128622.57</v>
      </c>
      <c r="F88" s="252">
        <f>SUM('DOE25'!I153:I162)</f>
        <v>0</v>
      </c>
      <c r="G88" s="23" t="s">
        <v>288</v>
      </c>
      <c r="H88" s="13">
        <f t="shared" si="5"/>
        <v>128622.57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469.99</v>
      </c>
      <c r="D90" s="23" t="s">
        <v>288</v>
      </c>
      <c r="E90" s="23" t="s">
        <v>288</v>
      </c>
      <c r="F90" s="23" t="s">
        <v>288</v>
      </c>
      <c r="G90" s="23" t="s">
        <v>288</v>
      </c>
      <c r="H90" s="13">
        <f t="shared" si="5"/>
        <v>469.99</v>
      </c>
    </row>
    <row r="91" spans="1:9" ht="12.75" thickTop="1" thickBot="1" x14ac:dyDescent="0.25">
      <c r="A91" s="32" t="s">
        <v>747</v>
      </c>
      <c r="C91" s="94">
        <f>SUM(C85:C90)</f>
        <v>469.99</v>
      </c>
      <c r="D91" s="94">
        <f>SUM(D85:D90)</f>
        <v>0</v>
      </c>
      <c r="E91" s="94">
        <f>SUM(E85:E90)</f>
        <v>176357.65000000002</v>
      </c>
      <c r="F91" s="94">
        <f>SUM(F85:F90)</f>
        <v>0</v>
      </c>
      <c r="G91" s="23" t="s">
        <v>288</v>
      </c>
      <c r="H91" s="13">
        <f t="shared" si="5"/>
        <v>176827.64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50987.08</v>
      </c>
      <c r="E96" s="73">
        <f>'DOE25'!H180</f>
        <v>0</v>
      </c>
      <c r="F96" s="73">
        <f>'DOE25'!I180</f>
        <v>0</v>
      </c>
      <c r="G96" s="73">
        <f>'DOE25'!J180</f>
        <v>0</v>
      </c>
      <c r="H96" s="13">
        <f t="shared" si="5"/>
        <v>50987.08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48329.760000000002</v>
      </c>
      <c r="D100" s="73">
        <f>SUM('DOE25'!G187:G188)</f>
        <v>0</v>
      </c>
      <c r="E100" s="73">
        <f>SUM('DOE25'!H187:H188)</f>
        <v>0</v>
      </c>
      <c r="F100" s="73">
        <f>SUM('DOE25'!I187:I188)</f>
        <v>0</v>
      </c>
      <c r="G100" s="23" t="s">
        <v>288</v>
      </c>
      <c r="H100" s="13">
        <f t="shared" si="5"/>
        <v>48329.760000000002</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48329.760000000002</v>
      </c>
      <c r="D103" s="68">
        <f>SUM(D93:D102)</f>
        <v>50987.08</v>
      </c>
      <c r="E103" s="68">
        <f>SUM(E93:E102)</f>
        <v>0</v>
      </c>
      <c r="F103" s="68">
        <f>SUM(F93:F102)</f>
        <v>0</v>
      </c>
      <c r="G103" s="68">
        <f>SUM(G93:G102)</f>
        <v>0</v>
      </c>
      <c r="H103" s="68">
        <f t="shared" si="5"/>
        <v>99316.84</v>
      </c>
    </row>
    <row r="104" spans="1:8" ht="12.75" thickTop="1" thickBot="1" x14ac:dyDescent="0.25">
      <c r="A104" s="32" t="s">
        <v>758</v>
      </c>
      <c r="C104" s="68">
        <f>C63+C81+C91+C103</f>
        <v>8531251.2300000004</v>
      </c>
      <c r="D104" s="68">
        <f>D63+D81+D91+D103</f>
        <v>109719.67999999999</v>
      </c>
      <c r="E104" s="68">
        <f>E63+E81+E91+E103</f>
        <v>176357.65000000002</v>
      </c>
      <c r="F104" s="68">
        <f>F63+F81+F91+F103</f>
        <v>0</v>
      </c>
      <c r="G104" s="68">
        <f>G63+G81+G103</f>
        <v>31543.05</v>
      </c>
      <c r="H104" s="68">
        <f t="shared" si="5"/>
        <v>8848871.6100000013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5018770.9800000004</v>
      </c>
      <c r="D109" s="23" t="s">
        <v>288</v>
      </c>
      <c r="E109" s="73">
        <f>('DOE25'!L277)+('DOE25'!L296)+('DOE25'!L315)</f>
        <v>41619.57</v>
      </c>
      <c r="F109" s="23" t="s">
        <v>288</v>
      </c>
      <c r="G109" s="23" t="s">
        <v>288</v>
      </c>
      <c r="H109" s="13">
        <f t="shared" ref="H109:H115" si="6">SUM(C109:G109)</f>
        <v>5060390.5500000007</v>
      </c>
    </row>
    <row r="110" spans="1:8" x14ac:dyDescent="0.2">
      <c r="A110" t="s">
        <v>198</v>
      </c>
      <c r="B110" s="31" t="s">
        <v>199</v>
      </c>
      <c r="C110" s="73">
        <f>('DOE25'!L199)+('DOE25'!L217)+('DOE25'!L235)</f>
        <v>889752.42999999993</v>
      </c>
      <c r="D110" s="23" t="s">
        <v>288</v>
      </c>
      <c r="E110" s="73">
        <f>('DOE25'!L278)+('DOE25'!L297)+('DOE25'!L316)</f>
        <v>6938.99</v>
      </c>
      <c r="F110" s="23" t="s">
        <v>288</v>
      </c>
      <c r="G110" s="23" t="s">
        <v>288</v>
      </c>
      <c r="H110" s="13">
        <f t="shared" si="6"/>
        <v>896691.41999999993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5908523.4100000001</v>
      </c>
      <c r="D115" s="68">
        <f>SUM(D109:D114)</f>
        <v>0</v>
      </c>
      <c r="E115" s="68">
        <f>SUM(E109:E114)</f>
        <v>48558.559999999998</v>
      </c>
      <c r="F115" s="68">
        <f>SUM(F109:F114)</f>
        <v>0</v>
      </c>
      <c r="G115" s="68">
        <f>SUM(G109:G114)</f>
        <v>0</v>
      </c>
      <c r="H115" s="68">
        <f t="shared" si="6"/>
        <v>5957081.9699999997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335517.95</v>
      </c>
      <c r="D118" s="23" t="s">
        <v>288</v>
      </c>
      <c r="E118" s="73">
        <f>+('DOE25'!L282)+('DOE25'!L301)+('DOE25'!L320)</f>
        <v>64222.93</v>
      </c>
      <c r="F118" s="23" t="s">
        <v>288</v>
      </c>
      <c r="G118" s="23" t="s">
        <v>288</v>
      </c>
      <c r="H118" s="13">
        <f t="shared" ref="H118:H145" si="7">SUM(C118:G118)</f>
        <v>399740.88</v>
      </c>
    </row>
    <row r="119" spans="1:8" x14ac:dyDescent="0.2">
      <c r="A119" t="s">
        <v>208</v>
      </c>
      <c r="B119" s="31" t="s">
        <v>209</v>
      </c>
      <c r="C119" s="73">
        <f>('DOE25'!L204)+('DOE25'!L222)+('DOE25'!L240)</f>
        <v>112987.90999999999</v>
      </c>
      <c r="D119" s="23" t="s">
        <v>288</v>
      </c>
      <c r="E119" s="73">
        <f>+('DOE25'!L283)+('DOE25'!L302)+('DOE25'!L321)</f>
        <v>6933.81</v>
      </c>
      <c r="F119" s="23" t="s">
        <v>288</v>
      </c>
      <c r="G119" s="23" t="s">
        <v>288</v>
      </c>
      <c r="H119" s="13">
        <f t="shared" si="7"/>
        <v>119921.71999999999</v>
      </c>
    </row>
    <row r="120" spans="1:8" x14ac:dyDescent="0.2">
      <c r="A120" t="s">
        <v>210</v>
      </c>
      <c r="B120" s="31" t="s">
        <v>211</v>
      </c>
      <c r="C120" s="73">
        <f>('DOE25'!L205)+('DOE25'!L223)+('DOE25'!L241)</f>
        <v>461384.91000000003</v>
      </c>
      <c r="D120" s="23" t="s">
        <v>288</v>
      </c>
      <c r="E120" s="73">
        <f>+('DOE25'!L284)+('DOE25'!L303)+('DOE25'!L322)</f>
        <v>0</v>
      </c>
      <c r="F120" s="23" t="s">
        <v>288</v>
      </c>
      <c r="G120" s="23" t="s">
        <v>288</v>
      </c>
      <c r="H120" s="13">
        <f t="shared" si="7"/>
        <v>461384.91000000003</v>
      </c>
    </row>
    <row r="121" spans="1:8" x14ac:dyDescent="0.2">
      <c r="A121" t="s">
        <v>212</v>
      </c>
      <c r="B121" s="31" t="s">
        <v>213</v>
      </c>
      <c r="C121" s="73">
        <f>('DOE25'!L206)+('DOE25'!L224)+('DOE25'!L242)</f>
        <v>489668.19999999995</v>
      </c>
      <c r="D121" s="23" t="s">
        <v>288</v>
      </c>
      <c r="E121" s="73">
        <f>+('DOE25'!L285)+('DOE25'!L304)+('DOE25'!L323)</f>
        <v>0</v>
      </c>
      <c r="F121" s="23" t="s">
        <v>288</v>
      </c>
      <c r="G121" s="23" t="s">
        <v>288</v>
      </c>
      <c r="H121" s="13">
        <f t="shared" si="7"/>
        <v>489668.19999999995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630712</v>
      </c>
      <c r="D123" s="23" t="s">
        <v>288</v>
      </c>
      <c r="E123" s="73">
        <f>+('DOE25'!L287)+('DOE25'!L306)+('DOE25'!L325)</f>
        <v>56642.35</v>
      </c>
      <c r="F123" s="23" t="s">
        <v>288</v>
      </c>
      <c r="G123" s="23" t="s">
        <v>288</v>
      </c>
      <c r="H123" s="13">
        <f t="shared" si="7"/>
        <v>687354.35</v>
      </c>
    </row>
    <row r="124" spans="1:8" x14ac:dyDescent="0.2">
      <c r="A124" t="s">
        <v>218</v>
      </c>
      <c r="B124" s="31" t="s">
        <v>219</v>
      </c>
      <c r="C124" s="73">
        <f>('DOE25'!L209)+('DOE25'!L227)+('DOE25'!L245+'DOE25'!L255)</f>
        <v>131013.54000000001</v>
      </c>
      <c r="D124" s="23" t="s">
        <v>288</v>
      </c>
      <c r="E124" s="73">
        <f>+('DOE25'!L288)+('DOE25'!L307)+('DOE25'!L326)</f>
        <v>0</v>
      </c>
      <c r="F124" s="23" t="s">
        <v>288</v>
      </c>
      <c r="G124" s="23" t="s">
        <v>288</v>
      </c>
      <c r="H124" s="13">
        <f t="shared" si="7"/>
        <v>131013.54000000001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109719.67999999999</v>
      </c>
      <c r="E127" s="23" t="s">
        <v>288</v>
      </c>
      <c r="F127" s="23" t="s">
        <v>288</v>
      </c>
      <c r="G127" s="23" t="s">
        <v>288</v>
      </c>
      <c r="H127" s="13">
        <f t="shared" si="7"/>
        <v>109719.67999999999</v>
      </c>
    </row>
    <row r="128" spans="1:8" ht="12.75" thickTop="1" thickBot="1" x14ac:dyDescent="0.25">
      <c r="A128" s="32" t="s">
        <v>226</v>
      </c>
      <c r="C128" s="68">
        <f>SUM(C118:C127)</f>
        <v>2161284.5099999998</v>
      </c>
      <c r="D128" s="68">
        <f>SUM(D118:D127)</f>
        <v>109719.67999999999</v>
      </c>
      <c r="E128" s="68">
        <f>SUM(E118:E127)</f>
        <v>127799.09</v>
      </c>
      <c r="F128" s="68">
        <f>SUM(F118:F127)</f>
        <v>0</v>
      </c>
      <c r="G128" s="68">
        <f>SUM(G118:G127)</f>
        <v>0</v>
      </c>
      <c r="H128" s="68">
        <f t="shared" si="7"/>
        <v>2398803.2799999998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144027.09</v>
      </c>
      <c r="D131" s="23" t="s">
        <v>288</v>
      </c>
      <c r="E131" s="92">
        <f>'DOE25'!L342</f>
        <v>0</v>
      </c>
      <c r="F131" s="23" t="s">
        <v>288</v>
      </c>
      <c r="G131" s="23" t="s">
        <v>288</v>
      </c>
      <c r="H131" s="13">
        <f t="shared" si="7"/>
        <v>144027.09</v>
      </c>
    </row>
    <row r="132" spans="1:8" x14ac:dyDescent="0.2">
      <c r="A132" t="s">
        <v>230</v>
      </c>
      <c r="B132" s="31">
        <v>5120</v>
      </c>
      <c r="C132" s="73">
        <f>'DOE25'!L262</f>
        <v>74459.91</v>
      </c>
      <c r="D132" s="23" t="s">
        <v>288</v>
      </c>
      <c r="E132" s="92">
        <f>'DOE25'!L343</f>
        <v>0</v>
      </c>
      <c r="F132" s="23" t="s">
        <v>288</v>
      </c>
      <c r="G132" s="23" t="s">
        <v>288</v>
      </c>
      <c r="H132" s="13">
        <f t="shared" si="7"/>
        <v>74459.91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48329.759999999995</v>
      </c>
      <c r="H134" s="13">
        <f t="shared" si="7"/>
        <v>48329.759999999995</v>
      </c>
    </row>
    <row r="135" spans="1:8" x14ac:dyDescent="0.2">
      <c r="A135" t="s">
        <v>233</v>
      </c>
      <c r="B135" s="31" t="s">
        <v>234</v>
      </c>
      <c r="C135" s="73">
        <f>'DOE25'!L264</f>
        <v>50987.08</v>
      </c>
      <c r="D135" s="23" t="s">
        <v>288</v>
      </c>
      <c r="E135" s="92">
        <f>'DOE25'!L346</f>
        <v>0</v>
      </c>
      <c r="F135" s="23" t="s">
        <v>288</v>
      </c>
      <c r="G135" s="23" t="s">
        <v>288</v>
      </c>
      <c r="H135" s="13">
        <f t="shared" si="7"/>
        <v>50987.08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31543.05</v>
      </c>
      <c r="D139" s="23" t="s">
        <v>288</v>
      </c>
      <c r="E139" s="23" t="s">
        <v>288</v>
      </c>
      <c r="F139" s="23" t="s">
        <v>288</v>
      </c>
      <c r="G139" s="23" t="s">
        <v>288</v>
      </c>
      <c r="H139" s="13">
        <f t="shared" si="7"/>
        <v>31543.05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-31543.05</v>
      </c>
      <c r="D141" s="23" t="s">
        <v>288</v>
      </c>
      <c r="E141" s="23" t="s">
        <v>288</v>
      </c>
      <c r="F141" s="23" t="s">
        <v>288</v>
      </c>
      <c r="G141" s="23" t="s">
        <v>288</v>
      </c>
      <c r="H141" s="13">
        <f t="shared" si="7"/>
        <v>-31543.05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269474.08</v>
      </c>
      <c r="D144" s="98">
        <f>SUM(D130:D143)</f>
        <v>0</v>
      </c>
      <c r="E144" s="98">
        <f>SUM(E130:E143)</f>
        <v>0</v>
      </c>
      <c r="F144" s="98">
        <f>SUM(F130:F143)</f>
        <v>0</v>
      </c>
      <c r="G144" s="98">
        <f>SUM(G130:G143)</f>
        <v>48329.759999999995</v>
      </c>
      <c r="H144" s="98">
        <f t="shared" si="7"/>
        <v>317803.84000000003</v>
      </c>
    </row>
    <row r="145" spans="1:9" ht="12.75" thickTop="1" thickBot="1" x14ac:dyDescent="0.25">
      <c r="A145" s="32" t="s">
        <v>244</v>
      </c>
      <c r="C145" s="68">
        <f>(C115+C128+C144)</f>
        <v>8339282</v>
      </c>
      <c r="D145" s="68">
        <f>(D115+D128+D144)</f>
        <v>109719.67999999999</v>
      </c>
      <c r="E145" s="68">
        <f>(E115+E128+E144)</f>
        <v>176357.65</v>
      </c>
      <c r="F145" s="68">
        <f>(F115+F128+F144)</f>
        <v>0</v>
      </c>
      <c r="G145" s="68">
        <f>(G115+G128+G144)</f>
        <v>48329.759999999995</v>
      </c>
      <c r="H145" s="68">
        <f t="shared" si="7"/>
        <v>8673689.0899999999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9</v>
      </c>
      <c r="D151" s="110">
        <f>'DOE25'!H491</f>
        <v>0</v>
      </c>
      <c r="E151" s="110">
        <f>'DOE25'!I491</f>
        <v>0</v>
      </c>
      <c r="F151" s="110">
        <f>'DOE25'!J491</f>
        <v>0</v>
      </c>
      <c r="G151" s="23" t="s">
        <v>288</v>
      </c>
    </row>
    <row r="152" spans="1:9" x14ac:dyDescent="0.2">
      <c r="A152" s="21" t="s">
        <v>28</v>
      </c>
      <c r="B152" s="109" t="str">
        <f>'DOE25'!F492</f>
        <v>7/14</v>
      </c>
      <c r="C152" s="109" t="str">
        <f>'DOE25'!G492</f>
        <v>6/18</v>
      </c>
      <c r="D152" s="109">
        <f>'DOE25'!H492</f>
        <v>0</v>
      </c>
      <c r="E152" s="109">
        <f>'DOE25'!I492</f>
        <v>0</v>
      </c>
      <c r="F152" s="109">
        <f>'DOE25'!J492</f>
        <v>0</v>
      </c>
      <c r="G152" s="23" t="s">
        <v>288</v>
      </c>
    </row>
    <row r="153" spans="1:9" x14ac:dyDescent="0.2">
      <c r="A153" s="21" t="s">
        <v>29</v>
      </c>
      <c r="B153" s="109" t="str">
        <f>'DOE25'!F493</f>
        <v>8/34</v>
      </c>
      <c r="C153" s="109" t="str">
        <f>'DOE25'!G493</f>
        <v>7/26</v>
      </c>
      <c r="D153" s="109">
        <f>'DOE25'!H493</f>
        <v>0</v>
      </c>
      <c r="E153" s="109">
        <f>'DOE25'!I493</f>
        <v>0</v>
      </c>
      <c r="F153" s="109">
        <f>'DOE25'!J493</f>
        <v>0</v>
      </c>
      <c r="G153" s="23" t="s">
        <v>288</v>
      </c>
    </row>
    <row r="154" spans="1:9" x14ac:dyDescent="0.2">
      <c r="A154" s="21" t="s">
        <v>30</v>
      </c>
      <c r="B154" s="19">
        <f>'DOE25'!F494</f>
        <v>2850000</v>
      </c>
      <c r="C154" s="19">
        <f>'DOE25'!G494</f>
        <v>137628.18</v>
      </c>
      <c r="D154" s="19">
        <f>'DOE25'!H494</f>
        <v>0</v>
      </c>
      <c r="E154" s="19">
        <f>'DOE25'!I494</f>
        <v>0</v>
      </c>
      <c r="F154" s="19">
        <f>'DOE25'!J494</f>
        <v>0</v>
      </c>
      <c r="G154" s="23" t="s">
        <v>288</v>
      </c>
    </row>
    <row r="155" spans="1:9" x14ac:dyDescent="0.2">
      <c r="A155" s="21" t="s">
        <v>31</v>
      </c>
      <c r="B155" s="19">
        <f>'DOE25'!F495</f>
        <v>3.36</v>
      </c>
      <c r="C155" s="19">
        <f>'DOE25'!G495</f>
        <v>2.65</v>
      </c>
      <c r="D155" s="19">
        <f>'DOE25'!H495</f>
        <v>0</v>
      </c>
      <c r="E155" s="19">
        <f>'DOE25'!I495</f>
        <v>0</v>
      </c>
      <c r="F155" s="19">
        <f>'DOE25'!J495</f>
        <v>0</v>
      </c>
      <c r="G155" s="23" t="s">
        <v>288</v>
      </c>
    </row>
    <row r="156" spans="1:9" x14ac:dyDescent="0.2">
      <c r="A156" s="21" t="s">
        <v>32</v>
      </c>
      <c r="B156" s="19">
        <f>'DOE25'!F496</f>
        <v>1860000</v>
      </c>
      <c r="C156" s="19">
        <f>'DOE25'!G496</f>
        <v>66538.22</v>
      </c>
      <c r="D156" s="19">
        <f>'DOE25'!H496</f>
        <v>0</v>
      </c>
      <c r="E156" s="19">
        <f>'DOE25'!I496</f>
        <v>0</v>
      </c>
      <c r="F156" s="19">
        <f>'DOE25'!J496</f>
        <v>0</v>
      </c>
      <c r="G156" s="96">
        <f>SUM(B156:F156)</f>
        <v>1926538.22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125000</v>
      </c>
      <c r="C158" s="19">
        <f>'DOE25'!G498</f>
        <v>19027.09</v>
      </c>
      <c r="D158" s="19">
        <f>'DOE25'!H498</f>
        <v>0</v>
      </c>
      <c r="E158" s="19">
        <f>'DOE25'!I498</f>
        <v>0</v>
      </c>
      <c r="F158" s="19">
        <f>'DOE25'!J498</f>
        <v>0</v>
      </c>
      <c r="G158" s="96">
        <f t="shared" si="8"/>
        <v>144027.09</v>
      </c>
    </row>
    <row r="159" spans="1:9" x14ac:dyDescent="0.2">
      <c r="A159" s="21" t="s">
        <v>35</v>
      </c>
      <c r="B159" s="19">
        <f>'DOE25'!F499</f>
        <v>1735000</v>
      </c>
      <c r="C159" s="19">
        <f>'DOE25'!G499</f>
        <v>47566.62</v>
      </c>
      <c r="D159" s="19">
        <f>'DOE25'!H499</f>
        <v>0</v>
      </c>
      <c r="E159" s="19">
        <f>'DOE25'!I499</f>
        <v>0</v>
      </c>
      <c r="F159" s="19">
        <f>'DOE25'!J499</f>
        <v>0</v>
      </c>
      <c r="G159" s="96">
        <f t="shared" si="8"/>
        <v>1782566.62</v>
      </c>
    </row>
    <row r="160" spans="1:9" x14ac:dyDescent="0.2">
      <c r="A160" s="21" t="s">
        <v>36</v>
      </c>
      <c r="B160" s="19">
        <f>'DOE25'!F500</f>
        <v>413632.5</v>
      </c>
      <c r="C160" s="19">
        <f>'DOE25'!G500</f>
        <v>1763.25</v>
      </c>
      <c r="D160" s="19">
        <f>'DOE25'!H500</f>
        <v>0</v>
      </c>
      <c r="E160" s="19">
        <f>'DOE25'!I500</f>
        <v>0</v>
      </c>
      <c r="F160" s="19">
        <f>'DOE25'!J500</f>
        <v>0</v>
      </c>
      <c r="G160" s="96">
        <f t="shared" si="8"/>
        <v>415395.75</v>
      </c>
    </row>
    <row r="161" spans="1:7" x14ac:dyDescent="0.2">
      <c r="A161" s="21" t="s">
        <v>37</v>
      </c>
      <c r="B161" s="19">
        <f>'DOE25'!F501</f>
        <v>2148632.5</v>
      </c>
      <c r="C161" s="19">
        <f>'DOE25'!G501</f>
        <v>49329.87</v>
      </c>
      <c r="D161" s="19">
        <f>'DOE25'!H501</f>
        <v>0</v>
      </c>
      <c r="E161" s="19">
        <f>'DOE25'!I501</f>
        <v>0</v>
      </c>
      <c r="F161" s="19">
        <f>'DOE25'!J501</f>
        <v>0</v>
      </c>
      <c r="G161" s="96">
        <f t="shared" si="8"/>
        <v>2197962.37</v>
      </c>
    </row>
    <row r="162" spans="1:7" x14ac:dyDescent="0.2">
      <c r="A162" s="21" t="s">
        <v>38</v>
      </c>
      <c r="B162" s="19">
        <f>'DOE25'!F502</f>
        <v>130000</v>
      </c>
      <c r="C162" s="19">
        <f>'DOE25'!G502</f>
        <v>19481.84</v>
      </c>
      <c r="D162" s="19">
        <f>'DOE25'!H502</f>
        <v>0</v>
      </c>
      <c r="E162" s="19">
        <f>'DOE25'!I502</f>
        <v>0</v>
      </c>
      <c r="F162" s="19">
        <f>'DOE25'!J502</f>
        <v>0</v>
      </c>
      <c r="G162" s="96">
        <f t="shared" si="8"/>
        <v>149481.84</v>
      </c>
    </row>
    <row r="163" spans="1:7" x14ac:dyDescent="0.2">
      <c r="A163" s="21" t="s">
        <v>39</v>
      </c>
      <c r="B163" s="19">
        <f>'DOE25'!F503</f>
        <v>66370</v>
      </c>
      <c r="C163" s="19">
        <f>'DOE25'!G503</f>
        <v>1132.6600000000001</v>
      </c>
      <c r="D163" s="19">
        <f>'DOE25'!H503</f>
        <v>0</v>
      </c>
      <c r="E163" s="19">
        <f>'DOE25'!I503</f>
        <v>0</v>
      </c>
      <c r="F163" s="19">
        <f>'DOE25'!J503</f>
        <v>0</v>
      </c>
      <c r="G163" s="96">
        <f t="shared" si="8"/>
        <v>67502.66</v>
      </c>
    </row>
    <row r="164" spans="1:7" x14ac:dyDescent="0.2">
      <c r="A164" s="21" t="s">
        <v>246</v>
      </c>
      <c r="B164" s="19">
        <f>'DOE25'!F504</f>
        <v>196370</v>
      </c>
      <c r="C164" s="19">
        <f>'DOE25'!G504</f>
        <v>20614.5</v>
      </c>
      <c r="D164" s="19">
        <f>'DOE25'!H504</f>
        <v>0</v>
      </c>
      <c r="E164" s="19">
        <f>'DOE25'!I504</f>
        <v>0</v>
      </c>
      <c r="F164" s="19">
        <f>'DOE25'!J504</f>
        <v>0</v>
      </c>
      <c r="G164" s="96">
        <f t="shared" si="8"/>
        <v>216984.5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Lyme</v>
      </c>
    </row>
    <row r="3" spans="1:4" x14ac:dyDescent="0.2">
      <c r="B3" s="136" t="s">
        <v>1792</v>
      </c>
    </row>
    <row r="4" spans="1:4" x14ac:dyDescent="0.2">
      <c r="B4" t="s">
        <v>61</v>
      </c>
      <c r="C4" s="128">
        <f>IF('DOE25'!F666+'DOE25'!F671=0,0,ROUND('DOE25'!F673,0))</f>
        <v>28938</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28938</v>
      </c>
    </row>
    <row r="9" spans="1:4" x14ac:dyDescent="0.2">
      <c r="A9" s="135" t="s">
        <v>94</v>
      </c>
      <c r="B9" s="136" t="s">
        <v>1793</v>
      </c>
      <c r="C9" s="130" t="s">
        <v>720</v>
      </c>
      <c r="D9" s="130" t="s">
        <v>721</v>
      </c>
    </row>
    <row r="10" spans="1:4" x14ac:dyDescent="0.2">
      <c r="A10">
        <v>1100</v>
      </c>
      <c r="B10" t="s">
        <v>702</v>
      </c>
      <c r="C10" s="128">
        <f>ROUND('DOE25'!L198+'DOE25'!L216+'DOE25'!L234+'DOE25'!L277+'DOE25'!L296+'DOE25'!L315,0)</f>
        <v>5060391</v>
      </c>
      <c r="D10" s="131">
        <f>ROUND((C10/$C$28)*100,1)</f>
        <v>60.4</v>
      </c>
    </row>
    <row r="11" spans="1:4" x14ac:dyDescent="0.2">
      <c r="A11">
        <v>1200</v>
      </c>
      <c r="B11" t="s">
        <v>703</v>
      </c>
      <c r="C11" s="128">
        <f>ROUND('DOE25'!L199+'DOE25'!L217+'DOE25'!L235+'DOE25'!L278+'DOE25'!L297+'DOE25'!L316,0)</f>
        <v>896691</v>
      </c>
      <c r="D11" s="131">
        <f>ROUND((C11/$C$28)*100,1)</f>
        <v>10.7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399741</v>
      </c>
      <c r="D15" s="131">
        <f t="shared" ref="D15:D27" si="0">ROUND((C15/$C$28)*100,1)</f>
        <v>4.8</v>
      </c>
    </row>
    <row r="16" spans="1:4" x14ac:dyDescent="0.2">
      <c r="A16">
        <v>2200</v>
      </c>
      <c r="B16" t="s">
        <v>707</v>
      </c>
      <c r="C16" s="128">
        <f>ROUND('DOE25'!L204+'DOE25'!L222+'DOE25'!L240+'DOE25'!L283+'DOE25'!L302+'DOE25'!L321,0)</f>
        <v>119922</v>
      </c>
      <c r="D16" s="131">
        <f t="shared" si="0"/>
        <v>1.4</v>
      </c>
    </row>
    <row r="17" spans="1:4" x14ac:dyDescent="0.2">
      <c r="A17" s="132" t="s">
        <v>723</v>
      </c>
      <c r="B17" t="s">
        <v>738</v>
      </c>
      <c r="C17" s="128">
        <f>ROUND('DOE25'!L205+'DOE25'!L210+'DOE25'!L223+'DOE25'!L228+'DOE25'!L241+'DOE25'!L246+'DOE25'!L284+'DOE25'!L289+'DOE25'!L303+'DOE25'!L308+'DOE25'!L322+'DOE25'!L327,0)</f>
        <v>461385</v>
      </c>
      <c r="D17" s="131">
        <f t="shared" si="0"/>
        <v>5.5</v>
      </c>
    </row>
    <row r="18" spans="1:4" x14ac:dyDescent="0.2">
      <c r="A18">
        <v>2400</v>
      </c>
      <c r="B18" t="s">
        <v>711</v>
      </c>
      <c r="C18" s="128">
        <f>ROUND('DOE25'!L206+'DOE25'!L224+'DOE25'!L242+'DOE25'!L285+'DOE25'!L304+'DOE25'!L323,0)</f>
        <v>489668</v>
      </c>
      <c r="D18" s="131">
        <f t="shared" si="0"/>
        <v>5.8</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687354</v>
      </c>
      <c r="D20" s="131">
        <f t="shared" si="0"/>
        <v>8.1999999999999993</v>
      </c>
    </row>
    <row r="21" spans="1:4" x14ac:dyDescent="0.2">
      <c r="A21">
        <v>2700</v>
      </c>
      <c r="B21" t="s">
        <v>710</v>
      </c>
      <c r="C21" s="128">
        <f>ROUND('DOE25'!L209+'DOE25'!L227+'DOE25'!L245+'DOE25'!L288+'DOE25'!L307+'DOE25'!L326,0)</f>
        <v>131014</v>
      </c>
      <c r="D21" s="131">
        <f t="shared" si="0"/>
        <v>1.6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74460</v>
      </c>
      <c r="D25" s="131">
        <f t="shared" si="0"/>
        <v>0.9</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50987.4</v>
      </c>
      <c r="D27" s="131">
        <f t="shared" si="0"/>
        <v>0.6</v>
      </c>
    </row>
    <row r="28" spans="1:4" x14ac:dyDescent="0.2">
      <c r="B28" s="135" t="s">
        <v>719</v>
      </c>
      <c r="C28" s="129">
        <f>SUM(C10:C27)</f>
        <v>8371613.4000000004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8371613.4000000004</v>
      </c>
    </row>
    <row r="31" spans="1:4" x14ac:dyDescent="0.2">
      <c r="B31" s="32"/>
      <c r="C31" s="129"/>
    </row>
    <row r="32" spans="1:4" x14ac:dyDescent="0.2">
      <c r="A32">
        <v>5100</v>
      </c>
      <c r="B32" s="32" t="s">
        <v>726</v>
      </c>
      <c r="C32" s="129">
        <f>ROUND('DOE25'!L261+'DOE25'!L342,0)</f>
        <v>144027</v>
      </c>
    </row>
    <row r="34" spans="1:4" x14ac:dyDescent="0.2">
      <c r="A34" s="135" t="s">
        <v>94</v>
      </c>
      <c r="B34" s="136" t="s">
        <v>1794</v>
      </c>
      <c r="C34" s="130" t="s">
        <v>720</v>
      </c>
      <c r="D34" s="130" t="s">
        <v>721</v>
      </c>
    </row>
    <row r="35" spans="1:4" x14ac:dyDescent="0.2">
      <c r="A35">
        <v>1100</v>
      </c>
      <c r="B35" s="71" t="s">
        <v>727</v>
      </c>
      <c r="C35" s="128">
        <f>ROUND('DOE25'!F60+'DOE25'!G60+'DOE25'!H60+'DOE25'!I60+'DOE25'!J60,0)</f>
        <v>7106754</v>
      </c>
      <c r="D35" s="131">
        <f t="shared" ref="D35:D40" si="1">ROUND((C35/$C$41)*100,1)</f>
        <v>81.8</v>
      </c>
    </row>
    <row r="36" spans="1:4" x14ac:dyDescent="0.2">
      <c r="B36" s="71" t="s">
        <v>739</v>
      </c>
      <c r="C36" s="128">
        <f>SUM('DOE25'!F112:J112)-SUM('DOE25'!G97:G110)+('DOE25'!F175+'DOE25'!F176+'DOE25'!I175+'DOE25'!I176)-C35</f>
        <v>89281.25</v>
      </c>
      <c r="D36" s="131">
        <f t="shared" si="1"/>
        <v>1</v>
      </c>
    </row>
    <row r="37" spans="1:4" x14ac:dyDescent="0.2">
      <c r="A37" s="132" t="s">
        <v>831</v>
      </c>
      <c r="B37" s="71" t="s">
        <v>728</v>
      </c>
      <c r="C37" s="128">
        <f>ROUND('DOE25'!F117+'DOE25'!F118,0)</f>
        <v>1294758</v>
      </c>
      <c r="D37" s="131">
        <f t="shared" si="1"/>
        <v>14.9</v>
      </c>
    </row>
    <row r="38" spans="1:4" x14ac:dyDescent="0.2">
      <c r="A38" s="132" t="s">
        <v>734</v>
      </c>
      <c r="B38" s="71" t="s">
        <v>729</v>
      </c>
      <c r="C38" s="128">
        <f>ROUND(SUM('DOE25'!F140:J140)-SUM('DOE25'!F117:F119),0)</f>
        <v>23201</v>
      </c>
      <c r="D38" s="131">
        <f t="shared" si="1"/>
        <v>0.3</v>
      </c>
    </row>
    <row r="39" spans="1:4" x14ac:dyDescent="0.2">
      <c r="A39">
        <v>4000</v>
      </c>
      <c r="B39" s="71" t="s">
        <v>730</v>
      </c>
      <c r="C39" s="128">
        <f>ROUND('DOE25'!F170+'DOE25'!G170+'DOE25'!H170+'DOE25'!I170,0)</f>
        <v>176828</v>
      </c>
      <c r="D39" s="131">
        <f t="shared" si="1"/>
        <v>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8690822.25</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Lyme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t="s">
        <v>1846</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172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f>IF('School Level Expenditures'!$B$2=A175,'School Tables'!H175,"")</f>
        <v>172</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2024-09-06T17:30:11Z</cp:lastPrinted>
  <dcterms:created xsi:type="dcterms:W3CDTF">1997-12-04T19:04:30Z</dcterms:created>
  <dcterms:modified xsi:type="dcterms:W3CDTF">2025-01-06T12:28:05Z</dcterms:modified>
</cp:coreProperties>
</file>