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01FFFDA-7C1B-4099-8EBE-1E651B899E7C}"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638" i="1" l="1"/>
  <c r="H632" i="1"/>
  <c r="F120" i="1"/>
  <c r="Q6" i="14"/>
  <c r="E6" i="14"/>
  <c r="M6" i="14"/>
  <c r="K6" i="14"/>
  <c r="C38" i="12" l="1"/>
  <c r="B39" i="12"/>
  <c r="B38" i="12"/>
  <c r="C20" i="12"/>
  <c r="C19" i="12"/>
  <c r="B19" i="12"/>
  <c r="B20" i="12"/>
  <c r="C12" i="12"/>
  <c r="C10" i="12"/>
  <c r="B12" i="12"/>
  <c r="B10" i="12"/>
  <c r="H576" i="1"/>
  <c r="H605" i="1"/>
  <c r="H583" i="1"/>
  <c r="H522" i="1"/>
  <c r="G522" i="1"/>
  <c r="F522" i="1"/>
  <c r="G508" i="1"/>
  <c r="F203" i="1" l="1"/>
  <c r="G204" i="1" l="1"/>
  <c r="F204" i="1"/>
  <c r="H203" i="1"/>
  <c r="G203" i="1"/>
  <c r="G199" i="1"/>
  <c r="H234" i="1" l="1"/>
  <c r="F57" i="1"/>
  <c r="F500" i="1" l="1"/>
  <c r="H283" i="1"/>
  <c r="I280" i="1"/>
  <c r="H110" i="1"/>
  <c r="H162" i="1"/>
  <c r="F369" i="1"/>
  <c r="F368" i="1"/>
  <c r="F359" i="1"/>
  <c r="G132" i="1"/>
  <c r="G97" i="1"/>
  <c r="G110"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61" i="15"/>
  <c r="AF77" i="15"/>
  <c r="AF59"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C16" i="14" s="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H17" i="2" s="1"/>
  <c r="D17" i="2"/>
  <c r="E17" i="2"/>
  <c r="F17" i="2"/>
  <c r="I446" i="1"/>
  <c r="J18" i="1" s="1"/>
  <c r="G17" i="2" s="1"/>
  <c r="C21" i="2"/>
  <c r="D21" i="2"/>
  <c r="E21" i="2"/>
  <c r="F21" i="2"/>
  <c r="I449" i="1"/>
  <c r="J22" i="1" s="1"/>
  <c r="C22" i="2"/>
  <c r="D22" i="2"/>
  <c r="E22" i="2"/>
  <c r="H22" i="2" s="1"/>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3" i="1"/>
  <c r="H634" i="1"/>
  <c r="H636" i="1"/>
  <c r="H637" i="1"/>
  <c r="H639" i="1"/>
  <c r="G641" i="1"/>
  <c r="G644" i="1"/>
  <c r="G645" i="1"/>
  <c r="G651" i="1"/>
  <c r="G652" i="1"/>
  <c r="H653" i="1"/>
  <c r="G654" i="1"/>
  <c r="H654" i="1"/>
  <c r="H655" i="1"/>
  <c r="H656" i="1"/>
  <c r="I170" i="1"/>
  <c r="J652" i="1" l="1"/>
  <c r="G409" i="1"/>
  <c r="H646" i="1" s="1"/>
  <c r="C120" i="2"/>
  <c r="H120" i="2" s="1"/>
  <c r="C119" i="2"/>
  <c r="C112" i="2"/>
  <c r="K36" i="14"/>
  <c r="K37" i="14" s="1"/>
  <c r="H8" i="2"/>
  <c r="H100" i="2"/>
  <c r="H79" i="2"/>
  <c r="H73" i="2"/>
  <c r="H132" i="2"/>
  <c r="H87" i="2"/>
  <c r="J112" i="1"/>
  <c r="J194" i="1" s="1"/>
  <c r="G647" i="1" s="1"/>
  <c r="G646" i="1"/>
  <c r="J646" i="1" s="1"/>
  <c r="H96" i="2"/>
  <c r="H477" i="1"/>
  <c r="H625" i="1" s="1"/>
  <c r="H98" i="2"/>
  <c r="H93" i="2"/>
  <c r="H80" i="2"/>
  <c r="H101" i="2"/>
  <c r="H76" i="2"/>
  <c r="H58" i="2"/>
  <c r="H34" i="2"/>
  <c r="H13" i="2"/>
  <c r="D18" i="13"/>
  <c r="C18" i="13" s="1"/>
  <c r="H28" i="2"/>
  <c r="H24" i="2"/>
  <c r="H47" i="2"/>
  <c r="D144" i="2"/>
  <c r="H97" i="2"/>
  <c r="H89" i="2"/>
  <c r="H72" i="2"/>
  <c r="H9" i="2"/>
  <c r="E13" i="13"/>
  <c r="C13" i="13" s="1"/>
  <c r="H30" i="2"/>
  <c r="H27" i="2"/>
  <c r="H23" i="2"/>
  <c r="H36" i="2"/>
  <c r="H43" i="2"/>
  <c r="H48" i="2"/>
  <c r="H102" i="2"/>
  <c r="H99" i="2"/>
  <c r="H15" i="2"/>
  <c r="H112" i="2"/>
  <c r="H29" i="2"/>
  <c r="H59" i="2"/>
  <c r="H35" i="2"/>
  <c r="G62" i="2"/>
  <c r="G63" i="2" s="1"/>
  <c r="D15" i="13"/>
  <c r="C15" i="13" s="1"/>
  <c r="H38" i="2"/>
  <c r="H44" i="2"/>
  <c r="K2" i="14"/>
  <c r="K3" i="14" s="1"/>
  <c r="H61" i="2"/>
  <c r="H12" i="2"/>
  <c r="H11" i="2"/>
  <c r="G477" i="1"/>
  <c r="G662" i="1"/>
  <c r="D29" i="13"/>
  <c r="C29" i="13" s="1"/>
  <c r="D78" i="2"/>
  <c r="D81" i="2" s="1"/>
  <c r="H77"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H122" i="2" s="1"/>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H119" i="2" l="1"/>
  <c r="F194" i="1"/>
  <c r="G628" i="1" s="1"/>
  <c r="J628" i="1" s="1"/>
  <c r="E144" i="2"/>
  <c r="H114" i="2"/>
  <c r="H21" i="2"/>
  <c r="H57" i="2"/>
  <c r="H16" i="2"/>
  <c r="H50" i="2"/>
  <c r="H134" i="2"/>
  <c r="H78" i="2"/>
  <c r="H123" i="2"/>
  <c r="H103" i="2"/>
  <c r="C81" i="2"/>
  <c r="H81" i="2" s="1"/>
  <c r="H42" i="2"/>
  <c r="E91" i="2"/>
  <c r="H91" i="2" s="1"/>
  <c r="H85" i="2"/>
  <c r="E51" i="2"/>
  <c r="H18" i="2"/>
  <c r="D128" i="2"/>
  <c r="D145" i="2" s="1"/>
  <c r="H127" i="2"/>
  <c r="I662" i="1"/>
  <c r="D63" i="2"/>
  <c r="H62" i="2"/>
  <c r="D51" i="2"/>
  <c r="H31"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63" i="2" l="1"/>
  <c r="H51" i="2"/>
  <c r="E104" i="2"/>
  <c r="C104" i="2"/>
  <c r="H104" i="2" s="1"/>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<sst xmlns="http://schemas.openxmlformats.org/spreadsheetml/2006/main" count="6642" uniqueCount="1844">
  <si>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</si>
  <si>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</si>
  <si>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</si>
  <si>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</si>
  <si>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</si>
  <si>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</si>
  <si>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</si>
  <si>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</si>
  <si>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</si>
  <si>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</si>
  <si>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</si>
  <si>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</si>
  <si>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</si>
  <si>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</si>
  <si>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</si>
  <si>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</si>
  <si>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</si>
  <si>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</si>
  <si>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</si>
  <si>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</si>
  <si>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</si>
  <si>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</si>
  <si>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</si>
  <si>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</si>
  <si>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</si>
  <si>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</si>
  <si>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</si>
  <si>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</si>
  <si>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</si>
  <si>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</si>
  <si>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</si>
  <si>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</si>
  <si>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</si>
  <si>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</si>
  <si>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</si>
  <si>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</si>
  <si>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</si>
  <si>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</si>
  <si>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</si>
  <si>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</si>
  <si>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</si>
  <si>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</si>
  <si>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</si>
  <si>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</si>
  <si>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</si>
  <si>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</si>
  <si>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</si>
  <si>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</si>
  <si>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</si>
  <si>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</si>
  <si>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</si>
  <si>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</si>
  <si>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</si>
  <si>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</si>
  <si>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</si>
  <si>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</si>
  <si>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</si>
  <si>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</si>
  <si>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</si>
  <si>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</si>
  <si>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</si>
  <si>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</si>
  <si>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</si>
  <si>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</si>
  <si>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</si>
  <si>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</si>
  <si>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</si>
  <si>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</si>
  <si>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</si>
  <si>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</si>
  <si>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</si>
  <si>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</si>
  <si>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</si>
  <si>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</si>
  <si>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</si>
  <si>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</si>
  <si>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</si>
  <si>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</si>
  <si>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</si>
  <si>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</si>
  <si>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</si>
  <si>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</si>
  <si>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</si>
  <si>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</si>
  <si>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</si>
  <si>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</si>
  <si>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</si>
  <si>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</si>
  <si>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</si>
  <si>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</si>
  <si>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</si>
  <si>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</si>
  <si>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</si>
  <si>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</si>
  <si>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</si>
  <si>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</si>
  <si>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</si>
  <si>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</si>
  <si>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</si>
  <si>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</si>
  <si>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</si>
  <si>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</si>
  <si>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</si>
  <si>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</si>
  <si>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</si>
  <si>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</si>
  <si>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</si>
  <si>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</si>
  <si>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</si>
  <si>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</si>
  <si>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</si>
  <si>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</si>
  <si>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</si>
  <si>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</si>
  <si>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</si>
  <si>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</si>
  <si>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</si>
  <si>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</si>
  <si>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</si>
  <si>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</si>
  <si>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</si>
  <si>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</si>
  <si>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</si>
  <si>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</si>
  <si>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</si>
  <si>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</si>
  <si>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</si>
  <si>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</si>
  <si>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</si>
  <si>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</si>
  <si>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</si>
  <si>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</si>
  <si>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</si>
  <si>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</si>
  <si>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</si>
  <si>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</si>
  <si>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</si>
  <si>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</si>
  <si>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</si>
  <si>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</si>
  <si>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</si>
  <si>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</si>
  <si>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</si>
  <si>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</si>
  <si>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</si>
  <si>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</si>
  <si>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</si>
  <si>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</si>
  <si>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</si>
  <si>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</si>
  <si>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</si>
  <si>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</si>
  <si>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</si>
  <si>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</si>
  <si>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</si>
  <si>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</si>
  <si>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</si>
  <si>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</si>
  <si>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</si>
  <si>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</si>
  <si>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</si>
  <si>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</si>
  <si>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</si>
  <si>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</si>
  <si>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</si>
  <si>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</si>
  <si>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</si>
  <si>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</si>
  <si>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</si>
  <si>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</si>
  <si>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</si>
  <si>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</si>
  <si>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</si>
  <si>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</si>
  <si>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</si>
  <si>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</si>
  <si>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</si>
  <si>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</si>
  <si>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</si>
  <si>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</si>
  <si>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</si>
  <si>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</si>
  <si>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</si>
  <si>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</si>
  <si>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</si>
  <si>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</si>
  <si>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</si>
  <si>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</si>
  <si>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</si>
  <si>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</si>
  <si>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</si>
  <si>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</si>
  <si>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</si>
  <si>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</si>
  <si>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</si>
  <si>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</si>
  <si>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</si>
  <si>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</si>
  <si>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</si>
  <si>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</si>
  <si>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</si>
  <si>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</si>
  <si>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</si>
  <si>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</si>
  <si>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</si>
  <si>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</si>
  <si>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</si>
  <si>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</si>
  <si>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</si>
  <si>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</si>
  <si>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</si>
  <si>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</si>
  <si>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</si>
  <si>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</si>
  <si>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</si>
  <si>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</si>
  <si>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</si>
  <si>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</si>
  <si>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</si>
  <si>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</si>
  <si>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</si>
  <si>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</si>
  <si>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</si>
  <si>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</si>
  <si>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</si>
  <si>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</si>
  <si>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</si>
  <si>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</si>
  <si>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</si>
  <si>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</si>
  <si>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</si>
  <si>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</si>
  <si>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</si>
  <si>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</si>
  <si>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</si>
  <si>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</si>
  <si>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</si>
  <si>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</si>
  <si>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</si>
  <si>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</si>
  <si>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</si>
  <si>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</si>
  <si>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</si>
  <si>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</si>
  <si>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</si>
  <si>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</si>
  <si>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</si>
  <si>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</si>
  <si>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</si>
  <si>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</si>
  <si>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</si>
  <si>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</si>
  <si>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</si>
  <si>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</si>
  <si>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</si>
  <si>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</si>
  <si>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</si>
  <si>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</si>
  <si>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</si>
  <si>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</si>
  <si>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</si>
  <si>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</si>
  <si>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</si>
  <si>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</si>
  <si>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</si>
  <si>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</si>
  <si>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</si>
  <si>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</si>
  <si>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</si>
  <si>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</si>
  <si>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</si>
  <si>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</si>
  <si>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</si>
  <si>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</si>
  <si>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</si>
  <si>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</si>
  <si>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</si>
  <si>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</si>
  <si>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</si>
  <si>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</si>
  <si>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</si>
  <si>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</si>
  <si>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</si>
  <si>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</si>
  <si>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</si>
  <si>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</si>
  <si>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</si>
  <si>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</si>
  <si>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</si>
  <si>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</si>
  <si>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</si>
  <si>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</si>
  <si>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</si>
  <si>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</si>
  <si>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</si>
  <si>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</si>
  <si>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</si>
  <si>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</si>
  <si>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</si>
  <si>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</si>
  <si>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</si>
  <si>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</si>
  <si>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</si>
  <si>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</si>
  <si>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</si>
  <si>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</si>
  <si>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</si>
  <si>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</si>
  <si>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</si>
  <si>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</si>
  <si>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</si>
  <si>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</si>
  <si>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</si>
  <si>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</si>
  <si>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</si>
  <si>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</si>
  <si>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</si>
  <si>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</si>
  <si>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</si>
  <si>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</si>
  <si>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</si>
  <si>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</si>
  <si>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</si>
  <si>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</si>
  <si>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</si>
  <si>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</si>
  <si>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</si>
  <si>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</si>
  <si>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</si>
  <si>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</si>
  <si>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</si>
  <si>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</si>
  <si>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</si>
  <si>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</si>
  <si>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</si>
  <si>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</si>
  <si>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</si>
  <si>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</si>
  <si>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</si>
  <si>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</si>
  <si>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</si>
  <si>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</si>
  <si>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</si>
  <si>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</si>
  <si>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</si>
  <si>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</si>
  <si>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</si>
  <si>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</si>
  <si>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</si>
  <si>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</si>
  <si>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</si>
  <si>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</si>
  <si>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</si>
  <si>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</si>
  <si>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</si>
  <si>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</si>
  <si>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</si>
  <si>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</si>
  <si>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</si>
  <si>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</si>
  <si>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</si>
  <si>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</si>
  <si>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</si>
  <si>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</si>
  <si>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</si>
  <si>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</si>
  <si>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</si>
  <si>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</si>
  <si>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</si>
  <si>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</si>
  <si>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</si>
  <si>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</si>
  <si>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</si>
  <si>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</si>
  <si>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</si>
  <si>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</si>
  <si>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</si>
  <si>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</si>
  <si>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</si>
  <si>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</si>
  <si>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</si>
  <si>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</si>
  <si>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</si>
  <si>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</si>
  <si>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</si>
  <si>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</si>
  <si>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</si>
  <si>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</si>
  <si>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</si>
  <si>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</si>
  <si>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</si>
  <si>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</si>
  <si>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</si>
  <si>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</si>
  <si>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</si>
  <si>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</si>
  <si>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</si>
  <si>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</si>
  <si>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</si>
  <si>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</si>
  <si>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</si>
  <si>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</si>
  <si>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</si>
  <si>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</si>
  <si>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</si>
  <si>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</si>
  <si>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</si>
  <si>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</si>
  <si>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</si>
  <si>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</si>
  <si>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</si>
  <si>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</si>
  <si>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</si>
  <si>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</si>
  <si>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</si>
  <si>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</si>
  <si>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</si>
  <si>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</si>
  <si>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</si>
  <si>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</si>
  <si>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</si>
  <si>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</si>
  <si>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</si>
  <si>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</si>
  <si>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</si>
  <si>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</si>
  <si>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</si>
  <si>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</si>
  <si>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</si>
  <si>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</si>
  <si>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</si>
  <si>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</si>
  <si>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</si>
  <si>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</si>
  <si>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</si>
  <si>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</si>
  <si>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</si>
  <si>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</si>
  <si>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</si>
  <si>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</si>
  <si>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</si>
  <si>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</si>
  <si>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</si>
  <si>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</si>
  <si>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</si>
  <si>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</si>
  <si>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</si>
  <si>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</si>
  <si>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</si>
  <si>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</si>
  <si>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</si>
  <si>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</si>
  <si>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</si>
  <si>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</si>
  <si>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</si>
  <si>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</si>
  <si>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</si>
  <si>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</si>
  <si>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</si>
  <si>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</si>
  <si>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</si>
  <si>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</si>
  <si>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</si>
  <si>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</si>
  <si>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</si>
  <si>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</si>
  <si>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</si>
  <si>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</si>
  <si>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</si>
  <si>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</si>
  <si>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</si>
  <si>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</si>
  <si>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</si>
  <si>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</si>
  <si>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</si>
  <si>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</si>
  <si>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</si>
  <si>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</si>
  <si>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</si>
  <si>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</si>
  <si>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</si>
  <si>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</si>
  <si>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</si>
  <si>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</si>
  <si>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</si>
  <si>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</si>
  <si>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</si>
  <si>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</si>
  <si>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</si>
  <si>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</si>
  <si>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</si>
  <si>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</si>
  <si>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</si>
  <si>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</si>
  <si>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</si>
  <si>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</si>
  <si>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</si>
  <si>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</si>
  <si>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</si>
  <si>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</si>
  <si>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</si>
  <si>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</si>
  <si>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</si>
  <si>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</si>
  <si>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</si>
  <si>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</si>
  <si>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</si>
  <si>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</si>
  <si>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</si>
  <si>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</si>
  <si>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</si>
  <si>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</si>
  <si>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</si>
  <si>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</si>
  <si>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</si>
  <si>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</si>
  <si>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</si>
  <si>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</si>
  <si>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</si>
  <si>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</si>
  <si>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</si>
  <si>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</si>
  <si>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</si>
  <si>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</si>
  <si>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</si>
  <si>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</si>
  <si>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</si>
  <si>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</si>
  <si>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</si>
  <si>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</si>
  <si>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</si>
  <si>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</si>
  <si>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</si>
  <si>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</si>
  <si>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</si>
  <si>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</si>
  <si>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</si>
  <si>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</si>
  <si>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</si>
  <si>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</si>
  <si>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</si>
  <si>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</si>
  <si>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</si>
  <si>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</si>
  <si>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</si>
  <si>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</si>
  <si>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</si>
  <si>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</si>
  <si>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</si>
  <si>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</si>
  <si>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</si>
  <si>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</si>
  <si>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</si>
  <si>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</si>
  <si>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</si>
  <si>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</si>
  <si>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</si>
  <si>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</si>
  <si>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</si>
  <si>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</si>
  <si>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</si>
  <si>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</si>
  <si>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</si>
  <si>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</si>
  <si>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</si>
  <si>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</si>
  <si>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</si>
  <si>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</si>
  <si>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</si>
  <si>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</si>
  <si>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</si>
  <si>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</si>
  <si>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</si>
  <si>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</si>
  <si>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</si>
  <si>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</si>
  <si>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</si>
  <si>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</si>
  <si>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</si>
  <si>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</si>
  <si>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</si>
  <si>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</si>
  <si>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</si>
  <si>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</si>
  <si>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</si>
  <si>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</si>
  <si>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</si>
  <si>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</si>
  <si>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</si>
  <si>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</si>
  <si>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</si>
  <si>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</si>
  <si>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</si>
  <si>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</si>
  <si>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</si>
  <si>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</si>
  <si>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</si>
  <si>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</si>
  <si>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</si>
  <si>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</si>
  <si>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</si>
  <si>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</si>
  <si>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</si>
  <si>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</si>
  <si>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</si>
  <si>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</si>
  <si>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</si>
  <si>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</si>
  <si>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</si>
  <si>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</si>
  <si>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</si>
  <si>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</si>
  <si>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</si>
  <si>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</si>
  <si>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</si>
  <si>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</si>
  <si>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</si>
  <si>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</si>
  <si>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</si>
  <si>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</si>
  <si>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</si>
  <si>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</si>
  <si>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</si>
  <si>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</si>
  <si>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</si>
  <si>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</si>
  <si>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</si>
  <si>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</si>
  <si>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</si>
  <si>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</si>
  <si>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</si>
  <si>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</si>
  <si>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</si>
  <si>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</si>
  <si>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</si>
  <si>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</si>
  <si>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</si>
  <si>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</si>
  <si>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</si>
  <si>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</si>
  <si>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</si>
  <si>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</si>
  <si>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</si>
  <si>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</si>
  <si>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</si>
  <si>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</si>
  <si>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</si>
  <si>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</si>
  <si>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</si>
  <si>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</si>
  <si>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</si>
  <si>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</si>
  <si>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</si>
  <si>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</si>
  <si>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</si>
  <si>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</si>
  <si>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</si>
  <si>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</si>
  <si>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</si>
  <si>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</si>
  <si>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</si>
  <si>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</si>
  <si>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</si>
  <si>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</si>
  <si>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</si>
  <si>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</si>
  <si>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</si>
  <si>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</si>
  <si>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</si>
  <si>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</si>
  <si>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</si>
  <si>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</si>
  <si>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</si>
  <si>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</si>
  <si>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</si>
  <si>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</si>
  <si>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</si>
  <si>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</si>
  <si>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</si>
  <si>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</si>
  <si>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</si>
  <si>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</si>
  <si>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</si>
  <si>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</si>
  <si>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</si>
  <si>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</si>
  <si>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</si>
  <si>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</si>
  <si>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</si>
  <si>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</si>
  <si>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</si>
  <si>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</si>
  <si>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</si>
  <si>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</si>
  <si>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</si>
  <si>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</si>
  <si>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</si>
  <si>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</si>
  <si>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</si>
  <si>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</si>
  <si>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</si>
  <si>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</si>
  <si>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</si>
  <si>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</si>
  <si>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</si>
  <si>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</si>
  <si>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</si>
  <si>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</si>
  <si>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</si>
  <si>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</si>
  <si>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</si>
  <si>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</si>
  <si>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</si>
  <si>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</si>
  <si>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</si>
  <si>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</si>
  <si>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</si>
  <si>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</si>
  <si>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</si>
  <si>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</si>
  <si>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</si>
  <si>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</si>
  <si>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</si>
  <si>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</si>
  <si>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</si>
  <si>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</si>
  <si>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</si>
  <si>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</si>
  <si>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</si>
  <si>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</si>
  <si>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</si>
  <si>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</si>
  <si>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</si>
  <si>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</si>
  <si>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</si>
  <si>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</si>
  <si>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</si>
  <si>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</si>
  <si>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</si>
  <si>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</si>
  <si>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</si>
  <si>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</si>
  <si>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</si>
  <si>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</si>
  <si>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</si>
  <si>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</si>
  <si>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</si>
  <si>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</si>
  <si>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</si>
  <si>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</si>
  <si>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</si>
  <si>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</si>
  <si>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</si>
  <si>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</si>
  <si>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</si>
  <si>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</si>
  <si>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</si>
  <si>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</si>
  <si>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</si>
  <si>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</si>
  <si>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</si>
  <si>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</si>
  <si>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</si>
  <si>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</si>
  <si>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</si>
  <si>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</si>
  <si>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</si>
  <si>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</si>
  <si>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</si>
  <si>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</si>
  <si>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</si>
  <si>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</si>
  <si>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</si>
  <si>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</si>
  <si>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</si>
  <si>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</si>
  <si>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</si>
  <si>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</si>
  <si>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</si>
  <si>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</si>
  <si>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</si>
  <si>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</si>
  <si>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</si>
  <si>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</si>
  <si>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</si>
  <si>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</si>
  <si>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</si>
  <si>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</si>
  <si>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</si>
  <si>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</si>
  <si>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</si>
  <si>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</si>
  <si>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</si>
  <si>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</si>
  <si>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</si>
  <si>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</si>
  <si>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</si>
  <si>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</si>
  <si>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</si>
  <si>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</si>
  <si>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</si>
  <si>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</si>
  <si>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</si>
  <si>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</si>
  <si>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</si>
  <si>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</si>
  <si>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</si>
  <si>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</si>
  <si>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</si>
  <si>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</si>
  <si>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</si>
  <si>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</si>
  <si>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</si>
  <si>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</si>
  <si>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</si>
  <si>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</si>
  <si>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</si>
  <si>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</si>
  <si>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</si>
  <si>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</si>
  <si>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</si>
  <si>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</si>
  <si>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</si>
  <si>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</si>
  <si>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</si>
  <si>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</si>
  <si>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</si>
  <si>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</si>
  <si>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</si>
  <si>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</si>
  <si>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</si>
  <si>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</si>
  <si>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</si>
  <si>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</si>
  <si>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</si>
  <si>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</si>
  <si>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</si>
  <si>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</si>
  <si>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</si>
  <si>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</si>
  <si>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</si>
  <si>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</si>
  <si>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</si>
  <si>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</si>
  <si>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</si>
  <si>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</si>
  <si>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</si>
  <si>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</si>
  <si>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</si>
  <si>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</si>
  <si>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</si>
  <si>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</si>
  <si>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</si>
  <si>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</si>
  <si>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</si>
  <si>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</si>
  <si>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</si>
  <si>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</si>
  <si>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</si>
  <si>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</si>
  <si>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</si>
  <si>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</si>
  <si>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</si>
  <si>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</si>
  <si>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</si>
  <si>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</si>
  <si>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</si>
  <si>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</si>
  <si>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</si>
  <si>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</si>
  <si>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</si>
  <si>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</si>
  <si>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</si>
  <si>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</si>
  <si>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</si>
  <si>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</si>
  <si>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</si>
  <si>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</si>
  <si>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</si>
  <si>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</si>
  <si>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</si>
  <si>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</si>
  <si>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</si>
  <si>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</si>
  <si>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</si>
  <si>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</si>
  <si>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</si>
  <si>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</si>
  <si>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</si>
  <si>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</si>
  <si>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</si>
  <si>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</si>
  <si>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</si>
  <si>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</si>
  <si>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</si>
  <si>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</si>
  <si>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</si>
  <si>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</si>
  <si>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</si>
  <si>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</si>
  <si>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</si>
  <si>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</si>
  <si>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</si>
  <si>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</si>
  <si>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</si>
  <si>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</si>
  <si>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</si>
  <si>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</si>
  <si>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</si>
  <si>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</si>
  <si>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</si>
  <si>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</si>
  <si>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</si>
  <si>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</si>
  <si>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</si>
  <si>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</si>
  <si>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</si>
  <si>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</si>
  <si>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</si>
  <si>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</si>
  <si>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</si>
  <si>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</si>
  <si>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</si>
  <si>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</si>
  <si>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</si>
  <si>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</si>
  <si>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</si>
  <si>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</si>
  <si>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</si>
  <si>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</si>
  <si>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</si>
  <si>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</si>
  <si>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</si>
  <si>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</si>
  <si>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</si>
  <si>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</si>
  <si>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</si>
  <si>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</si>
  <si>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</si>
  <si>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</si>
  <si>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</si>
  <si>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</si>
  <si>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</si>
  <si>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</si>
  <si>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</si>
  <si>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</si>
  <si>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</si>
  <si>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</si>
  <si>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</si>
  <si>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</si>
  <si>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</si>
  <si>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</si>
  <si>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</si>
  <si>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</si>
  <si>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</si>
  <si>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</si>
  <si>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</si>
  <si>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</si>
  <si>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</si>
  <si>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</si>
  <si>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</si>
  <si>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</si>
  <si>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</si>
  <si>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</si>
  <si>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</si>
  <si>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</si>
  <si>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</si>
  <si>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</si>
  <si>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</si>
  <si>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</si>
  <si>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</si>
  <si>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</si>
  <si>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</si>
  <si>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</si>
  <si>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</si>
  <si>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</si>
  <si>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</si>
  <si>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</si>
  <si>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</si>
  <si>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</si>
  <si>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</si>
  <si>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</si>
  <si>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</si>
  <si>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</si>
  <si>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</si>
  <si>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</si>
  <si>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</si>
  <si>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</si>
  <si>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</si>
  <si>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</si>
  <si>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</si>
  <si>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</si>
  <si>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</si>
  <si>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</si>
  <si>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</si>
  <si>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</si>
  <si>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</si>
  <si>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</si>
  <si>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</si>
  <si>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</si>
  <si>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</si>
  <si>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</si>
  <si>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</si>
  <si>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</si>
  <si>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</si>
  <si>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</si>
  <si>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</si>
  <si>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</si>
  <si>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</si>
  <si>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</si>
  <si>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</si>
  <si>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</si>
  <si>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</si>
  <si>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</si>
  <si>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</si>
  <si>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</si>
  <si>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</si>
  <si>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</si>
  <si>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</si>
  <si>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</si>
  <si>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</si>
  <si>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</si>
  <si>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</si>
  <si>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</si>
  <si>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</si>
  <si>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</si>
  <si>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</si>
  <si>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</si>
  <si>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</si>
  <si>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</si>
  <si>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</si>
  <si>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</si>
  <si>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</si>
  <si>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</si>
  <si>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</si>
  <si>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</si>
  <si>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</si>
  <si>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</si>
  <si>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</si>
  <si>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</si>
  <si>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</si>
  <si>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</si>
  <si>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</si>
  <si>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</si>
  <si>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</si>
  <si>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</si>
  <si>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</si>
  <si>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</si>
  <si>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</si>
  <si>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</si>
  <si>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</si>
  <si>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</si>
  <si>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</si>
  <si>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</si>
  <si>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</si>
  <si>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</si>
  <si>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</si>
  <si>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</si>
  <si>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</si>
  <si>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</si>
  <si>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</si>
  <si>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</si>
  <si>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</si>
  <si>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</si>
  <si>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</si>
  <si>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</si>
  <si>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</si>
  <si>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</si>
  <si>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</si>
  <si>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</si>
  <si>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</si>
  <si>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</si>
  <si>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</si>
  <si>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</si>
  <si>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</si>
  <si>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</si>
  <si>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</si>
  <si>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</si>
  <si>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</si>
  <si>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</si>
  <si>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</si>
  <si>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</si>
  <si>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</si>
  <si>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</si>
  <si>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</si>
  <si>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</si>
  <si>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</si>
  <si>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</si>
  <si>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</si>
  <si>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</si>
  <si>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</si>
  <si>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</si>
  <si>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</si>
  <si>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</si>
  <si>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</si>
  <si>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</si>
  <si>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</si>
  <si>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</si>
  <si>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</si>
  <si>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</si>
  <si>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</si>
  <si>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</si>
  <si>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</si>
  <si>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</si>
  <si>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</si>
  <si>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</si>
  <si>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</si>
  <si>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</si>
  <si>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</si>
  <si>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</si>
  <si>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</si>
  <si>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</si>
  <si>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</si>
  <si>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</si>
  <si>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</si>
  <si>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</si>
  <si>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</si>
  <si>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</si>
  <si>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</si>
  <si>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</si>
  <si>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</si>
  <si>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</si>
  <si>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</si>
  <si>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</si>
  <si>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</si>
  <si>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</si>
  <si>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</si>
  <si>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</si>
  <si>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</si>
  <si>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</si>
  <si>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</si>
  <si>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</si>
  <si>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</si>
  <si>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</si>
  <si>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</si>
  <si>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</si>
  <si>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</si>
  <si>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</si>
  <si>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</si>
  <si>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</si>
  <si>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</si>
  <si>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</si>
  <si>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</si>
  <si>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</si>
  <si>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</si>
  <si>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</si>
  <si>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</si>
  <si>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</si>
  <si>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</si>
  <si>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</si>
  <si>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</si>
  <si>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</si>
  <si>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</si>
  <si>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</si>
  <si>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</si>
  <si>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</si>
  <si>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</si>
  <si>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</si>
  <si>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</si>
  <si>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</si>
  <si>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</si>
  <si>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</si>
  <si>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</si>
  <si>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</si>
  <si>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</si>
  <si>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</si>
  <si>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</si>
  <si>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</si>
  <si>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</si>
  <si>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</si>
  <si>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</si>
  <si>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</si>
  <si>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</si>
  <si>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</si>
  <si>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</si>
  <si>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</si>
  <si>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</si>
  <si>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</si>
  <si>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</si>
  <si>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</si>
  <si>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</si>
  <si>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</si>
  <si>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</si>
  <si>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</si>
  <si>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</si>
  <si>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</si>
  <si>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</si>
  <si>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</si>
  <si>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</si>
  <si>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</si>
  <si>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</si>
  <si>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</si>
  <si>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</si>
  <si>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</si>
  <si>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</si>
  <si>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</si>
  <si>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</si>
  <si>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</si>
  <si>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</si>
  <si>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</si>
  <si>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</si>
  <si>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</si>
  <si>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</si>
  <si>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</si>
  <si>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</si>
  <si>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</si>
  <si>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</si>
  <si>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</si>
  <si>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</si>
  <si>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</si>
  <si>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</si>
  <si>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</si>
  <si>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</si>
  <si>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</si>
  <si>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</si>
  <si>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</si>
  <si>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</si>
  <si>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</si>
  <si>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</si>
  <si>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</si>
  <si>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</si>
  <si>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</si>
  <si>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</si>
  <si>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</si>
  <si>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</si>
  <si>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</si>
  <si>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</si>
  <si>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</si>
  <si>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</si>
  <si>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</si>
  <si>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</si>
  <si>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</si>
  <si>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</si>
  <si>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</si>
  <si>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</si>
  <si>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</si>
  <si>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</si>
  <si>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</si>
  <si>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</si>
  <si>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</si>
  <si>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</si>
  <si>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</si>
  <si>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</si>
  <si>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</si>
  <si>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</si>
  <si>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</si>
  <si>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</si>
  <si>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</si>
  <si>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</si>
  <si>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</si>
  <si>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</si>
  <si>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</si>
  <si>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</si>
  <si>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</si>
  <si>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</si>
  <si>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</si>
  <si>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</si>
  <si>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</si>
  <si>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</si>
  <si>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</si>
  <si>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</si>
  <si>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</si>
  <si>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</si>
  <si>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</si>
  <si>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</si>
  <si>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</si>
  <si>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</si>
  <si>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</si>
  <si>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</si>
  <si>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</si>
  <si>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</si>
  <si>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</si>
  <si>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</si>
  <si>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</si>
  <si>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</si>
  <si>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</si>
  <si>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</si>
  <si>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</si>
  <si>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</si>
  <si>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</si>
  <si>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</si>
  <si>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</si>
  <si>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</si>
  <si>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</si>
  <si>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</si>
  <si>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</si>
  <si>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</si>
  <si>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</si>
  <si>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</si>
  <si>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</si>
  <si>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</si>
  <si>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</si>
  <si>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</si>
  <si>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</si>
  <si>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</si>
  <si>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</si>
  <si>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</si>
  <si>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</si>
  <si>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</si>
  <si>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</si>
  <si>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</si>
  <si>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</si>
  <si>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</si>
  <si>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</si>
  <si>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</si>
  <si>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</si>
  <si>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</si>
  <si>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</si>
  <si>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</si>
  <si>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</si>
  <si>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</si>
  <si>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</si>
  <si>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</si>
  <si>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</si>
  <si>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</si>
  <si>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</si>
  <si>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</si>
  <si>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</si>
  <si>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</si>
  <si>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</si>
  <si>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</si>
  <si>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</si>
  <si>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</si>
  <si>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</si>
  <si>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</si>
  <si>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</si>
  <si>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</si>
  <si>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</si>
  <si>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</si>
  <si>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</si>
  <si>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</si>
  <si>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</si>
  <si>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</si>
  <si>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</si>
  <si>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</si>
  <si>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</si>
  <si>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</si>
  <si>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</si>
  <si>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</si>
  <si>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</si>
  <si>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</si>
  <si>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</si>
  <si>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</si>
  <si>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</si>
  <si>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</si>
  <si>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</si>
  <si>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</si>
  <si>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</si>
  <si>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</si>
  <si>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</si>
  <si>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</si>
  <si>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</si>
  <si>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</si>
  <si>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</si>
  <si>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</si>
  <si>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</si>
  <si>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</si>
  <si>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</si>
  <si>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</si>
  <si>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</si>
  <si>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</si>
  <si>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</si>
  <si>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</si>
  <si>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</si>
  <si>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</si>
  <si>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</si>
  <si>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</si>
  <si>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</si>
  <si>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</si>
  <si>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</si>
  <si>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</si>
  <si>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</si>
  <si>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</si>
  <si>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</si>
  <si>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</si>
  <si>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</si>
  <si>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</si>
  <si>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</si>
  <si>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</si>
  <si>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</si>
  <si>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</si>
  <si>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</si>
  <si>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</si>
  <si>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</si>
  <si>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</si>
  <si>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</si>
  <si>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</si>
  <si>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</si>
  <si>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</si>
  <si>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</si>
  <si>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</si>
  <si>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</si>
  <si>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</si>
  <si>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</si>
  <si>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</si>
  <si>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</si>
  <si>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</si>
  <si>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</si>
  <si>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</si>
  <si>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</si>
  <si>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</si>
  <si>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</si>
  <si>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</si>
  <si>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</si>
  <si>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</si>
  <si>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</si>
  <si>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</si>
  <si>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</si>
  <si>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</si>
  <si>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</si>
  <si>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</si>
  <si>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</si>
  <si>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</si>
  <si>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</si>
  <si>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</si>
  <si>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</si>
  <si>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</si>
  <si>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</si>
  <si>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</si>
  <si>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</si>
  <si>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</si>
  <si>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</si>
  <si>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</si>
  <si>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</si>
  <si>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</si>
  <si>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</si>
  <si>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</si>
  <si>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</si>
  <si>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</si>
  <si>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</si>
  <si>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</si>
  <si>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</si>
  <si>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</si>
  <si>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</si>
  <si>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</si>
  <si>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</si>
  <si>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</si>
  <si>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</si>
  <si>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</si>
  <si>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</si>
  <si>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</si>
  <si>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</si>
  <si>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</si>
  <si>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</si>
  <si>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</si>
  <si>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</si>
  <si>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</si>
  <si>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</si>
  <si>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</si>
  <si>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</si>
  <si>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</si>
  <si>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</si>
  <si>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</si>
  <si>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</si>
  <si>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</si>
  <si>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</si>
  <si>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</si>
  <si>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</si>
  <si>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</si>
  <si>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</si>
  <si>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</si>
  <si>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</si>
  <si>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</si>
  <si>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</si>
  <si>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</si>
  <si>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</si>
  <si>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</si>
  <si>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</si>
  <si>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</si>
  <si>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</si>
  <si>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</si>
  <si>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</si>
  <si>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</si>
  <si>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</si>
  <si>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</si>
  <si>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</si>
  <si>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</si>
  <si>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</si>
  <si>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</si>
  <si>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</si>
  <si>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</si>
  <si>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</si>
  <si>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</si>
  <si>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</si>
  <si>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</si>
  <si>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</si>
  <si>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</si>
  <si>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</si>
  <si>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</si>
  <si>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</si>
  <si>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</si>
  <si>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</si>
  <si>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</si>
  <si>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</si>
  <si>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</si>
  <si>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</si>
  <si>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</si>
  <si>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</si>
  <si>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</si>
  <si>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</si>
  <si>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</si>
  <si>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</si>
  <si>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</si>
  <si>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</si>
  <si>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</si>
  <si>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</si>
  <si>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</si>
  <si>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</si>
  <si>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</si>
  <si>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</si>
  <si>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</si>
  <si>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</si>
  <si>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</si>
  <si>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</si>
  <si>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</si>
  <si>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</si>
  <si>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</si>
  <si>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</si>
  <si>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</si>
  <si>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</si>
  <si>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</si>
  <si>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</si>
  <si>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</si>
  <si>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</si>
  <si>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</si>
  <si>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</si>
  <si>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</si>
  <si>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</si>
  <si>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</si>
  <si>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</si>
  <si>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</si>
  <si>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</si>
  <si>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</si>
  <si>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</si>
  <si>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</si>
  <si>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</si>
  <si>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</si>
  <si>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</si>
  <si>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</si>
  <si>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</si>
  <si>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</si>
  <si>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</si>
  <si>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</si>
  <si>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</si>
  <si>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</si>
  <si>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</si>
  <si>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</si>
  <si>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</si>
  <si>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</si>
  <si>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</si>
  <si>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</si>
  <si>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</si>
  <si>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</si>
  <si>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</si>
  <si>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</si>
  <si>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</si>
  <si>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</si>
  <si>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</si>
  <si>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</si>
  <si>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</si>
  <si>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</si>
  <si>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</si>
  <si>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</si>
  <si>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</si>
  <si>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</si>
  <si>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</si>
  <si>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</si>
  <si>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</si>
  <si>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</si>
  <si>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</si>
  <si>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</si>
  <si>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</si>
  <si>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</si>
  <si>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</si>
  <si>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</si>
  <si>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</si>
  <si>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</si>
  <si>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</si>
  <si>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</si>
  <si>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</si>
  <si>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</si>
  <si>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</si>
  <si>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</si>
  <si>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</si>
  <si>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</si>
  <si>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</si>
  <si>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</si>
  <si>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</si>
  <si>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</si>
  <si>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</si>
  <si>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</si>
  <si>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</si>
  <si>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</si>
  <si>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</si>
  <si>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</si>
  <si>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</si>
  <si>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</si>
  <si>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</si>
  <si>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</si>
  <si>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</si>
  <si>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</si>
  <si>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</si>
  <si>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</si>
  <si>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</si>
  <si>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</si>
  <si>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</si>
  <si>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</si>
  <si>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</si>
  <si>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</si>
  <si>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</si>
  <si>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</si>
  <si>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</si>
  <si>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</si>
  <si>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</si>
  <si>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</si>
  <si>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</si>
  <si>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</si>
  <si>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</si>
  <si>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</si>
  <si>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</si>
  <si>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</si>
  <si>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</si>
  <si>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</si>
  <si>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</si>
  <si>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</si>
  <si>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</si>
  <si>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</si>
  <si>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</si>
  <si>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</si>
  <si>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</si>
  <si>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</si>
  <si>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</si>
  <si>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</si>
  <si>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</si>
  <si>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</si>
  <si>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</si>
  <si>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</si>
  <si>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</si>
  <si>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</si>
  <si>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</si>
  <si>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</si>
  <si>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</si>
  <si>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</si>
  <si>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</si>
  <si>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</si>
  <si>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</si>
  <si>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</si>
  <si>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</si>
  <si>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</si>
  <si>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</si>
  <si>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</si>
  <si>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</si>
  <si>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</si>
  <si>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</si>
  <si>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</si>
  <si>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</si>
  <si>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</si>
  <si>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</si>
  <si>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</si>
  <si>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</si>
  <si>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</si>
  <si>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</si>
  <si>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</si>
  <si>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</si>
  <si>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</si>
  <si>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</si>
  <si>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</si>
  <si>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</si>
  <si>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</si>
  <si>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</si>
  <si>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</si>
  <si>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</si>
  <si>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</si>
  <si>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</si>
  <si>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</si>
  <si>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</si>
  <si>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</si>
  <si>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</si>
  <si>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</si>
  <si>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</si>
  <si>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</si>
  <si>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</si>
  <si>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</si>
  <si>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</si>
  <si>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</si>
  <si>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</si>
  <si>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</si>
  <si>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</si>
  <si>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</si>
  <si>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</si>
  <si>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</si>
  <si>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</si>
  <si>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</si>
  <si>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</si>
  <si>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</si>
  <si>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</si>
  <si>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</si>
  <si>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</si>
  <si>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</si>
  <si>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</si>
  <si>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</si>
  <si>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</si>
  <si>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</si>
  <si>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</si>
  <si>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</si>
  <si>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</si>
  <si>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</si>
  <si>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</si>
  <si>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</si>
  <si>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</si>
  <si>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</si>
  <si>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</si>
  <si>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</si>
  <si>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</si>
  <si>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</si>
  <si>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</si>
  <si>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</si>
  <si>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</si>
  <si>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</si>
  <si>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</si>
  <si>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</si>
  <si>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</si>
  <si>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</si>
  <si>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</si>
  <si>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</si>
  <si>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</si>
  <si>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</si>
  <si>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</si>
  <si>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</si>
  <si>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</si>
  <si>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</si>
  <si>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</si>
  <si>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</si>
  <si>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</si>
  <si>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</si>
  <si>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</si>
  <si>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</si>
  <si>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</si>
  <si>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</si>
  <si>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</si>
  <si>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</si>
  <si>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</si>
  <si>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</si>
  <si>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</si>
  <si>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</si>
  <si>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</si>
  <si>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</si>
  <si>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</si>
  <si>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</si>
  <si>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</si>
  <si>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</si>
  <si>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</si>
  <si>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</si>
  <si>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</si>
  <si>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</si>
  <si>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</si>
  <si>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</si>
  <si>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</si>
  <si>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</si>
  <si>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</si>
  <si>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</si>
  <si>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</si>
  <si>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</si>
  <si>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</si>
  <si>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</si>
  <si>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</si>
  <si>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</si>
  <si>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</si>
  <si>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</si>
  <si>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</si>
  <si>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</si>
  <si>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</si>
  <si>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</si>
  <si>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</si>
  <si>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</si>
  <si>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</si>
  <si>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</si>
  <si>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</si>
  <si>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</si>
  <si>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</si>
  <si>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</si>
  <si>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</si>
  <si>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</si>
  <si>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</si>
  <si>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</si>
  <si>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</si>
  <si>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</si>
  <si>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</si>
  <si>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</si>
  <si>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</si>
  <si>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</si>
  <si>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</si>
  <si>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</si>
  <si>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</si>
  <si>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</si>
  <si>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</si>
  <si>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</si>
  <si>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</si>
  <si>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</si>
  <si>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</si>
  <si>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</si>
  <si>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</si>
  <si>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</si>
  <si>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</si>
  <si>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</si>
  <si>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</si>
  <si>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</si>
  <si>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</si>
  <si>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</si>
  <si>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</si>
  <si>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</si>
  <si>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</si>
  <si>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</si>
  <si>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</si>
  <si>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</si>
  <si>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</si>
  <si>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</si>
  <si>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</si>
  <si>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</si>
  <si>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</si>
  <si>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</si>
  <si>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</si>
  <si>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</si>
  <si>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</si>
  <si>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</si>
  <si>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</si>
  <si>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</si>
  <si>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</si>
  <si>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</si>
  <si>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</si>
  <si>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</si>
  <si>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</si>
  <si>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</si>
  <si>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</si>
  <si>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</si>
  <si>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</si>
  <si>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</si>
  <si>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</si>
  <si>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</si>
  <si>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</si>
  <si>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</si>
  <si>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05/18</t>
  </si>
  <si>
    <t>08/30</t>
  </si>
  <si>
    <t>FY23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</si>
</sst>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7" zoomScaleNormal="100" workbookViewId="0">
      <selection activeCell="A88" sqref="A88"/>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1193</v>
      </c>
      <c r="B2">
        <f>INDEX('School Tables'!$AH$3:$AH$213,MATCH('DOE25'!A2,'School Tables'!$AJ$3:$AJ$213,0))</f>
        <v>333</v>
      </c>
      <c r="C2">
        <f>INDEX('School Tables'!$AI$3:$AI$213,MATCH('DOE25'!A2,'School Tables'!$AJ$3:$AJ$213,0))</f>
        <v>333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394057.16</v>
      </c>
      <c r="G9" s="18"/>
      <c r="H9" s="18"/>
      <c r="I9" s="18"/>
      <c r="J9" s="13">
        <f>SUM(I440)</f>
        <v>344271.63</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24759.7</v>
      </c>
      <c r="G12" s="18">
        <v>-10845.06</v>
      </c>
      <c r="H12" s="18">
        <v>-13914.64</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768.65</v>
      </c>
      <c r="G13" s="18">
        <v>10886.96</v>
      </c>
      <c r="H13" s="18">
        <v>31579.96</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3050</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422636.51</v>
      </c>
      <c r="G19" s="38">
        <f>SUM(G9:G18)</f>
        <v>41.899999999999636</v>
      </c>
      <c r="H19" s="38">
        <f>SUM(H9:H18)</f>
        <v>17665.32</v>
      </c>
      <c r="I19" s="38">
        <f>SUM(I9:I18)</f>
        <v>0</v>
      </c>
      <c r="J19" s="38">
        <f>SUM(J9:J18)</f>
        <v>344271.63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v>313.55</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71489.960000000006</v>
      </c>
      <c r="G24" s="18">
        <v>41.9</v>
      </c>
      <c r="H24" s="18">
        <v>7656.36</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1953.54</v>
      </c>
      <c r="G30" s="18"/>
      <c r="H30" s="18">
        <v>9695.41</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73443.5</v>
      </c>
      <c r="G32" s="38">
        <f>SUM(G22:G31)</f>
        <v>41.9</v>
      </c>
      <c r="H32" s="38">
        <f>SUM(H22:H31)</f>
        <v>17665.32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50000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164389.4</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344271.63</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134803.60999999999</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349193.01</v>
      </c>
      <c r="G51" s="38">
        <f>SUM(G35:G50)</f>
        <v>0</v>
      </c>
      <c r="H51" s="38">
        <f>SUM(H35:H50)</f>
        <v>0</v>
      </c>
      <c r="I51" s="38">
        <f>SUM(I35:I50)</f>
        <v>0</v>
      </c>
      <c r="J51" s="38">
        <f>SUM(J35:J50)</f>
        <v>344271.63</v>
      </c>
      <c r="K51" s="42" t="s">
        <v>288</v>
      </c>
      <c r="L51" s="42" t="s">
        <v>288</v>
      </c>
      <c r="N51" s="130"/>
    </row>
    <row r="52" spans="1:14" s="3" customFormat="1" ht="12.2" customHeight="1" thickTop="1" x14ac:dyDescent="0.15">
      <c r="A52" s="35" t="s">
        <v>455</v>
      </c>
      <c r="B52" s="36" t="s">
        <v>289</v>
      </c>
      <c r="C52" s="6">
        <v>37</v>
      </c>
      <c r="D52" s="36" t="s">
        <v>653</v>
      </c>
      <c r="E52" s="36"/>
      <c r="F52" s="38">
        <f>F51+F32</f>
        <v>422636.51</v>
      </c>
      <c r="G52" s="38">
        <f>G51+G32</f>
        <v>41.9</v>
      </c>
      <c r="H52" s="38">
        <f>H51+H32</f>
        <v>17665.32</v>
      </c>
      <c r="I52" s="38">
        <f>I51+I32</f>
        <v>0</v>
      </c>
      <c r="J52" s="38">
        <f>J51+J32</f>
        <v>344271.63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6575576-F118</f>
        <v>5427723</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5427723</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70.69</v>
      </c>
      <c r="G96" s="18"/>
      <c r="H96" s="18"/>
      <c r="I96" s="18"/>
      <c r="J96" s="18">
        <v>10464.84</v>
      </c>
      <c r="K96" s="23" t="s">
        <v>288</v>
      </c>
      <c r="L96" s="23" t="s">
        <v>288</v>
      </c>
      <c r="M96" s="8"/>
      <c r="N96" s="164"/>
    </row>
    <row r="97" spans="1:14" s="3" customFormat="1" ht="12.2" customHeight="1" x14ac:dyDescent="0.15">
      <c r="A97" s="1" t="s">
        <v>503</v>
      </c>
      <c r="B97" s="2" t="s">
        <v>315</v>
      </c>
      <c r="C97" s="6">
        <v>12</v>
      </c>
      <c r="D97" s="2" t="s">
        <v>430</v>
      </c>
      <c r="E97" s="6">
        <v>1600</v>
      </c>
      <c r="F97" s="23" t="s">
        <v>288</v>
      </c>
      <c r="G97" s="18">
        <f>24518.59+4651.24+197.81</f>
        <v>29367.640000000003</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8896.66</v>
      </c>
      <c r="G110" s="18">
        <f>954.2+16677.13</f>
        <v>17631.330000000002</v>
      </c>
      <c r="H110" s="18">
        <f>20885.65+447.8</f>
        <v>21333.45</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8967.35</v>
      </c>
      <c r="G111" s="38">
        <f>SUM(G96:G110)</f>
        <v>46998.97</v>
      </c>
      <c r="H111" s="38">
        <f>SUM(H96:H110)</f>
        <v>21333.45</v>
      </c>
      <c r="I111" s="38">
        <f>SUM(I96:I110)</f>
        <v>0</v>
      </c>
      <c r="J111" s="38">
        <f>SUM(J96:J110)</f>
        <v>10464.84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5436690.3499999996</v>
      </c>
      <c r="G112" s="38">
        <f>G60+G111</f>
        <v>46998.97</v>
      </c>
      <c r="H112" s="38">
        <f>H60+H79+H94+H111</f>
        <v>21333.45</v>
      </c>
      <c r="I112" s="38">
        <f>I60+I111</f>
        <v>0</v>
      </c>
      <c r="J112" s="38">
        <f>J60+J111</f>
        <v>10464.84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461154.83</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1147853</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2037.11+968.82</f>
        <v>3005.93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1612013.76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593541.26</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f>762.78+8224.55+5928.88</f>
        <v>14916.21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593541.26</v>
      </c>
      <c r="G136" s="38">
        <f>SUM(G123:G135)</f>
        <v>14916.21</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2205555.02</v>
      </c>
      <c r="G140" s="38">
        <f>G121+SUM(G136:G137)</f>
        <v>14916.21</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v>52263.46</v>
      </c>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52263.46</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96902.45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39940.199999999997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43770.17</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2049.5100000000002</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2600.82+132702.24</f>
        <v>135303.06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2049.5100000000002</v>
      </c>
      <c r="G163" s="38">
        <f>SUM(G150:G162)</f>
        <v>43770.17</v>
      </c>
      <c r="H163" s="38">
        <f>SUM(H150:H162)</f>
        <v>272145.70999999996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2049.5100000000002</v>
      </c>
      <c r="G170" s="38">
        <f>G147+G163+SUM(G164:G169)</f>
        <v>43770.17</v>
      </c>
      <c r="H170" s="38">
        <f>H147+H163+SUM(H164:H169)</f>
        <v>324409.17</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25396.080000000002</v>
      </c>
      <c r="H180" s="18"/>
      <c r="I180" s="18"/>
      <c r="J180" s="18">
        <v>30000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25396.080000000002</v>
      </c>
      <c r="H184" s="38">
        <f>SUM(H180:H183)</f>
        <v>0</v>
      </c>
      <c r="I184" s="38">
        <f>SUM(I180:I183)</f>
        <v>0</v>
      </c>
      <c r="J184" s="38">
        <f>SUM(J180:J183)</f>
        <v>30000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25396.080000000002</v>
      </c>
      <c r="H193" s="38">
        <f>+H184+SUM(H189:H192)</f>
        <v>0</v>
      </c>
      <c r="I193" s="38">
        <f>I178+I184+SUM(I189:I192)</f>
        <v>0</v>
      </c>
      <c r="J193" s="38">
        <f>J184</f>
        <v>30000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7644294.879999999</v>
      </c>
      <c r="G194" s="38">
        <f>G112+G140+G170+G193</f>
        <v>131081.43</v>
      </c>
      <c r="H194" s="38">
        <f>H112+H140+H170+H193</f>
        <v>345742.62</v>
      </c>
      <c r="I194" s="38">
        <f>I112+I140+I170+I193</f>
        <v>0</v>
      </c>
      <c r="J194" s="38">
        <f>J112+J140+J193</f>
        <v>40464.839999999997</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860806.56</v>
      </c>
      <c r="G198" s="18">
        <v>413935.26</v>
      </c>
      <c r="H198" s="18">
        <v>14828.490000000002</v>
      </c>
      <c r="I198" s="18">
        <v>23525.69</v>
      </c>
      <c r="J198" s="18">
        <v>5257.85</v>
      </c>
      <c r="K198" s="18">
        <v>75</v>
      </c>
      <c r="L198" s="13">
        <f>SUM(F198:K198)</f>
        <v>1318428.8500000001</v>
      </c>
      <c r="M198" s="8"/>
      <c r="N198" s="164"/>
    </row>
    <row r="199" spans="1:14" s="3" customFormat="1" ht="12.2" customHeight="1" x14ac:dyDescent="0.15">
      <c r="A199" s="1" t="s">
        <v>439</v>
      </c>
      <c r="B199" s="2" t="s">
        <v>341</v>
      </c>
      <c r="C199" s="2" t="s">
        <v>291</v>
      </c>
      <c r="D199" s="2" t="s">
        <v>431</v>
      </c>
      <c r="E199" s="6">
        <v>1200</v>
      </c>
      <c r="F199" s="18">
        <v>343218.27999999997</v>
      </c>
      <c r="G199" s="18">
        <f>190973.02+42.08</f>
        <v>191015.09999999998</v>
      </c>
      <c r="H199" s="18">
        <v>56419.040000000001</v>
      </c>
      <c r="I199" s="18">
        <v>1135.3800000000001</v>
      </c>
      <c r="J199" s="18"/>
      <c r="K199" s="18"/>
      <c r="L199" s="13">
        <f>SUM(F199:K199)</f>
        <v>591787.79999999993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3300</v>
      </c>
      <c r="G201" s="18">
        <v>506.66</v>
      </c>
      <c r="H201" s="18">
        <v>871.61</v>
      </c>
      <c r="I201" s="18"/>
      <c r="J201" s="18"/>
      <c r="K201" s="18"/>
      <c r="L201" s="13">
        <f>SUM(F201:K201)</f>
        <v>4678.2699999999995</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132847.16+80885.54</f>
        <v>213732.7</v>
      </c>
      <c r="G203" s="18">
        <f>93417.91+20312.18</f>
        <v>113730.09</v>
      </c>
      <c r="H203" s="18">
        <f>47274.24+77519.18</f>
        <v>124793.41999999998</v>
      </c>
      <c r="I203" s="18">
        <v>640.21</v>
      </c>
      <c r="J203" s="18">
        <v>2576.69</v>
      </c>
      <c r="K203" s="18"/>
      <c r="L203" s="13">
        <f t="shared" ref="L203:L209" si="0">SUM(F203:K203)</f>
        <v>455473.11000000004</v>
      </c>
      <c r="M203" s="8"/>
      <c r="N203" s="164"/>
    </row>
    <row r="204" spans="1:14" s="3" customFormat="1" ht="12.2" customHeight="1" x14ac:dyDescent="0.15">
      <c r="A204" s="1" t="s">
        <v>443</v>
      </c>
      <c r="B204" s="2" t="s">
        <v>341</v>
      </c>
      <c r="C204" s="2" t="s">
        <v>295</v>
      </c>
      <c r="D204" s="2" t="s">
        <v>431</v>
      </c>
      <c r="E204" s="6">
        <v>2200</v>
      </c>
      <c r="F204" s="18">
        <f>3126+71767.38+300</f>
        <v>75193.38</v>
      </c>
      <c r="G204" s="18">
        <f>11314.01+44098.07+22.96</f>
        <v>55435.040000000001</v>
      </c>
      <c r="H204" s="18">
        <v>2807.58</v>
      </c>
      <c r="I204" s="18">
        <v>2692.05</v>
      </c>
      <c r="J204" s="18"/>
      <c r="K204" s="18"/>
      <c r="L204" s="13">
        <f t="shared" si="0"/>
        <v>136128.04999999999</v>
      </c>
      <c r="M204" s="8"/>
      <c r="N204" s="164"/>
    </row>
    <row r="205" spans="1:14" s="3" customFormat="1" ht="12.2" customHeight="1" x14ac:dyDescent="0.15">
      <c r="A205" s="1" t="s">
        <v>444</v>
      </c>
      <c r="B205" s="2" t="s">
        <v>341</v>
      </c>
      <c r="C205" s="2" t="s">
        <v>296</v>
      </c>
      <c r="D205" s="2" t="s">
        <v>431</v>
      </c>
      <c r="E205" s="6">
        <v>2300</v>
      </c>
      <c r="F205" s="18">
        <v>8600</v>
      </c>
      <c r="G205" s="18">
        <v>657.91</v>
      </c>
      <c r="H205" s="18">
        <v>391973.7</v>
      </c>
      <c r="I205" s="18">
        <v>778</v>
      </c>
      <c r="J205" s="18"/>
      <c r="K205" s="18">
        <v>4858.21</v>
      </c>
      <c r="L205" s="13">
        <f t="shared" si="0"/>
        <v>406867.82</v>
      </c>
      <c r="M205" s="8"/>
      <c r="N205" s="164"/>
    </row>
    <row r="206" spans="1:14" s="3" customFormat="1" ht="12.2" customHeight="1" x14ac:dyDescent="0.15">
      <c r="A206" s="1" t="s">
        <v>445</v>
      </c>
      <c r="B206" s="2" t="s">
        <v>341</v>
      </c>
      <c r="C206" s="2" t="s">
        <v>297</v>
      </c>
      <c r="D206" s="2" t="s">
        <v>431</v>
      </c>
      <c r="E206" s="6">
        <v>2400</v>
      </c>
      <c r="F206" s="18">
        <v>159600.74</v>
      </c>
      <c r="G206" s="18">
        <v>104207.98999999999</v>
      </c>
      <c r="H206" s="18">
        <v>647.66999999999996</v>
      </c>
      <c r="I206" s="18">
        <v>7194.02</v>
      </c>
      <c r="J206" s="18">
        <v>359.95</v>
      </c>
      <c r="K206" s="18">
        <v>795</v>
      </c>
      <c r="L206" s="13">
        <f t="shared" si="0"/>
        <v>272805.37</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127726.51</v>
      </c>
      <c r="G208" s="18">
        <v>102642.39</v>
      </c>
      <c r="H208" s="18">
        <v>106344.8</v>
      </c>
      <c r="I208" s="18">
        <v>99226.5</v>
      </c>
      <c r="J208" s="18">
        <v>9210.2400000000016</v>
      </c>
      <c r="K208" s="18"/>
      <c r="L208" s="13">
        <f t="shared" si="0"/>
        <v>445150.44</v>
      </c>
      <c r="M208" s="8"/>
      <c r="N208" s="164"/>
    </row>
    <row r="209" spans="1:14" s="3" customFormat="1" ht="12.2" customHeight="1" x14ac:dyDescent="0.15">
      <c r="A209" s="1" t="s">
        <v>448</v>
      </c>
      <c r="B209" s="2" t="s">
        <v>341</v>
      </c>
      <c r="C209" s="2" t="s">
        <v>300</v>
      </c>
      <c r="D209" s="2" t="s">
        <v>431</v>
      </c>
      <c r="E209" s="6">
        <v>2700</v>
      </c>
      <c r="F209" s="18"/>
      <c r="G209" s="18"/>
      <c r="H209" s="18">
        <v>214511.97064655172</v>
      </c>
      <c r="I209" s="18"/>
      <c r="J209" s="18"/>
      <c r="K209" s="18"/>
      <c r="L209" s="13">
        <f t="shared" si="0"/>
        <v>214511.97064655172</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1792178.17</v>
      </c>
      <c r="G212" s="38">
        <f t="shared" si="1"/>
        <v>982130.44000000006</v>
      </c>
      <c r="H212" s="38">
        <f t="shared" si="1"/>
        <v>913198.28064655175</v>
      </c>
      <c r="I212" s="38">
        <f t="shared" si="1"/>
        <v>135191.85</v>
      </c>
      <c r="J212" s="38">
        <f t="shared" si="1"/>
        <v>17404.730000000003</v>
      </c>
      <c r="K212" s="38">
        <f t="shared" si="1"/>
        <v>5728.21</v>
      </c>
      <c r="L212" s="38">
        <f t="shared" si="1"/>
        <v>3845831.6806465513</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v>768672.66</v>
      </c>
      <c r="I216" s="18"/>
      <c r="J216" s="18"/>
      <c r="K216" s="18"/>
      <c r="L216" s="13">
        <f>SUM(F216:K216)</f>
        <v>768672.66</v>
      </c>
      <c r="M216" s="8"/>
      <c r="N216" s="164"/>
    </row>
    <row r="217" spans="1:14" s="3" customFormat="1" ht="12.2" customHeight="1" x14ac:dyDescent="0.15">
      <c r="A217" s="1" t="s">
        <v>439</v>
      </c>
      <c r="B217" s="2" t="s">
        <v>346</v>
      </c>
      <c r="C217" s="2" t="s">
        <v>291</v>
      </c>
      <c r="D217" s="2" t="s">
        <v>431</v>
      </c>
      <c r="E217" s="6">
        <v>1200</v>
      </c>
      <c r="F217" s="18"/>
      <c r="G217" s="18"/>
      <c r="H217" s="18">
        <v>13510.45</v>
      </c>
      <c r="I217" s="18"/>
      <c r="J217" s="18"/>
      <c r="K217" s="18"/>
      <c r="L217" s="13">
        <f>SUM(F217:K217)</f>
        <v>13510.45</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v>85758.843510615567</v>
      </c>
      <c r="I227" s="18"/>
      <c r="J227" s="18"/>
      <c r="K227" s="18"/>
      <c r="L227" s="13">
        <f t="shared" si="2"/>
        <v>85758.843510615567</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867941.95351061551</v>
      </c>
      <c r="I230" s="38">
        <f>SUM(I216:I229)</f>
        <v>0</v>
      </c>
      <c r="J230" s="38">
        <f>SUM(J216:J229)</f>
        <v>0</v>
      </c>
      <c r="K230" s="38">
        <f t="shared" si="3"/>
        <v>0</v>
      </c>
      <c r="L230" s="38">
        <f t="shared" si="3"/>
        <v>867941.95351061551</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1512830+102990</f>
        <v>1615820</v>
      </c>
      <c r="I234" s="18"/>
      <c r="J234" s="18"/>
      <c r="K234" s="18"/>
      <c r="L234" s="13">
        <f>SUM(F234:K234)</f>
        <v>1615820</v>
      </c>
      <c r="M234" s="8"/>
      <c r="N234" s="164"/>
    </row>
    <row r="235" spans="1:14" s="3" customFormat="1" ht="12.2" customHeight="1" x14ac:dyDescent="0.15">
      <c r="A235" s="1" t="s">
        <v>439</v>
      </c>
      <c r="B235" s="2" t="s">
        <v>350</v>
      </c>
      <c r="C235" s="2" t="s">
        <v>291</v>
      </c>
      <c r="D235" s="2" t="s">
        <v>431</v>
      </c>
      <c r="E235" s="6">
        <v>1200</v>
      </c>
      <c r="F235" s="18"/>
      <c r="G235" s="18"/>
      <c r="H235" s="18">
        <v>980012.84000000008</v>
      </c>
      <c r="I235" s="18"/>
      <c r="J235" s="18"/>
      <c r="K235" s="18"/>
      <c r="L235" s="13">
        <f>SUM(F235:K235)</f>
        <v>980012.84000000008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180313.46584283269</v>
      </c>
      <c r="I245" s="18"/>
      <c r="J245" s="18"/>
      <c r="K245" s="18"/>
      <c r="L245" s="13">
        <f t="shared" si="4"/>
        <v>180313.46584283269</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2776146.3058428327</v>
      </c>
      <c r="I248" s="38">
        <f t="shared" si="5"/>
        <v>0</v>
      </c>
      <c r="J248" s="38">
        <f t="shared" si="5"/>
        <v>0</v>
      </c>
      <c r="K248" s="38">
        <f t="shared" si="5"/>
        <v>0</v>
      </c>
      <c r="L248" s="38">
        <f t="shared" si="5"/>
        <v>2776146.3058428327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1792178.17</v>
      </c>
      <c r="G258" s="38">
        <f t="shared" si="8"/>
        <v>982130.44000000006</v>
      </c>
      <c r="H258" s="38">
        <f t="shared" si="8"/>
        <v>4557286.54</v>
      </c>
      <c r="I258" s="38">
        <f t="shared" si="8"/>
        <v>135191.85</v>
      </c>
      <c r="J258" s="38">
        <f t="shared" si="8"/>
        <v>17404.730000000003</v>
      </c>
      <c r="K258" s="38">
        <f t="shared" si="8"/>
        <v>5728.21</v>
      </c>
      <c r="L258" s="38">
        <f t="shared" si="8"/>
        <v>7489919.9399999995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70000</v>
      </c>
      <c r="L261" s="13">
        <f>SUM(F261:K261)</f>
        <v>70000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23690</v>
      </c>
      <c r="L262" s="13">
        <f>SUM(F262:K262)</f>
        <v>23690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25396.080000000002</v>
      </c>
      <c r="L264" s="13">
        <f>SUM(F264:K264)</f>
        <v>25396.080000000002</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30000</v>
      </c>
      <c r="L267" s="13">
        <f t="shared" si="9"/>
        <v>30000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149086.08000000002</v>
      </c>
      <c r="L271" s="38">
        <f t="shared" si="9"/>
        <v>149086.08000000002</v>
      </c>
      <c r="M271" s="8"/>
      <c r="N271" s="164"/>
    </row>
    <row r="272" spans="1:14" s="33" customFormat="1" ht="12.2" customHeight="1" thickTop="1" x14ac:dyDescent="0.2">
      <c r="A272" s="40" t="s">
        <v>464</v>
      </c>
      <c r="B272" s="37">
        <v>10</v>
      </c>
      <c r="C272" s="37">
        <v>18</v>
      </c>
      <c r="D272" s="36" t="s">
        <v>431</v>
      </c>
      <c r="E272" s="37"/>
      <c r="F272" s="39">
        <f t="shared" ref="F272:L272" si="11">F258+F271</f>
        <v>1792178.17</v>
      </c>
      <c r="G272" s="39">
        <f t="shared" si="11"/>
        <v>982130.44000000006</v>
      </c>
      <c r="H272" s="39">
        <f t="shared" si="11"/>
        <v>4557286.54</v>
      </c>
      <c r="I272" s="39">
        <f t="shared" si="11"/>
        <v>135191.85</v>
      </c>
      <c r="J272" s="39">
        <f t="shared" si="11"/>
        <v>17404.730000000003</v>
      </c>
      <c r="K272" s="39">
        <f t="shared" si="11"/>
        <v>154814.29</v>
      </c>
      <c r="L272" s="39">
        <f t="shared" si="11"/>
        <v>7639006.0199999996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60287.07</v>
      </c>
      <c r="G277" s="18">
        <v>31365.74</v>
      </c>
      <c r="H277" s="18">
        <v>447.8</v>
      </c>
      <c r="I277" s="18">
        <v>3556.56</v>
      </c>
      <c r="J277" s="18">
        <v>23865.759999999998</v>
      </c>
      <c r="K277" s="18"/>
      <c r="L277" s="13">
        <f>SUM(F277:K277)</f>
        <v>119522.93</v>
      </c>
      <c r="M277" s="8"/>
      <c r="N277" s="164"/>
    </row>
    <row r="278" spans="1:14" s="3" customFormat="1" ht="12.2" customHeight="1" x14ac:dyDescent="0.15">
      <c r="A278" s="1" t="s">
        <v>439</v>
      </c>
      <c r="B278" s="2" t="s">
        <v>357</v>
      </c>
      <c r="C278" s="2" t="s">
        <v>291</v>
      </c>
      <c r="D278" s="2" t="s">
        <v>431</v>
      </c>
      <c r="E278" s="6">
        <v>1200</v>
      </c>
      <c r="F278" s="18">
        <v>5543.92</v>
      </c>
      <c r="G278" s="18">
        <v>1488.22</v>
      </c>
      <c r="H278" s="18">
        <v>25918.14</v>
      </c>
      <c r="I278" s="18"/>
      <c r="J278" s="18"/>
      <c r="K278" s="18"/>
      <c r="L278" s="13">
        <f>SUM(F278:K278)</f>
        <v>32950.28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21720.12</v>
      </c>
      <c r="G280" s="18">
        <v>2285.92</v>
      </c>
      <c r="H280" s="18"/>
      <c r="I280" s="18">
        <f>104.47+856.56</f>
        <v>961.03</v>
      </c>
      <c r="J280" s="18"/>
      <c r="K280" s="18"/>
      <c r="L280" s="13">
        <f>SUM(F280:K280)</f>
        <v>24967.07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4"/>
      <c r="G282" s="4"/>
      <c r="H282" s="4"/>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4561.42</v>
      </c>
      <c r="G283" s="18">
        <v>917.64</v>
      </c>
      <c r="H283" s="18">
        <f>18020.45+2880</f>
        <v>20900.45</v>
      </c>
      <c r="I283" s="18">
        <v>4498.2</v>
      </c>
      <c r="J283" s="18"/>
      <c r="K283" s="18"/>
      <c r="L283" s="13">
        <f>SUM(F283:K283)</f>
        <v>30877.710000000003</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v>8085.18</v>
      </c>
      <c r="L286" s="13">
        <f t="shared" si="12"/>
        <v>8085.18</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92112.53</v>
      </c>
      <c r="G291" s="39">
        <f t="shared" si="13"/>
        <v>36057.519999999997</v>
      </c>
      <c r="H291" s="39">
        <f t="shared" si="13"/>
        <v>47266.39</v>
      </c>
      <c r="I291" s="39">
        <f t="shared" si="13"/>
        <v>9015.7900000000009</v>
      </c>
      <c r="J291" s="39">
        <f t="shared" si="13"/>
        <v>23865.759999999998</v>
      </c>
      <c r="K291" s="39">
        <f t="shared" si="13"/>
        <v>8085.18</v>
      </c>
      <c r="L291" s="38">
        <f t="shared" si="13"/>
        <v>216403.16999999998</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129339.45</v>
      </c>
      <c r="I337" s="18"/>
      <c r="J337" s="18"/>
      <c r="K337" s="18"/>
      <c r="L337" s="13">
        <f t="shared" si="18"/>
        <v>129339.45</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129339.45</v>
      </c>
      <c r="I338" s="38">
        <f t="shared" si="19"/>
        <v>0</v>
      </c>
      <c r="J338" s="38">
        <f t="shared" si="19"/>
        <v>0</v>
      </c>
      <c r="K338" s="38">
        <f t="shared" si="19"/>
        <v>0</v>
      </c>
      <c r="L338" s="38">
        <f t="shared" si="18"/>
        <v>129339.45</v>
      </c>
      <c r="M338" s="8"/>
      <c r="N338" s="164"/>
    </row>
    <row r="339" spans="1:43" s="3" customFormat="1" ht="12.2" customHeight="1" thickTop="1" x14ac:dyDescent="0.15">
      <c r="A339" s="35" t="s">
        <v>468</v>
      </c>
      <c r="B339" s="37">
        <v>14</v>
      </c>
      <c r="C339" s="37">
        <v>7</v>
      </c>
      <c r="D339" s="36" t="s">
        <v>431</v>
      </c>
      <c r="E339" s="37"/>
      <c r="F339" s="38">
        <f t="shared" ref="F339:L339" si="20">F291+F310+F329+F338</f>
        <v>92112.53</v>
      </c>
      <c r="G339" s="38">
        <f t="shared" si="20"/>
        <v>36057.519999999997</v>
      </c>
      <c r="H339" s="38">
        <f t="shared" si="20"/>
        <v>176605.84</v>
      </c>
      <c r="I339" s="38">
        <f t="shared" si="20"/>
        <v>9015.7900000000009</v>
      </c>
      <c r="J339" s="38">
        <f t="shared" si="20"/>
        <v>23865.759999999998</v>
      </c>
      <c r="K339" s="38">
        <f t="shared" si="20"/>
        <v>8085.18</v>
      </c>
      <c r="L339" s="38">
        <f t="shared" si="20"/>
        <v>345742.62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92112.53</v>
      </c>
      <c r="G353" s="38">
        <f>G339</f>
        <v>36057.519999999997</v>
      </c>
      <c r="H353" s="38">
        <f>H339</f>
        <v>176605.84</v>
      </c>
      <c r="I353" s="38">
        <f>I339</f>
        <v>9015.7900000000009</v>
      </c>
      <c r="J353" s="38">
        <f>J339</f>
        <v>23865.759999999998</v>
      </c>
      <c r="K353" s="38">
        <f>K339+K352</f>
        <v>8085.18</v>
      </c>
      <c r="L353" s="38">
        <f>L339+L352</f>
        <v>345742.62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f>52192.36+1159.77</f>
        <v>53352.13</v>
      </c>
      <c r="G359" s="18">
        <v>18798.34</v>
      </c>
      <c r="H359" s="18"/>
      <c r="I359" s="18">
        <v>57921.46</v>
      </c>
      <c r="J359" s="18">
        <v>509.5</v>
      </c>
      <c r="K359" s="18">
        <v>500</v>
      </c>
      <c r="L359" s="13">
        <f>SUM(F359:K359)</f>
        <v>131081.43</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53352.13</v>
      </c>
      <c r="G363" s="38">
        <f t="shared" si="22"/>
        <v>18798.34</v>
      </c>
      <c r="H363" s="38">
        <f t="shared" si="22"/>
        <v>0</v>
      </c>
      <c r="I363" s="38">
        <f t="shared" si="22"/>
        <v>57921.46</v>
      </c>
      <c r="J363" s="38">
        <f t="shared" si="22"/>
        <v>509.5</v>
      </c>
      <c r="K363" s="38">
        <f t="shared" si="22"/>
        <v>500</v>
      </c>
      <c r="L363" s="38">
        <f t="shared" si="22"/>
        <v>131081.43</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6976.06+5928.88+41608.84</f>
        <v>54513.78</v>
      </c>
      <c r="G368" s="18"/>
      <c r="H368" s="18"/>
      <c r="I368" s="13">
        <f>SUM(F368:H368)</f>
        <v>54513.78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2289.49+1118.19</f>
        <v>3407.68</v>
      </c>
      <c r="G369" s="53"/>
      <c r="H369" s="53"/>
      <c r="I369" s="13">
        <f>SUM(F369:H369)</f>
        <v>3407.68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57921.46</v>
      </c>
      <c r="G370" s="38">
        <f>SUM(G368:G369)</f>
        <v>0</v>
      </c>
      <c r="H370" s="38">
        <f>SUM(H368:H369)</f>
        <v>0</v>
      </c>
      <c r="I370" s="38">
        <f>SUM(I368:I369)</f>
        <v>57921.46</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4729.6499999999996</v>
      </c>
      <c r="I397" s="18"/>
      <c r="J397" s="23" t="s">
        <v>288</v>
      </c>
      <c r="K397" s="23" t="s">
        <v>288</v>
      </c>
      <c r="L397" s="13">
        <f t="shared" si="26"/>
        <v>4729.6499999999996</v>
      </c>
      <c r="M397" s="8"/>
      <c r="N397" s="164"/>
    </row>
    <row r="398" spans="1:14" s="3" customFormat="1" ht="12.2" customHeight="1" x14ac:dyDescent="0.15">
      <c r="A398" s="62" t="s">
        <v>515</v>
      </c>
      <c r="B398" s="2" t="s">
        <v>381</v>
      </c>
      <c r="C398" s="6">
        <v>10</v>
      </c>
      <c r="D398" s="2" t="s">
        <v>432</v>
      </c>
      <c r="E398" s="6"/>
      <c r="F398" s="18"/>
      <c r="G398" s="18">
        <v>30000</v>
      </c>
      <c r="H398" s="18">
        <v>5608.23</v>
      </c>
      <c r="I398" s="18"/>
      <c r="J398" s="23" t="s">
        <v>288</v>
      </c>
      <c r="K398" s="23" t="s">
        <v>288</v>
      </c>
      <c r="L398" s="13">
        <f t="shared" si="26"/>
        <v>35608.229999999996</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v>126.96</v>
      </c>
      <c r="I400" s="18"/>
      <c r="J400" s="23" t="s">
        <v>288</v>
      </c>
      <c r="K400" s="23" t="s">
        <v>288</v>
      </c>
      <c r="L400" s="13">
        <f t="shared" si="26"/>
        <v>126.96</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30000</v>
      </c>
      <c r="H402" s="38">
        <f>SUM(H396:H401)</f>
        <v>10464.839999999998</v>
      </c>
      <c r="I402" s="38">
        <f>SUM(I396:I401)</f>
        <v>0</v>
      </c>
      <c r="J402" s="42" t="s">
        <v>288</v>
      </c>
      <c r="K402" s="42" t="s">
        <v>288</v>
      </c>
      <c r="L402" s="38">
        <f>SUM(L396:L401)</f>
        <v>40464.839999999997</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30000</v>
      </c>
      <c r="H409" s="38">
        <f>H394+H402+H408</f>
        <v>10464.839999999998</v>
      </c>
      <c r="I409" s="38">
        <f>I394+I402+I408</f>
        <v>0</v>
      </c>
      <c r="J409" s="23" t="s">
        <v>288</v>
      </c>
      <c r="K409" s="23" t="s">
        <v>288</v>
      </c>
      <c r="L409" s="38">
        <f>L394+L402+L408</f>
        <v>40464.839999999997</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344271.63</v>
      </c>
      <c r="G440" s="18"/>
      <c r="H440" s="18"/>
      <c r="I440" s="13">
        <f t="shared" ref="I440:I446" si="33">SUM(F440:H440)</f>
        <v>344271.63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344271.63</v>
      </c>
      <c r="G447" s="13">
        <f>SUM(G440:G446)</f>
        <v>0</v>
      </c>
      <c r="H447" s="13">
        <f>SUM(H440:H446)</f>
        <v>0</v>
      </c>
      <c r="I447" s="13">
        <f>SUM(I440:I446)</f>
        <v>344271.63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344271.63</v>
      </c>
      <c r="G460" s="18"/>
      <c r="H460" s="18"/>
      <c r="I460" s="13">
        <f t="shared" si="34"/>
        <v>344271.63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344271.63</v>
      </c>
      <c r="G461" s="65">
        <f>SUM(G455:G460)</f>
        <v>0</v>
      </c>
      <c r="H461" s="65">
        <f>SUM(H455:H460)</f>
        <v>0</v>
      </c>
      <c r="I461" s="65">
        <f>SUM(I455:I460)</f>
        <v>344271.63</v>
      </c>
      <c r="J461" s="23" t="s">
        <v>288</v>
      </c>
      <c r="K461" s="23" t="s">
        <v>288</v>
      </c>
      <c r="L461" s="23" t="s">
        <v>288</v>
      </c>
      <c r="N461" s="130"/>
    </row>
    <row r="462" spans="1:86" ht="12.2" customHeight="1" thickTop="1" x14ac:dyDescent="0.2">
      <c r="A462" s="40" t="s">
        <v>424</v>
      </c>
      <c r="B462" s="41">
        <v>18</v>
      </c>
      <c r="C462" s="64">
        <v>21</v>
      </c>
      <c r="D462" s="114" t="s">
        <v>432</v>
      </c>
      <c r="E462" s="64"/>
      <c r="F462" s="39">
        <f>F453+F461</f>
        <v>344271.63</v>
      </c>
      <c r="G462" s="39">
        <f>G453+G461</f>
        <v>0</v>
      </c>
      <c r="H462" s="39">
        <f>H453+H461</f>
        <v>0</v>
      </c>
      <c r="I462" s="39">
        <f>I453+I461</f>
        <v>344271.63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345663.69</v>
      </c>
      <c r="G466" s="18">
        <v>0</v>
      </c>
      <c r="H466" s="18">
        <v>0</v>
      </c>
      <c r="I466" s="18"/>
      <c r="J466" s="18">
        <v>303806.78999999998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7644294.8799999999</v>
      </c>
      <c r="G469" s="18">
        <v>131081.43</v>
      </c>
      <c r="H469" s="18">
        <v>345742.62</v>
      </c>
      <c r="I469" s="18"/>
      <c r="J469" s="18">
        <v>40464.839999999997</v>
      </c>
      <c r="K469" s="23" t="s">
        <v>288</v>
      </c>
      <c r="L469" s="23" t="s">
        <v>288</v>
      </c>
      <c r="N469" s="130"/>
    </row>
    <row r="470" spans="1:14" ht="12.2" customHeight="1" x14ac:dyDescent="0.2">
      <c r="A470" s="71" t="s">
        <v>611</v>
      </c>
      <c r="B470" s="22">
        <v>19</v>
      </c>
      <c r="C470" s="31">
        <v>3</v>
      </c>
      <c r="D470" s="2" t="s">
        <v>432</v>
      </c>
      <c r="E470" s="31"/>
      <c r="F470" s="18">
        <v>-1759.54</v>
      </c>
      <c r="G470" s="18"/>
      <c r="H470" s="18"/>
      <c r="I470" s="18"/>
      <c r="J470" s="101"/>
      <c r="K470" s="23" t="s">
        <v>288</v>
      </c>
      <c r="L470" s="23" t="s">
        <v>288</v>
      </c>
      <c r="N470" s="130"/>
    </row>
    <row r="471" spans="1:14" ht="12.2" customHeight="1" x14ac:dyDescent="0.2">
      <c r="A471" s="32" t="s">
        <v>425</v>
      </c>
      <c r="B471" s="22">
        <v>19</v>
      </c>
      <c r="C471" s="31">
        <v>4</v>
      </c>
      <c r="D471" s="2" t="s">
        <v>432</v>
      </c>
      <c r="E471" s="31"/>
      <c r="F471" s="19">
        <f>SUM(F469:F470)</f>
        <v>7642535.3399999999</v>
      </c>
      <c r="G471" s="19">
        <f>SUM(G469:G470)</f>
        <v>131081.43</v>
      </c>
      <c r="H471" s="19">
        <f>SUM(H469:H470)</f>
        <v>345742.62</v>
      </c>
      <c r="I471" s="19">
        <f>SUM(I469:I470)</f>
        <v>0</v>
      </c>
      <c r="J471" s="19">
        <f>SUM(J469:J469)</f>
        <v>40464.839999999997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7639006.0199999996</v>
      </c>
      <c r="G473" s="18">
        <v>131081.43</v>
      </c>
      <c r="H473" s="18">
        <v>345742.62</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7639006.0199999996</v>
      </c>
      <c r="G475" s="19">
        <f>SUM(G473:G474)</f>
        <v>131081.43</v>
      </c>
      <c r="H475" s="19">
        <f>SUM(H473:H474)</f>
        <v>345742.62</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349193.01000000071</v>
      </c>
      <c r="G477" s="19">
        <f>(G466+G471)- G475</f>
        <v>0</v>
      </c>
      <c r="H477" s="19">
        <f>(H466+H471)- H475</f>
        <v>0</v>
      </c>
      <c r="I477" s="19">
        <f>(I466+I471)- I475</f>
        <v>0</v>
      </c>
      <c r="J477" s="19">
        <f>(J466+J471)- J475</f>
        <v>344271.63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1843</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12</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803125</v>
      </c>
      <c r="G494" s="18"/>
      <c r="H494" s="18"/>
      <c r="I494" s="18"/>
      <c r="J494" s="18"/>
      <c r="K494" s="23" t="s">
        <v>288</v>
      </c>
      <c r="L494" s="23" t="s">
        <v>288</v>
      </c>
      <c r="N494" s="130"/>
    </row>
    <row r="495" spans="1:14" ht="12.2" customHeight="1" x14ac:dyDescent="0.2">
      <c r="A495" s="21" t="s">
        <v>618</v>
      </c>
      <c r="B495" s="22">
        <v>20</v>
      </c>
      <c r="C495" s="22">
        <v>5</v>
      </c>
      <c r="D495" s="2" t="s">
        <v>432</v>
      </c>
      <c r="E495" s="22"/>
      <c r="F495" s="18">
        <v>5</v>
      </c>
      <c r="G495" s="18"/>
      <c r="H495" s="18"/>
      <c r="I495" s="18"/>
      <c r="J495" s="18"/>
      <c r="K495" s="23" t="s">
        <v>288</v>
      </c>
      <c r="L495" s="23" t="s">
        <v>288</v>
      </c>
      <c r="N495" s="130"/>
    </row>
    <row r="496" spans="1:14" ht="12.2" customHeight="1" x14ac:dyDescent="0.2">
      <c r="A496" s="21" t="s">
        <v>619</v>
      </c>
      <c r="B496" s="22">
        <v>20</v>
      </c>
      <c r="C496" s="22">
        <v>6</v>
      </c>
      <c r="D496" s="2" t="s">
        <v>432</v>
      </c>
      <c r="E496" s="22"/>
      <c r="F496" s="18">
        <v>525000</v>
      </c>
      <c r="G496" s="18"/>
      <c r="H496" s="18"/>
      <c r="I496" s="18"/>
      <c r="J496" s="18"/>
      <c r="K496" s="19">
        <f>SUM(F496:J496)</f>
        <v>525000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v>455000</v>
      </c>
      <c r="G499" s="146"/>
      <c r="H499" s="146"/>
      <c r="I499" s="146"/>
      <c r="J499" s="146"/>
      <c r="K499" s="147">
        <f t="shared" si="35"/>
        <v>455000</v>
      </c>
      <c r="L499" s="148" t="s">
        <v>288</v>
      </c>
      <c r="N499" s="130"/>
    </row>
    <row r="500" spans="1:14" ht="12.2" customHeight="1" thickBot="1" x14ac:dyDescent="0.25">
      <c r="A500" s="21" t="s">
        <v>623</v>
      </c>
      <c r="B500" s="22">
        <v>20</v>
      </c>
      <c r="C500" s="22">
        <v>10</v>
      </c>
      <c r="D500" s="2" t="s">
        <v>432</v>
      </c>
      <c r="E500" s="22"/>
      <c r="F500" s="18">
        <f>96457.5-23690</f>
        <v>72767.5</v>
      </c>
      <c r="G500" s="18"/>
      <c r="H500" s="18"/>
      <c r="I500" s="18"/>
      <c r="J500" s="18"/>
      <c r="K500" s="19">
        <f t="shared" si="35"/>
        <v>72767.5</v>
      </c>
      <c r="L500" s="23" t="s">
        <v>288</v>
      </c>
      <c r="N500" s="130"/>
    </row>
    <row r="501" spans="1:14" ht="12.2" customHeight="1" thickTop="1" x14ac:dyDescent="0.2">
      <c r="A501" s="97" t="s">
        <v>624</v>
      </c>
      <c r="B501" s="41">
        <v>20</v>
      </c>
      <c r="C501" s="41">
        <v>11</v>
      </c>
      <c r="D501" s="36" t="s">
        <v>432</v>
      </c>
      <c r="E501" s="41"/>
      <c r="F501" s="39">
        <f>SUM(F499:F500)</f>
        <v>527767.5</v>
      </c>
      <c r="G501" s="39">
        <f>SUM(G499:G500)</f>
        <v>0</v>
      </c>
      <c r="H501" s="39">
        <f>SUM(H499:H500)</f>
        <v>0</v>
      </c>
      <c r="I501" s="39">
        <f>SUM(I499:I500)</f>
        <v>0</v>
      </c>
      <c r="J501" s="39">
        <f>SUM(J499:J500)</f>
        <v>0</v>
      </c>
      <c r="K501" s="39">
        <f t="shared" si="35"/>
        <v>527767.5</v>
      </c>
      <c r="L501" s="42" t="s">
        <v>288</v>
      </c>
      <c r="N501" s="130"/>
    </row>
    <row r="502" spans="1:14" ht="12.2" customHeight="1" x14ac:dyDescent="0.2">
      <c r="A502" s="143" t="s">
        <v>651</v>
      </c>
      <c r="B502" s="144">
        <v>20</v>
      </c>
      <c r="C502" s="144">
        <v>12</v>
      </c>
      <c r="D502" s="145" t="s">
        <v>432</v>
      </c>
      <c r="E502" s="144"/>
      <c r="F502" s="146">
        <v>65000</v>
      </c>
      <c r="G502" s="146"/>
      <c r="H502" s="146"/>
      <c r="I502" s="146"/>
      <c r="J502" s="146"/>
      <c r="K502" s="147">
        <f t="shared" si="35"/>
        <v>65000</v>
      </c>
      <c r="L502" s="148" t="s">
        <v>288</v>
      </c>
      <c r="N502" s="130"/>
    </row>
    <row r="503" spans="1:14" ht="12.2" customHeight="1" thickBot="1" x14ac:dyDescent="0.25">
      <c r="A503" s="21" t="s">
        <v>625</v>
      </c>
      <c r="B503" s="22">
        <v>20</v>
      </c>
      <c r="C503" s="22">
        <v>13</v>
      </c>
      <c r="D503" s="2" t="s">
        <v>432</v>
      </c>
      <c r="E503" s="22"/>
      <c r="F503" s="18">
        <v>20247.5</v>
      </c>
      <c r="G503" s="18"/>
      <c r="H503" s="18"/>
      <c r="I503" s="18"/>
      <c r="J503" s="18"/>
      <c r="K503" s="19">
        <f t="shared" si="35"/>
        <v>20247.5</v>
      </c>
      <c r="L503" s="23" t="s">
        <v>288</v>
      </c>
      <c r="N503" s="130"/>
    </row>
    <row r="504" spans="1:14" ht="12.2" customHeight="1" thickTop="1" x14ac:dyDescent="0.2">
      <c r="A504" s="97" t="s">
        <v>626</v>
      </c>
      <c r="B504" s="41">
        <v>20</v>
      </c>
      <c r="C504" s="41">
        <v>14</v>
      </c>
      <c r="D504" s="36" t="s">
        <v>432</v>
      </c>
      <c r="E504" s="41"/>
      <c r="F504" s="39">
        <f>SUM(F502:F503)</f>
        <v>85247.5</v>
      </c>
      <c r="G504" s="39">
        <f>SUM(G502:G503)</f>
        <v>0</v>
      </c>
      <c r="H504" s="39">
        <f>SUM(H502:H503)</f>
        <v>0</v>
      </c>
      <c r="I504" s="39">
        <f>SUM(I502:I503)</f>
        <v>0</v>
      </c>
      <c r="J504" s="39">
        <f>SUM(J502:J503)</f>
        <v>0</v>
      </c>
      <c r="K504" s="39">
        <f t="shared" si="35"/>
        <v>85247.5</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v>22892.26</v>
      </c>
      <c r="G508" s="101">
        <f>11250.23+4774.06</f>
        <v>16024.29</v>
      </c>
      <c r="H508" s="101">
        <v>9826.48</v>
      </c>
      <c r="I508" s="101">
        <v>29090.07</v>
      </c>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343218.28+5543.92</f>
        <v>348762.2</v>
      </c>
      <c r="G522" s="18">
        <f>191015.1+1488.22</f>
        <v>192503.32</v>
      </c>
      <c r="H522" s="18">
        <f>58419.04+26918.14</f>
        <v>85337.18</v>
      </c>
      <c r="I522" s="18">
        <v>1135.3800000000001</v>
      </c>
      <c r="J522" s="18"/>
      <c r="K522" s="18"/>
      <c r="L522" s="69">
        <f>SUM(F522:K522)</f>
        <v>627738.07999999996</v>
      </c>
      <c r="N522" s="130"/>
    </row>
    <row r="523" spans="1:14" ht="12.2" customHeight="1" x14ac:dyDescent="0.2">
      <c r="A523" s="21" t="s">
        <v>634</v>
      </c>
      <c r="B523" s="22">
        <v>21</v>
      </c>
      <c r="C523" s="22">
        <v>2</v>
      </c>
      <c r="D523" s="2" t="s">
        <v>432</v>
      </c>
      <c r="E523" s="22"/>
      <c r="F523" s="18"/>
      <c r="G523" s="18"/>
      <c r="H523" s="18"/>
      <c r="I523" s="18">
        <v>13510.45</v>
      </c>
      <c r="J523" s="18"/>
      <c r="K523" s="18"/>
      <c r="L523" s="69">
        <f>SUM(F523:K523)</f>
        <v>13510.45</v>
      </c>
      <c r="N523" s="130"/>
    </row>
    <row r="524" spans="1:14" ht="12.2" customHeight="1" thickBot="1" x14ac:dyDescent="0.25">
      <c r="A524" s="21" t="s">
        <v>635</v>
      </c>
      <c r="B524" s="22">
        <v>21</v>
      </c>
      <c r="C524" s="22">
        <v>3</v>
      </c>
      <c r="D524" s="2" t="s">
        <v>432</v>
      </c>
      <c r="E524" s="22"/>
      <c r="F524" s="18"/>
      <c r="G524" s="18"/>
      <c r="H524" s="18"/>
      <c r="I524" s="18">
        <v>980012.84</v>
      </c>
      <c r="J524" s="18"/>
      <c r="K524" s="18"/>
      <c r="L524" s="69">
        <f>SUM(F524:K524)</f>
        <v>980012.84</v>
      </c>
      <c r="N524" s="130"/>
    </row>
    <row r="525" spans="1:14" ht="12.2" customHeight="1" thickTop="1" x14ac:dyDescent="0.2">
      <c r="A525" s="97" t="s">
        <v>63</v>
      </c>
      <c r="B525" s="41">
        <v>21</v>
      </c>
      <c r="C525" s="41">
        <v>4</v>
      </c>
      <c r="D525" s="115" t="s">
        <v>432</v>
      </c>
      <c r="E525" s="41"/>
      <c r="F525" s="81">
        <f>SUM(F522:F524)</f>
        <v>348762.2</v>
      </c>
      <c r="G525" s="81">
        <f t="shared" ref="G525:L525" si="36">SUM(G522:G524)</f>
        <v>192503.32</v>
      </c>
      <c r="H525" s="81">
        <f t="shared" si="36"/>
        <v>85337.18</v>
      </c>
      <c r="I525" s="81">
        <f t="shared" si="36"/>
        <v>994658.66999999993</v>
      </c>
      <c r="J525" s="81">
        <f t="shared" si="36"/>
        <v>0</v>
      </c>
      <c r="K525" s="81">
        <f t="shared" si="36"/>
        <v>0</v>
      </c>
      <c r="L525" s="70">
        <f t="shared" si="36"/>
        <v>1621261.3699999999</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46209.01</v>
      </c>
      <c r="G527" s="18">
        <v>24588.45</v>
      </c>
      <c r="H527" s="18">
        <v>26980.34</v>
      </c>
      <c r="I527" s="18">
        <v>138.41</v>
      </c>
      <c r="J527" s="18">
        <v>557.08000000000004</v>
      </c>
      <c r="K527" s="18"/>
      <c r="L527" s="69">
        <f>SUM(F527:K527)</f>
        <v>98473.290000000008</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46209.01</v>
      </c>
      <c r="G530" s="70">
        <f t="shared" ref="G530:L530" si="37">SUM(G527:G529)</f>
        <v>24588.45</v>
      </c>
      <c r="H530" s="70">
        <f t="shared" si="37"/>
        <v>26980.34</v>
      </c>
      <c r="I530" s="70">
        <f t="shared" si="37"/>
        <v>138.41</v>
      </c>
      <c r="J530" s="70">
        <f t="shared" si="37"/>
        <v>557.08000000000004</v>
      </c>
      <c r="K530" s="70">
        <f t="shared" si="37"/>
        <v>0</v>
      </c>
      <c r="L530" s="70">
        <f t="shared" si="37"/>
        <v>98473.290000000008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36365</v>
      </c>
      <c r="G532" s="18">
        <v>22672.01</v>
      </c>
      <c r="H532" s="18">
        <v>1695.37</v>
      </c>
      <c r="I532" s="18">
        <v>1723.55</v>
      </c>
      <c r="J532" s="18">
        <v>77.819999999999993</v>
      </c>
      <c r="K532" s="18">
        <v>1222.22</v>
      </c>
      <c r="L532" s="69">
        <f>SUM(F532:K532)</f>
        <v>63755.97</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36365</v>
      </c>
      <c r="G535" s="70">
        <f t="shared" ref="G535:L535" si="38">SUM(G532:G534)</f>
        <v>22672.01</v>
      </c>
      <c r="H535" s="70">
        <f t="shared" si="38"/>
        <v>1695.37</v>
      </c>
      <c r="I535" s="70">
        <f t="shared" si="38"/>
        <v>1723.55</v>
      </c>
      <c r="J535" s="70">
        <f t="shared" si="38"/>
        <v>77.819999999999993</v>
      </c>
      <c r="K535" s="70">
        <f t="shared" si="38"/>
        <v>1222.22</v>
      </c>
      <c r="L535" s="70">
        <f t="shared" si="38"/>
        <v>63755.97</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8736.8700000000008</v>
      </c>
      <c r="I542" s="18"/>
      <c r="J542" s="18"/>
      <c r="K542" s="18"/>
      <c r="L542" s="69">
        <f>SUM(F542:K542)</f>
        <v>8736.8700000000008</v>
      </c>
      <c r="M542" s="8"/>
      <c r="N542" s="164"/>
    </row>
    <row r="543" spans="1:14" s="3" customFormat="1" ht="12.2" customHeight="1" x14ac:dyDescent="0.15">
      <c r="A543" s="21" t="s">
        <v>634</v>
      </c>
      <c r="B543" s="22">
        <v>21</v>
      </c>
      <c r="C543" s="22">
        <v>18</v>
      </c>
      <c r="D543" s="2" t="s">
        <v>432</v>
      </c>
      <c r="E543" s="22"/>
      <c r="F543" s="18"/>
      <c r="G543" s="18"/>
      <c r="H543" s="18">
        <v>14565.71</v>
      </c>
      <c r="I543" s="18"/>
      <c r="J543" s="18"/>
      <c r="K543" s="18"/>
      <c r="L543" s="69">
        <f>SUM(F543:K543)</f>
        <v>14565.71</v>
      </c>
      <c r="M543" s="8"/>
      <c r="N543" s="164"/>
    </row>
    <row r="544" spans="1:14" s="3" customFormat="1" ht="12.2" customHeight="1" thickBot="1" x14ac:dyDescent="0.2">
      <c r="A544" s="21" t="s">
        <v>635</v>
      </c>
      <c r="B544" s="22">
        <v>21</v>
      </c>
      <c r="C544" s="22">
        <v>19</v>
      </c>
      <c r="D544" s="2" t="s">
        <v>432</v>
      </c>
      <c r="E544" s="22"/>
      <c r="F544" s="18"/>
      <c r="G544" s="18"/>
      <c r="H544" s="18">
        <v>30625.35</v>
      </c>
      <c r="I544" s="18"/>
      <c r="J544" s="18"/>
      <c r="K544" s="18"/>
      <c r="L544" s="69">
        <f>SUM(F544:K544)</f>
        <v>30625.35</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53927.93</v>
      </c>
      <c r="I545" s="140">
        <f t="shared" si="40"/>
        <v>0</v>
      </c>
      <c r="J545" s="140">
        <f t="shared" si="40"/>
        <v>0</v>
      </c>
      <c r="K545" s="140">
        <f t="shared" si="40"/>
        <v>0</v>
      </c>
      <c r="L545" s="140">
        <f t="shared" si="40"/>
        <v>53927.93</v>
      </c>
      <c r="M545" s="8"/>
      <c r="N545" s="164"/>
    </row>
    <row r="546" spans="1:14" s="3" customFormat="1" ht="12.2" customHeight="1" thickTop="1" x14ac:dyDescent="0.15">
      <c r="A546" s="75" t="s">
        <v>72</v>
      </c>
      <c r="B546" s="41">
        <v>21</v>
      </c>
      <c r="C546" s="41">
        <v>21</v>
      </c>
      <c r="D546" s="115" t="s">
        <v>432</v>
      </c>
      <c r="E546" s="41"/>
      <c r="F546" s="70">
        <f>F525+F530+F535+F540+F545</f>
        <v>431336.21</v>
      </c>
      <c r="G546" s="70">
        <f t="shared" ref="G546:L546" si="41">G525+G530+G535+G540+G545</f>
        <v>239763.78000000003</v>
      </c>
      <c r="H546" s="70">
        <f t="shared" si="41"/>
        <v>167940.81999999998</v>
      </c>
      <c r="I546" s="70">
        <f t="shared" si="41"/>
        <v>996520.63</v>
      </c>
      <c r="J546" s="70">
        <f t="shared" si="41"/>
        <v>634.90000000000009</v>
      </c>
      <c r="K546" s="70">
        <f t="shared" si="41"/>
        <v>1222.22</v>
      </c>
      <c r="L546" s="70">
        <f t="shared" si="41"/>
        <v>1837418.5599999998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627738.07999999996</v>
      </c>
      <c r="G550" s="69">
        <f>L527</f>
        <v>98473.290000000008</v>
      </c>
      <c r="H550" s="69">
        <f>L532</f>
        <v>63755.97</v>
      </c>
      <c r="I550" s="69">
        <f>L537</f>
        <v>0</v>
      </c>
      <c r="J550" s="69">
        <f>L542</f>
        <v>8736.8700000000008</v>
      </c>
      <c r="K550" s="69">
        <f>SUM(F550:J550)</f>
        <v>798704.21</v>
      </c>
      <c r="L550" s="23" t="s">
        <v>288</v>
      </c>
      <c r="M550" s="8"/>
      <c r="N550" s="164"/>
    </row>
    <row r="551" spans="1:14" s="3" customFormat="1" ht="12.2" customHeight="1" x14ac:dyDescent="0.15">
      <c r="A551" s="21" t="s">
        <v>634</v>
      </c>
      <c r="B551" s="22">
        <v>21</v>
      </c>
      <c r="C551" s="22">
        <v>23</v>
      </c>
      <c r="D551" s="2" t="s">
        <v>432</v>
      </c>
      <c r="E551" s="22"/>
      <c r="F551" s="69">
        <f>L523</f>
        <v>13510.45</v>
      </c>
      <c r="G551" s="69">
        <f>L528</f>
        <v>0</v>
      </c>
      <c r="H551" s="69">
        <f>L533</f>
        <v>0</v>
      </c>
      <c r="I551" s="69">
        <f>L538</f>
        <v>0</v>
      </c>
      <c r="J551" s="69">
        <f>L543</f>
        <v>14565.71</v>
      </c>
      <c r="K551" s="69">
        <f>SUM(F551:J551)</f>
        <v>28076.16</v>
      </c>
      <c r="L551" s="23" t="s">
        <v>288</v>
      </c>
      <c r="M551" s="8"/>
      <c r="N551" s="164"/>
    </row>
    <row r="552" spans="1:14" s="3" customFormat="1" ht="12.2" customHeight="1" thickBot="1" x14ac:dyDescent="0.2">
      <c r="A552" s="21" t="s">
        <v>635</v>
      </c>
      <c r="B552" s="22">
        <v>21</v>
      </c>
      <c r="C552" s="22">
        <v>24</v>
      </c>
      <c r="D552" s="2" t="s">
        <v>432</v>
      </c>
      <c r="E552" s="22"/>
      <c r="F552" s="69">
        <f>L524</f>
        <v>980012.84</v>
      </c>
      <c r="G552" s="69">
        <f>L529</f>
        <v>0</v>
      </c>
      <c r="H552" s="69">
        <f>L534</f>
        <v>0</v>
      </c>
      <c r="I552" s="69">
        <f>L539</f>
        <v>0</v>
      </c>
      <c r="J552" s="69">
        <f>L544</f>
        <v>30625.35</v>
      </c>
      <c r="K552" s="69">
        <f>SUM(F552:J552)</f>
        <v>1010638.19</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1621261.3699999999</v>
      </c>
      <c r="G553" s="70">
        <f t="shared" si="42"/>
        <v>98473.290000000008</v>
      </c>
      <c r="H553" s="70">
        <f t="shared" si="42"/>
        <v>63755.97</v>
      </c>
      <c r="I553" s="70">
        <f t="shared" si="42"/>
        <v>0</v>
      </c>
      <c r="J553" s="70">
        <f t="shared" si="42"/>
        <v>53927.93</v>
      </c>
      <c r="K553" s="70">
        <f t="shared" si="42"/>
        <v>1837418.56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v>768672.66</v>
      </c>
      <c r="H576" s="18">
        <f>102990+1512830</f>
        <v>1615820</v>
      </c>
      <c r="I576" s="69">
        <f>SUM(F576:H576)</f>
        <v>2384492.66</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f>628009.92+352002.92</f>
        <v>980012.84000000008</v>
      </c>
      <c r="I583" s="69">
        <f t="shared" si="47"/>
        <v>980012.84000000008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768672.66</v>
      </c>
      <c r="H589" s="79">
        <f t="shared" si="48"/>
        <v>2595832.84</v>
      </c>
      <c r="I589" s="79">
        <f t="shared" si="48"/>
        <v>3364505.5</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204200.85</v>
      </c>
      <c r="I592" s="18">
        <v>71193.13</v>
      </c>
      <c r="J592" s="18">
        <v>149688.12</v>
      </c>
      <c r="K592" s="80">
        <f t="shared" ref="K592:K598" si="49">SUM(H592:J592)</f>
        <v>425082.1</v>
      </c>
      <c r="L592" s="23" t="s">
        <v>288</v>
      </c>
      <c r="M592" s="8"/>
      <c r="N592" s="164"/>
    </row>
    <row r="593" spans="1:14" s="3" customFormat="1" ht="12.2" customHeight="1" x14ac:dyDescent="0.15">
      <c r="A593" s="3" t="s">
        <v>638</v>
      </c>
      <c r="B593" s="22">
        <v>23</v>
      </c>
      <c r="C593" s="22">
        <v>2</v>
      </c>
      <c r="D593" s="2" t="s">
        <v>432</v>
      </c>
      <c r="E593" s="22"/>
      <c r="F593" s="78">
        <v>2722</v>
      </c>
      <c r="G593" s="79" t="s">
        <v>97</v>
      </c>
      <c r="H593" s="18">
        <v>8736.8700000000008</v>
      </c>
      <c r="I593" s="18">
        <v>14565.71</v>
      </c>
      <c r="J593" s="18">
        <v>30625.35</v>
      </c>
      <c r="K593" s="80">
        <f t="shared" si="49"/>
        <v>53927.93</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1574.25</v>
      </c>
      <c r="I596" s="18"/>
      <c r="J596" s="18"/>
      <c r="K596" s="80">
        <f t="shared" si="49"/>
        <v>1574.25</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214511.97</v>
      </c>
      <c r="I599" s="81">
        <f>SUM(I592:I598)</f>
        <v>85758.84</v>
      </c>
      <c r="J599" s="81">
        <f>SUM(J592:J598)</f>
        <v>180313.47</v>
      </c>
      <c r="K599" s="81">
        <f>SUM(K592:K598)</f>
        <v>480584.27999999997</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5257.85+2576.69+359.95+9210.24+24313.56+509.5-957.3</f>
        <v>41270.490000000005</v>
      </c>
      <c r="I605" s="18"/>
      <c r="J605" s="18"/>
      <c r="K605" s="80">
        <f>SUM(H605:J605)</f>
        <v>41270.490000000005</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41270.490000000005</v>
      </c>
      <c r="I606" s="81">
        <f>SUM(I603:I605)</f>
        <v>0</v>
      </c>
      <c r="J606" s="81">
        <f>SUM(J603:J605)</f>
        <v>0</v>
      </c>
      <c r="K606" s="81">
        <f>SUM(K603:K605)</f>
        <v>41270.490000000005</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7398.41</v>
      </c>
      <c r="G612" s="18">
        <v>973.32</v>
      </c>
      <c r="H612" s="18">
        <v>1212.5</v>
      </c>
      <c r="I612" s="18"/>
      <c r="J612" s="18"/>
      <c r="K612" s="18"/>
      <c r="L612" s="69">
        <f>SUM(F612:K612)</f>
        <v>9584.23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7398.41</v>
      </c>
      <c r="G615" s="81">
        <f t="shared" si="50"/>
        <v>973.32</v>
      </c>
      <c r="H615" s="81">
        <f t="shared" si="50"/>
        <v>1212.5</v>
      </c>
      <c r="I615" s="81">
        <f t="shared" si="50"/>
        <v>0</v>
      </c>
      <c r="J615" s="81">
        <f t="shared" si="50"/>
        <v>0</v>
      </c>
      <c r="K615" s="81">
        <f t="shared" si="50"/>
        <v>0</v>
      </c>
      <c r="L615" s="70">
        <f t="shared" si="50"/>
        <v>9584.23</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422636.51</v>
      </c>
      <c r="H618" s="80">
        <f>SUM(F52)</f>
        <v>422636.51</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41.899999999999636</v>
      </c>
      <c r="H619" s="80">
        <f>SUM(G52)</f>
        <v>41.9</v>
      </c>
      <c r="I619" s="87" t="s">
        <v>872</v>
      </c>
      <c r="J619" s="80">
        <f>G619-H619</f>
        <v>-3.6237679523765109E-13</v>
      </c>
      <c r="K619" s="80"/>
      <c r="L619" s="80"/>
      <c r="M619" s="8"/>
    </row>
    <row r="620" spans="1:14" s="3" customFormat="1" ht="12.2" customHeight="1" x14ac:dyDescent="0.15">
      <c r="A620" s="74"/>
      <c r="B620" s="22"/>
      <c r="C620" s="22"/>
      <c r="D620" s="22"/>
      <c r="E620" s="22"/>
      <c r="F620" s="87" t="s">
        <v>685</v>
      </c>
      <c r="G620" s="80">
        <f>SUM(H19)</f>
        <v>17665.32</v>
      </c>
      <c r="H620" s="80">
        <f>SUM(H52)</f>
        <v>17665.32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344271.63</v>
      </c>
      <c r="H622" s="80">
        <f>SUM(J52)</f>
        <v>344271.63</v>
      </c>
      <c r="I622" s="87" t="s">
        <v>875</v>
      </c>
      <c r="J622" s="80">
        <f>G622-H622</f>
        <v>0</v>
      </c>
      <c r="K622" s="80"/>
      <c r="L622" s="80"/>
      <c r="M622" s="8"/>
    </row>
    <row r="623" spans="1:14" s="3" customFormat="1" ht="12.2" customHeight="1" x14ac:dyDescent="0.15">
      <c r="A623" s="74"/>
      <c r="B623" s="22"/>
      <c r="C623" s="22"/>
      <c r="D623" s="22"/>
      <c r="E623" s="22"/>
      <c r="F623" s="87" t="s">
        <v>861</v>
      </c>
      <c r="G623" s="80">
        <f>F51</f>
        <v>349193.01</v>
      </c>
      <c r="H623" s="80">
        <f>F477</f>
        <v>349193.01000000071</v>
      </c>
      <c r="I623" s="87" t="s">
        <v>101</v>
      </c>
      <c r="J623" s="80">
        <f t="shared" ref="J623:J656" si="51">G623-H623</f>
        <v>-6.9849193096160889E-10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344271.63</v>
      </c>
      <c r="H627" s="80">
        <f>J477</f>
        <v>344271.63</v>
      </c>
      <c r="I627" s="87" t="s">
        <v>105</v>
      </c>
      <c r="J627" s="80">
        <f t="shared" si="51"/>
        <v>0</v>
      </c>
      <c r="K627" s="67"/>
      <c r="L627" s="69"/>
      <c r="M627" s="8"/>
    </row>
    <row r="628" spans="1:13" s="3" customFormat="1" ht="12.2" customHeight="1" x14ac:dyDescent="0.15">
      <c r="A628" s="21"/>
      <c r="B628" s="22"/>
      <c r="C628" s="22"/>
      <c r="D628" s="22"/>
      <c r="E628" s="22"/>
      <c r="F628" s="86" t="s">
        <v>658</v>
      </c>
      <c r="G628" s="80">
        <f>F194</f>
        <v>7644294.879999999</v>
      </c>
      <c r="H628" s="80">
        <f>SUM(F469)</f>
        <v>7644294.8799999999</v>
      </c>
      <c r="I628" s="87" t="s">
        <v>106</v>
      </c>
      <c r="J628" s="80">
        <f>G628-H628</f>
        <v>0</v>
      </c>
      <c r="K628" s="67"/>
      <c r="L628" s="69"/>
      <c r="M628" s="8"/>
    </row>
    <row r="629" spans="1:13" s="3" customFormat="1" ht="12.2" customHeight="1" x14ac:dyDescent="0.15">
      <c r="A629" s="21"/>
      <c r="B629" s="22"/>
      <c r="C629" s="22"/>
      <c r="D629" s="22"/>
      <c r="E629" s="22"/>
      <c r="F629" s="86" t="s">
        <v>659</v>
      </c>
      <c r="G629" s="80">
        <f>G194</f>
        <v>131081.43</v>
      </c>
      <c r="H629" s="80">
        <f>SUM(G469)</f>
        <v>131081.43</v>
      </c>
      <c r="I629" s="87" t="s">
        <v>107</v>
      </c>
      <c r="J629" s="80">
        <f>G629-H629</f>
        <v>0</v>
      </c>
      <c r="K629" s="67"/>
      <c r="L629" s="69"/>
      <c r="M629" s="8"/>
    </row>
    <row r="630" spans="1:13" s="3" customFormat="1" ht="12.2" customHeight="1" x14ac:dyDescent="0.15">
      <c r="A630" s="21"/>
      <c r="B630" s="22"/>
      <c r="C630" s="22"/>
      <c r="D630" s="22"/>
      <c r="E630" s="22"/>
      <c r="F630" s="86" t="s">
        <v>660</v>
      </c>
      <c r="G630" s="80">
        <f>H194</f>
        <v>345742.62</v>
      </c>
      <c r="H630" s="80">
        <f>SUM(H469)</f>
        <v>345742.62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40464.839999999997</v>
      </c>
      <c r="H632" s="80">
        <f>J469</f>
        <v>40464.839999999997</v>
      </c>
      <c r="I632" s="87" t="s">
        <v>110</v>
      </c>
      <c r="J632" s="80">
        <f>G632-H632</f>
        <v>0</v>
      </c>
      <c r="K632" s="67"/>
      <c r="L632" s="69"/>
      <c r="M632" s="8"/>
    </row>
    <row r="633" spans="1:13" s="3" customFormat="1" ht="12.2" customHeight="1" x14ac:dyDescent="0.15">
      <c r="A633" s="21"/>
      <c r="B633" s="22"/>
      <c r="C633" s="22"/>
      <c r="D633" s="22"/>
      <c r="E633" s="22"/>
      <c r="F633" s="86" t="s">
        <v>394</v>
      </c>
      <c r="G633" s="80">
        <f>SUM(L272)</f>
        <v>7639006.0199999996</v>
      </c>
      <c r="H633" s="80">
        <f>SUM(F473)</f>
        <v>7639006.0199999996</v>
      </c>
      <c r="I633" s="87" t="s">
        <v>111</v>
      </c>
      <c r="J633" s="80">
        <f t="shared" si="51"/>
        <v>0</v>
      </c>
      <c r="K633" s="67"/>
      <c r="L633" s="69"/>
      <c r="M633" s="8"/>
    </row>
    <row r="634" spans="1:13" s="3" customFormat="1" ht="12.2" customHeight="1" x14ac:dyDescent="0.15">
      <c r="A634" s="21"/>
      <c r="B634" s="22"/>
      <c r="C634" s="22"/>
      <c r="D634" s="22"/>
      <c r="E634" s="22"/>
      <c r="F634" s="86" t="s">
        <v>395</v>
      </c>
      <c r="G634" s="80">
        <f>SUM(L353)</f>
        <v>345742.62</v>
      </c>
      <c r="H634" s="80">
        <f>SUM(H473)</f>
        <v>345742.62</v>
      </c>
      <c r="I634" s="87" t="s">
        <v>112</v>
      </c>
      <c r="J634" s="80">
        <f>G634-H634</f>
        <v>0</v>
      </c>
      <c r="K634" s="67"/>
      <c r="L634" s="69"/>
      <c r="M634" s="8"/>
    </row>
    <row r="635" spans="1:13" s="124" customFormat="1" ht="12.2" customHeight="1" x14ac:dyDescent="0.15">
      <c r="A635" s="21"/>
      <c r="B635" s="22"/>
      <c r="C635" s="22"/>
      <c r="D635" s="22"/>
      <c r="E635" s="22"/>
      <c r="F635" s="99" t="s">
        <v>247</v>
      </c>
      <c r="G635" s="80">
        <f>I363</f>
        <v>57921.46</v>
      </c>
      <c r="H635" s="80">
        <f>I370</f>
        <v>57921.46</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131081.43</v>
      </c>
      <c r="H636" s="80">
        <f>SUM(G473)</f>
        <v>131081.43</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40464.839999999997</v>
      </c>
      <c r="H638" s="108">
        <f>J469</f>
        <v>40464.839999999997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344271.63</v>
      </c>
      <c r="H640" s="80">
        <f>SUM(F462)</f>
        <v>344271.63</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344271.63</v>
      </c>
      <c r="H643" s="80">
        <f>SUM(I462)</f>
        <v>344271.63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10464.84</v>
      </c>
      <c r="H645" s="80">
        <f>H409</f>
        <v>10464.839999999998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30000</v>
      </c>
      <c r="H646" s="80">
        <f>G409</f>
        <v>30000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40464.839999999997</v>
      </c>
      <c r="H647" s="80">
        <f>L409</f>
        <v>40464.839999999997</v>
      </c>
      <c r="I647" s="87" t="s">
        <v>477</v>
      </c>
      <c r="J647" s="80">
        <f t="shared" si="51"/>
        <v>0</v>
      </c>
      <c r="K647" s="67"/>
      <c r="L647" s="69"/>
      <c r="M647" s="8"/>
    </row>
    <row r="648" spans="1:13" s="3" customFormat="1" ht="12.2" customHeight="1" x14ac:dyDescent="0.15">
      <c r="A648" s="21"/>
      <c r="B648" s="22"/>
      <c r="C648" s="22"/>
      <c r="D648" s="22"/>
      <c r="E648" s="22"/>
      <c r="F648" s="86" t="s">
        <v>51</v>
      </c>
      <c r="G648" s="80">
        <f>K599</f>
        <v>480584.27999999997</v>
      </c>
      <c r="H648" s="80">
        <f>L209+L227+L245</f>
        <v>480584.27999999997</v>
      </c>
      <c r="I648" s="87" t="s">
        <v>396</v>
      </c>
      <c r="J648" s="80">
        <f t="shared" si="51"/>
        <v>0</v>
      </c>
      <c r="K648" s="67"/>
      <c r="L648" s="69"/>
      <c r="M648" s="8"/>
    </row>
    <row r="649" spans="1:13" s="3" customFormat="1" ht="12.2" customHeight="1" x14ac:dyDescent="0.15">
      <c r="A649" s="21"/>
      <c r="B649" s="22"/>
      <c r="C649" s="22"/>
      <c r="D649" s="22"/>
      <c r="E649" s="22"/>
      <c r="F649" s="86" t="s">
        <v>52</v>
      </c>
      <c r="G649" s="80">
        <f>K606</f>
        <v>41270.490000000005</v>
      </c>
      <c r="H649" s="80">
        <f>(J258+J339)-(J256+J337)</f>
        <v>41270.490000000005</v>
      </c>
      <c r="I649" s="87" t="s">
        <v>699</v>
      </c>
      <c r="J649" s="80">
        <f t="shared" si="51"/>
        <v>0</v>
      </c>
      <c r="K649" s="67"/>
      <c r="L649" s="69"/>
      <c r="M649" s="8"/>
    </row>
    <row r="650" spans="1:13" s="3" customFormat="1" ht="12.2" customHeight="1" x14ac:dyDescent="0.15">
      <c r="A650" s="21"/>
      <c r="B650" s="22"/>
      <c r="C650" s="22"/>
      <c r="D650" s="22"/>
      <c r="E650" s="22"/>
      <c r="F650" s="86" t="s">
        <v>387</v>
      </c>
      <c r="G650" s="80">
        <f>L209</f>
        <v>214511.97064655172</v>
      </c>
      <c r="H650" s="80">
        <f>H599</f>
        <v>214511.97</v>
      </c>
      <c r="I650" s="87" t="s">
        <v>388</v>
      </c>
      <c r="J650" s="80">
        <f t="shared" si="51"/>
        <v>6.4655172172933817E-4</v>
      </c>
      <c r="K650" s="67"/>
      <c r="L650" s="69"/>
      <c r="M650" s="8"/>
    </row>
    <row r="651" spans="1:13" s="3" customFormat="1" ht="12.2" customHeight="1" x14ac:dyDescent="0.15">
      <c r="A651" s="21"/>
      <c r="B651" s="22"/>
      <c r="C651" s="22"/>
      <c r="D651" s="22"/>
      <c r="E651" s="22"/>
      <c r="F651" s="86" t="s">
        <v>392</v>
      </c>
      <c r="G651" s="80">
        <f>L227</f>
        <v>85758.843510615567</v>
      </c>
      <c r="H651" s="80">
        <f>I599</f>
        <v>85758.84</v>
      </c>
      <c r="I651" s="87" t="s">
        <v>389</v>
      </c>
      <c r="J651" s="80">
        <f t="shared" si="51"/>
        <v>3.5106155701214448E-3</v>
      </c>
      <c r="K651" s="67"/>
      <c r="L651" s="69"/>
      <c r="M651" s="8"/>
    </row>
    <row r="652" spans="1:13" s="3" customFormat="1" ht="12.2" customHeight="1" x14ac:dyDescent="0.15">
      <c r="A652" s="21"/>
      <c r="B652" s="22"/>
      <c r="C652" s="22"/>
      <c r="D652" s="22"/>
      <c r="E652" s="22"/>
      <c r="F652" s="86" t="s">
        <v>393</v>
      </c>
      <c r="G652" s="80">
        <f>L245</f>
        <v>180313.46584283269</v>
      </c>
      <c r="H652" s="80">
        <f>J599</f>
        <v>180313.47</v>
      </c>
      <c r="I652" s="87" t="s">
        <v>390</v>
      </c>
      <c r="J652" s="80">
        <f t="shared" si="51"/>
        <v>-4.1571673064026982E-3</v>
      </c>
      <c r="K652" s="67"/>
      <c r="L652" s="69"/>
      <c r="M652" s="8"/>
    </row>
    <row r="653" spans="1:13" s="3" customFormat="1" ht="12.2" customHeight="1" x14ac:dyDescent="0.15">
      <c r="A653" s="21"/>
      <c r="B653" s="22"/>
      <c r="C653" s="22"/>
      <c r="D653" s="22"/>
      <c r="E653" s="22"/>
      <c r="F653" s="86" t="s">
        <v>665</v>
      </c>
      <c r="G653" s="80">
        <f>G180+G182</f>
        <v>25396.080000000002</v>
      </c>
      <c r="H653" s="80">
        <f>K264+K346</f>
        <v>25396.080000000002</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30000</v>
      </c>
      <c r="H656" s="80">
        <f>K267+K348</f>
        <v>30000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4193316.2806465514</v>
      </c>
      <c r="G661" s="13">
        <f>(L230+L310+L360)</f>
        <v>867941.95351061551</v>
      </c>
      <c r="H661" s="13">
        <f>(L248+L329+L361)</f>
        <v>2776146.3058428327</v>
      </c>
      <c r="I661" s="13">
        <f>SUM(F661:H661)</f>
        <v>7837404.54</v>
      </c>
      <c r="J661" s="13"/>
      <c r="K661" s="13"/>
      <c r="L661" s="13"/>
      <c r="M661" s="9"/>
    </row>
    <row r="662" spans="1:13" s="3" customFormat="1" ht="12.2" customHeight="1" x14ac:dyDescent="0.2">
      <c r="A662" s="1" t="s">
        <v>127</v>
      </c>
      <c r="F662" s="13">
        <f>(L359/IF(SUM(L359:L361)=0,1,SUM(L359:L361))*(SUM(G97:G110)))</f>
        <v>46998.97</v>
      </c>
      <c r="G662" s="13">
        <f>(L360/IF(SUM(L359:L361)=0,1,SUM(L359:L361))*(SUM(G97:G110)))</f>
        <v>0</v>
      </c>
      <c r="H662" s="13">
        <f>(L361/IF(SUM(L359:L361)=0,1,SUM(L359:L361))*(SUM(G97:G110)))</f>
        <v>0</v>
      </c>
      <c r="I662" s="13">
        <f>SUM(F662:H662)</f>
        <v>46998.97</v>
      </c>
      <c r="J662"/>
      <c r="K662" s="13"/>
      <c r="L662" s="13"/>
      <c r="M662" s="8"/>
    </row>
    <row r="663" spans="1:13" s="3" customFormat="1" ht="12.2" customHeight="1" x14ac:dyDescent="0.2">
      <c r="A663" s="1" t="s">
        <v>128</v>
      </c>
      <c r="F663" s="13">
        <f>(L209+L288)-(J209+J288)</f>
        <v>214511.97064655172</v>
      </c>
      <c r="G663" s="13">
        <f>(L227+L307)-(J227+J307)</f>
        <v>85758.843510615567</v>
      </c>
      <c r="H663" s="13">
        <f>(L245+L326)-(J245+J326)</f>
        <v>180313.46584283269</v>
      </c>
      <c r="I663" s="13">
        <f>SUM(F663:H663)</f>
        <v>480584.27999999997</v>
      </c>
      <c r="J663"/>
      <c r="K663" s="13"/>
      <c r="L663" s="13"/>
      <c r="M663" s="9"/>
    </row>
    <row r="664" spans="1:13" s="3" customFormat="1" ht="12.2" customHeight="1" x14ac:dyDescent="0.15">
      <c r="A664" s="141" t="s">
        <v>129</v>
      </c>
      <c r="B664" s="124"/>
      <c r="C664" s="124"/>
      <c r="D664" s="124"/>
      <c r="E664" s="124"/>
      <c r="F664" s="142">
        <f>SUM(F576:F588)+SUM(H603:H605)+SUM(L612)</f>
        <v>50854.720000000001</v>
      </c>
      <c r="G664" s="142">
        <f>SUM(G576:G588)+SUM(I603:I605)+L613</f>
        <v>768672.66</v>
      </c>
      <c r="H664" s="142">
        <f>SUM(H576:H588)+SUM(J603:J605)+L614</f>
        <v>2595832.84</v>
      </c>
      <c r="I664" s="13">
        <f>SUM(F664:H664)</f>
        <v>3415360.2199999997</v>
      </c>
      <c r="J664" s="13"/>
      <c r="K664" s="13"/>
      <c r="L664" s="13"/>
      <c r="M664" s="9"/>
    </row>
    <row r="665" spans="1:13" s="3" customFormat="1" ht="12.2" customHeight="1" x14ac:dyDescent="0.15">
      <c r="A665" s="1" t="s">
        <v>130</v>
      </c>
      <c r="F665" s="13">
        <f>F661-SUM(F662:F664)</f>
        <v>3880950.6199999996</v>
      </c>
      <c r="G665" s="13">
        <f>G661-SUM(G662:G664)</f>
        <v>13510.449999999953</v>
      </c>
      <c r="H665" s="13">
        <f>H661-SUM(H662:H664)</f>
        <v>0</v>
      </c>
      <c r="I665" s="13">
        <f>I661-SUM(I662:I664)</f>
        <v>3894461.0700000003</v>
      </c>
      <c r="J665" s="13"/>
      <c r="K665" s="13"/>
      <c r="L665" s="13"/>
      <c r="M665" s="8"/>
    </row>
    <row r="666" spans="1:13" s="3" customFormat="1" ht="12.2" customHeight="1" x14ac:dyDescent="0.2">
      <c r="A666" s="1" t="s">
        <v>131</v>
      </c>
      <c r="F666" s="182">
        <v>114.99</v>
      </c>
      <c r="G666" s="183">
        <v>0</v>
      </c>
      <c r="H666" s="183">
        <v>0</v>
      </c>
      <c r="I666" s="13">
        <f>SUM(F666:H666)</f>
        <v>114.99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33750.33</v>
      </c>
      <c r="G668" s="13" t="e">
        <f>ROUND(G665/G666,2)</f>
        <v>#DIV/0!</v>
      </c>
      <c r="H668" s="13" t="e">
        <f>ROUND(H665/H666,2)</f>
        <v>#DIV/0!</v>
      </c>
      <c r="I668" s="13">
        <f>ROUND(I665/I666,2)</f>
        <v>33867.82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f t="shared" si="52"/>
        <v>-13510.449999999953</v>
      </c>
      <c r="H670" s="73" t="str">
        <f t="shared" si="52"/>
        <v/>
      </c>
      <c r="I670" s="13">
        <f>SUM(F670:H670)</f>
        <v>-13510.449999999953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33750.33</v>
      </c>
      <c r="G673" s="13" t="e">
        <f>ROUND((G665+G670)/(G666+G671),2)</f>
        <v>#DIV/0!</v>
      </c>
      <c r="H673" s="13" t="e">
        <f>ROUND((H665+H670)/(H666+H671),2)</f>
        <v>#DIV/0!</v>
      </c>
      <c r="I673" s="13">
        <f>ROUND((I665+I670)/(I666+I671),2)</f>
        <v>33750.33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39940.199999999997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13179.54</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26760.66</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Madison</v>
      </c>
      <c r="C5" s="321"/>
      <c r="D5" s="321"/>
      <c r="E5" s="321"/>
      <c r="F5" s="321"/>
    </row>
    <row r="8" spans="1:9" ht="18" x14ac:dyDescent="0.25">
      <c r="A8" s="239" t="s">
        <v>1548</v>
      </c>
      <c r="F8" s="246" t="s">
        <v>1566</v>
      </c>
    </row>
    <row r="9" spans="1:9" ht="15" x14ac:dyDescent="0.2">
      <c r="A9" s="237" t="s">
        <v>1549</v>
      </c>
      <c r="B9" s="240">
        <f>'DOE25'!G97</f>
        <v>29367.640000000003</v>
      </c>
      <c r="F9" s="237" t="s">
        <v>1562</v>
      </c>
    </row>
    <row r="10" spans="1:9" ht="15" x14ac:dyDescent="0.2">
      <c r="A10" s="237" t="s">
        <v>1550</v>
      </c>
      <c r="B10" s="240">
        <f>'DOE25'!G112-'DOE25'!G97</f>
        <v>17631.329999999998</v>
      </c>
      <c r="F10" s="237" t="s">
        <v>1563</v>
      </c>
    </row>
    <row r="11" spans="1:9" ht="15" x14ac:dyDescent="0.2">
      <c r="A11" s="237" t="s">
        <v>1551</v>
      </c>
      <c r="B11" s="240">
        <f>'DOE25'!G140</f>
        <v>14916.21</v>
      </c>
      <c r="F11" s="237" t="s">
        <v>1564</v>
      </c>
    </row>
    <row r="12" spans="1:9" ht="15" x14ac:dyDescent="0.2">
      <c r="A12" s="237" t="s">
        <v>1552</v>
      </c>
      <c r="B12" s="240">
        <f>'DOE25'!G170</f>
        <v>43770.17</v>
      </c>
      <c r="F12" s="237" t="s">
        <v>1565</v>
      </c>
    </row>
    <row r="13" spans="1:9" ht="15" x14ac:dyDescent="0.2">
      <c r="A13" s="237" t="s">
        <v>1553</v>
      </c>
      <c r="B13" s="240">
        <f>'DOE25'!G193-'DOE25'!G180</f>
        <v>0</v>
      </c>
      <c r="F13" s="237" t="s">
        <v>1575</v>
      </c>
    </row>
    <row r="14" spans="1:9" ht="18" x14ac:dyDescent="0.25">
      <c r="A14" s="239" t="s">
        <v>732</v>
      </c>
      <c r="B14" s="241">
        <f>SUM(B9:B13)</f>
        <v>105685.35</v>
      </c>
    </row>
    <row r="16" spans="1:9" ht="18" x14ac:dyDescent="0.25">
      <c r="A16" s="239" t="s">
        <v>783</v>
      </c>
      <c r="F16" s="246" t="s">
        <v>1567</v>
      </c>
    </row>
    <row r="17" spans="1:6" ht="15" x14ac:dyDescent="0.2">
      <c r="A17" s="237" t="s">
        <v>1554</v>
      </c>
      <c r="B17" s="240">
        <f>'DOE25'!L363-'DOE25'!L362</f>
        <v>131081.43</v>
      </c>
      <c r="F17" s="237" t="s">
        <v>1568</v>
      </c>
    </row>
    <row r="18" spans="1:6" ht="15" x14ac:dyDescent="0.2">
      <c r="A18" s="237" t="s">
        <v>1555</v>
      </c>
      <c r="B18" s="250"/>
      <c r="F18" s="246" t="s">
        <v>1592</v>
      </c>
    </row>
    <row r="19" spans="1:6" ht="18" x14ac:dyDescent="0.25">
      <c r="A19" s="239" t="s">
        <v>725</v>
      </c>
      <c r="B19" s="241">
        <f>SUM(B17:B18)</f>
        <v>131081.43</v>
      </c>
    </row>
    <row r="21" spans="1:6" ht="18.75" thickBot="1" x14ac:dyDescent="0.3">
      <c r="A21" s="239" t="s">
        <v>1556</v>
      </c>
    </row>
    <row r="22" spans="1:6" ht="18.75" thickTop="1" x14ac:dyDescent="0.25">
      <c r="A22" s="239" t="s">
        <v>1557</v>
      </c>
      <c r="B22" s="245">
        <f>B14-B19</f>
        <v>-25396.079999999987</v>
      </c>
      <c r="F22" s="237" t="s">
        <v>1569</v>
      </c>
    </row>
    <row r="26" spans="1:6" ht="18" x14ac:dyDescent="0.25">
      <c r="A26" s="239" t="s">
        <v>186</v>
      </c>
    </row>
    <row r="27" spans="1:6" ht="15" x14ac:dyDescent="0.2">
      <c r="A27" s="237" t="s">
        <v>1558</v>
      </c>
      <c r="B27" s="240">
        <f>'DOE25'!G180</f>
        <v>25396.080000000002</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5928.88</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sqref="A1:XFD1048576"/>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Madison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921093.63</v>
      </c>
      <c r="C9" s="166">
        <f>'DOE25'!G198+'DOE25'!G216+'DOE25'!G234+'DOE25'!G277+'DOE25'!G296+'DOE25'!G315</f>
        <v>445301</v>
      </c>
    </row>
    <row r="10" spans="1:3" x14ac:dyDescent="0.2">
      <c r="A10" t="s">
        <v>772</v>
      </c>
      <c r="B10" s="176">
        <f>860806.56+60287.07-17203.75-8109.62</f>
        <v>895780.26</v>
      </c>
      <c r="C10" s="176">
        <f>413935.26+29408.78</f>
        <v>443344.04000000004</v>
      </c>
    </row>
    <row r="11" spans="1:3" x14ac:dyDescent="0.2">
      <c r="A11" t="s">
        <v>773</v>
      </c>
      <c r="B11" s="176"/>
      <c r="C11" s="176"/>
    </row>
    <row r="12" spans="1:3" x14ac:dyDescent="0.2">
      <c r="A12" t="s">
        <v>774</v>
      </c>
      <c r="B12" s="176">
        <f>17203.75+8109.62</f>
        <v>25313.37</v>
      </c>
      <c r="C12" s="176">
        <f>31365.74-29408.78</f>
        <v>1956.9600000000028</v>
      </c>
    </row>
    <row r="13" spans="1:3" x14ac:dyDescent="0.2">
      <c r="A13" t="str">
        <f>IF(B9=B13,IF(C9=C13,"Check Total OK","Check Total Error"),"Check Total Error")</f>
        <v>Check Total OK</v>
      </c>
      <c r="B13" s="168">
        <f>SUM(B10:B12)</f>
        <v>921093.63</v>
      </c>
      <c r="C13" s="168">
        <f>SUM(C10:C12)</f>
        <v>445301.00000000006</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348762.19999999995</v>
      </c>
      <c r="C18" s="166">
        <f>'DOE25'!G199+'DOE25'!G217+'DOE25'!G235+'DOE25'!G278+'DOE25'!G297+'DOE25'!G316</f>
        <v>192503.31999999998</v>
      </c>
    </row>
    <row r="19" spans="1:3" x14ac:dyDescent="0.2">
      <c r="A19" t="s">
        <v>772</v>
      </c>
      <c r="B19" s="176">
        <f>5543.92+133763.92+7398.41</f>
        <v>146706.25000000003</v>
      </c>
      <c r="C19" s="176">
        <f>1488.22+191015.1-95923.4-42.08</f>
        <v>96537.840000000011</v>
      </c>
    </row>
    <row r="20" spans="1:3" x14ac:dyDescent="0.2">
      <c r="A20" t="s">
        <v>773</v>
      </c>
      <c r="B20" s="176">
        <f>173224.27+1650+550+26631.68</f>
        <v>202055.94999999998</v>
      </c>
      <c r="C20" s="176">
        <f>95923.4+42.08</f>
        <v>95965.48</v>
      </c>
    </row>
    <row r="21" spans="1:3" x14ac:dyDescent="0.2">
      <c r="A21" t="s">
        <v>774</v>
      </c>
      <c r="B21" s="176"/>
      <c r="C21" s="176"/>
    </row>
    <row r="22" spans="1:3" x14ac:dyDescent="0.2">
      <c r="A22" t="str">
        <f>IF(B18=B22,IF(C18=C22,"Check Total OK","Check Total Error"),"Check Total Error")</f>
        <v>Check Total OK</v>
      </c>
      <c r="B22" s="168">
        <f>SUM(B19:B21)</f>
        <v>348762.2</v>
      </c>
      <c r="C22" s="168">
        <f>SUM(C19:C21)</f>
        <v>192503.32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25020.12</v>
      </c>
      <c r="C36" s="172">
        <f>'DOE25'!G201+'DOE25'!G219+'DOE25'!G237+'DOE25'!G280+'DOE25'!G299+'DOE25'!G318</f>
        <v>2792.58</v>
      </c>
    </row>
    <row r="37" spans="1:3" x14ac:dyDescent="0.2">
      <c r="A37" t="s">
        <v>772</v>
      </c>
      <c r="B37" s="176">
        <v>1225</v>
      </c>
      <c r="C37" s="176">
        <v>334.3</v>
      </c>
    </row>
    <row r="38" spans="1:3" x14ac:dyDescent="0.2">
      <c r="A38" t="s">
        <v>773</v>
      </c>
      <c r="B38" s="176">
        <f>3300+17870</f>
        <v>21170</v>
      </c>
      <c r="C38" s="176">
        <f>506.66+1445.59+240.59-334.3</f>
        <v>1858.5400000000002</v>
      </c>
    </row>
    <row r="39" spans="1:3" x14ac:dyDescent="0.2">
      <c r="A39" t="s">
        <v>774</v>
      </c>
      <c r="B39" s="176">
        <f>2625.12</f>
        <v>2625.12</v>
      </c>
      <c r="C39" s="176">
        <v>599.74</v>
      </c>
    </row>
    <row r="40" spans="1:3" x14ac:dyDescent="0.2">
      <c r="A40" t="str">
        <f>IF(B36=B40,IF(C36=C40,"Check Total OK","Check Total Error"),"Check Total Error")</f>
        <v>Check Total OK</v>
      </c>
      <c r="B40" s="168">
        <f>SUM(B37:B39)</f>
        <v>25020.12</v>
      </c>
      <c r="C40" s="168">
        <f>SUM(C37:C39)</f>
        <v>2792.58</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6" sqref="D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Madison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5292910.8699999992</v>
      </c>
      <c r="D5" s="19">
        <f>SUM('DOE25'!L198:L201)+SUM('DOE25'!L216:L219)+SUM('DOE25'!L234:L237)-F5-G5-H5</f>
        <v>5287578.0199999996</v>
      </c>
      <c r="E5" s="179"/>
      <c r="F5" s="180">
        <v>0</v>
      </c>
      <c r="G5" s="19">
        <f>SUM('DOE25'!J198:J201)+SUM('DOE25'!J216:J219)+SUM('DOE25'!J234:J237)</f>
        <v>5257.85</v>
      </c>
      <c r="H5" s="19">
        <f>SUM('DOE25'!K198:K201)+SUM('DOE25'!K216:K219)+SUM('DOE25'!K234:K237)</f>
        <v>75</v>
      </c>
      <c r="I5" s="191"/>
    </row>
    <row r="6" spans="1:9" x14ac:dyDescent="0.2">
      <c r="A6" s="31">
        <v>2100</v>
      </c>
      <c r="B6" t="s">
        <v>793</v>
      </c>
      <c r="C6" s="205">
        <f t="shared" si="0"/>
        <v>455473.11000000004</v>
      </c>
      <c r="D6" s="19">
        <f>'DOE25'!L203+'DOE25'!L221+'DOE25'!L239-F6-G6-H6</f>
        <v>389834.95</v>
      </c>
      <c r="E6" s="179"/>
      <c r="F6" s="180">
        <v>63061.47</v>
      </c>
      <c r="G6" s="19">
        <f>'DOE25'!J203+'DOE25'!J221+'DOE25'!J239</f>
        <v>2576.69</v>
      </c>
      <c r="H6" s="19">
        <f>'DOE25'!K203+'DOE25'!K221+'DOE25'!K239</f>
        <v>0</v>
      </c>
      <c r="I6" s="191"/>
    </row>
    <row r="7" spans="1:9" x14ac:dyDescent="0.2">
      <c r="A7" s="31">
        <v>2200</v>
      </c>
      <c r="B7" t="s">
        <v>817</v>
      </c>
      <c r="C7" s="205">
        <f t="shared" si="0"/>
        <v>136128.04999999999</v>
      </c>
      <c r="D7" s="19">
        <f>'DOE25'!L204+'DOE25'!L222+'DOE25'!L240-F7-G7-H7</f>
        <v>136128.04999999999</v>
      </c>
      <c r="E7" s="179"/>
      <c r="F7" s="180"/>
      <c r="G7" s="19">
        <f>'DOE25'!J204+'DOE25'!J222+'DOE25'!J240</f>
        <v>0</v>
      </c>
      <c r="H7" s="19">
        <f>'DOE25'!K204+'DOE25'!K222+'DOE25'!K240</f>
        <v>0</v>
      </c>
      <c r="I7" s="191"/>
    </row>
    <row r="8" spans="1:9" x14ac:dyDescent="0.2">
      <c r="A8" s="31">
        <v>2300</v>
      </c>
      <c r="B8" t="s">
        <v>794</v>
      </c>
      <c r="C8" s="205">
        <f t="shared" si="0"/>
        <v>375417</v>
      </c>
      <c r="D8" s="179"/>
      <c r="E8" s="19">
        <f>'DOE25'!L205+'DOE25'!L223+'DOE25'!L241-F8-G8-H8-D9-D11</f>
        <v>370558.79</v>
      </c>
      <c r="F8" s="180"/>
      <c r="G8" s="19">
        <f>'DOE25'!J205+'DOE25'!J223+'DOE25'!J241</f>
        <v>0</v>
      </c>
      <c r="H8" s="19">
        <f>'DOE25'!K205+'DOE25'!K223+'DOE25'!K241</f>
        <v>4858.21</v>
      </c>
      <c r="I8" s="191"/>
    </row>
    <row r="9" spans="1:9" ht="14.25" x14ac:dyDescent="0.2">
      <c r="A9" s="31">
        <v>2310</v>
      </c>
      <c r="B9" s="71" t="s">
        <v>884</v>
      </c>
      <c r="C9" s="205">
        <f t="shared" si="0"/>
        <v>31450.82</v>
      </c>
      <c r="D9" s="180">
        <v>31450.82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272805.37</v>
      </c>
      <c r="D12" s="19">
        <f>'DOE25'!L206+'DOE25'!L224+'DOE25'!L242-F12-G12-H12</f>
        <v>271650.42</v>
      </c>
      <c r="E12" s="179"/>
      <c r="F12" s="180"/>
      <c r="G12" s="19">
        <f>'DOE25'!J206+'DOE25'!J224+'DOE25'!J242</f>
        <v>359.95</v>
      </c>
      <c r="H12" s="19">
        <f>'DOE25'!K206+'DOE25'!K224+'DOE25'!K242</f>
        <v>795</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445150.44</v>
      </c>
      <c r="D14" s="19">
        <f>'DOE25'!L208+'DOE25'!L226+'DOE25'!L244-F14-G14-H14</f>
        <v>435940.2</v>
      </c>
      <c r="E14" s="179"/>
      <c r="F14" s="180">
        <v>0</v>
      </c>
      <c r="G14" s="19">
        <f>'DOE25'!J208+'DOE25'!J226+'DOE25'!J244</f>
        <v>9210.2400000000016</v>
      </c>
      <c r="H14" s="19">
        <f>'DOE25'!K208+'DOE25'!K226+'DOE25'!K244</f>
        <v>0</v>
      </c>
      <c r="I14" s="191"/>
    </row>
    <row r="15" spans="1:9" x14ac:dyDescent="0.2">
      <c r="A15" s="31">
        <v>2700</v>
      </c>
      <c r="B15" t="s">
        <v>796</v>
      </c>
      <c r="C15" s="205">
        <f t="shared" si="0"/>
        <v>480584.27999999997</v>
      </c>
      <c r="D15" s="19">
        <f>'DOE25'!L209+'DOE25'!L227+'DOE25'!L245-F15-G15-H15</f>
        <v>55502.179999999993</v>
      </c>
      <c r="E15" s="179"/>
      <c r="F15" s="180">
        <v>425082.1</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129339.45</v>
      </c>
      <c r="D22" s="179"/>
      <c r="E22" s="179"/>
      <c r="F22" s="179"/>
      <c r="G22" s="19">
        <f>'DOE25'!L256+'DOE25'!L337</f>
        <v>129339.45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93690</v>
      </c>
      <c r="D25" s="179"/>
      <c r="E25" s="179"/>
      <c r="F25" s="190"/>
      <c r="G25" s="179"/>
      <c r="H25" s="179"/>
      <c r="I25" s="189">
        <f>'DOE25'!L261+'DOE25'!L262+'DOE25'!L342+'DOE25'!L343</f>
        <v>93690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76567.649999999994</v>
      </c>
      <c r="D29" s="211">
        <f>'DOE25'!L359+'DOE25'!L360+'DOE25'!L361-'DOE25'!I368-F29-G29-H29-F39</f>
        <v>75558.149999999994</v>
      </c>
      <c r="E29" s="179"/>
      <c r="F29" s="179"/>
      <c r="G29" s="19">
        <f>'DOE25'!J359+'DOE25'!J360+'DOE25'!J361</f>
        <v>509.5</v>
      </c>
      <c r="H29" s="19">
        <f>'DOE25'!K359+'DOE25'!K360+'DOE25'!K361</f>
        <v>500</v>
      </c>
      <c r="I29" s="191"/>
    </row>
    <row r="30" spans="1:9" x14ac:dyDescent="0.2">
      <c r="A30" s="31"/>
      <c r="C30" s="206"/>
      <c r="D30" s="19"/>
      <c r="F30" s="200"/>
      <c r="G30" s="19"/>
      <c r="H30" s="19"/>
      <c r="I30" s="191"/>
    </row>
    <row r="31" spans="1:9" x14ac:dyDescent="0.2">
      <c r="A31" s="31" t="s">
        <v>814</v>
      </c>
      <c r="B31" t="s">
        <v>813</v>
      </c>
      <c r="C31" s="205">
        <f>SUM(D31:I31)</f>
        <v>216403.16999999998</v>
      </c>
      <c r="D31" s="19">
        <f>'DOE25'!L291+'DOE25'!L310+'DOE25'!L329+'DOE25'!L334+'DOE25'!L335+'DOE25'!L336-F31-G31-H31</f>
        <v>184452.22999999998</v>
      </c>
      <c r="E31" s="179"/>
      <c r="F31" s="180"/>
      <c r="G31" s="19">
        <f>'DOE25'!J291+'DOE25'!J310+'DOE25'!J329+'DOE25'!J334+'DOE25'!J335+'DOE25'!J336</f>
        <v>23865.759999999998</v>
      </c>
      <c r="H31" s="19">
        <f>'DOE25'!K291+'DOE25'!K310+'DOE25'!K329+'DOE25'!K334+'DOE25'!K335+'DOE25'!K336</f>
        <v>8085.18</v>
      </c>
      <c r="I31" s="191"/>
    </row>
    <row r="32" spans="1:9" ht="12" thickBot="1" x14ac:dyDescent="0.25">
      <c r="C32" s="206"/>
      <c r="G32" s="187"/>
      <c r="H32" s="187"/>
      <c r="I32" s="193"/>
    </row>
    <row r="33" spans="1:9" ht="12" thickTop="1" x14ac:dyDescent="0.2">
      <c r="B33" t="s">
        <v>806</v>
      </c>
      <c r="D33" s="181">
        <f t="shared" ref="D33:I33" si="1">SUM(D5:D31)</f>
        <v>6868095.0199999996</v>
      </c>
      <c r="E33" s="181">
        <f t="shared" si="1"/>
        <v>370558.79</v>
      </c>
      <c r="F33" s="181">
        <f t="shared" si="1"/>
        <v>488143.56999999995</v>
      </c>
      <c r="G33" s="181">
        <f t="shared" si="1"/>
        <v>171119.44</v>
      </c>
      <c r="H33" s="181">
        <f t="shared" si="1"/>
        <v>14313.39</v>
      </c>
      <c r="I33" s="181">
        <f t="shared" si="1"/>
        <v>93690</v>
      </c>
    </row>
    <row r="34" spans="1:9" ht="12" thickBot="1" x14ac:dyDescent="0.25"/>
    <row r="35" spans="1:9" ht="12" thickBot="1" x14ac:dyDescent="0.25">
      <c r="B35" s="187" t="s">
        <v>827</v>
      </c>
      <c r="D35" s="188">
        <f>E33</f>
        <v>370558.79</v>
      </c>
      <c r="E35" s="184"/>
      <c r="F35" s="294" t="s">
        <v>1596</v>
      </c>
      <c r="G35" s="295"/>
      <c r="H35" s="295"/>
      <c r="I35" s="296"/>
    </row>
    <row r="36" spans="1:9" ht="12" thickTop="1" x14ac:dyDescent="0.2">
      <c r="B36" t="s">
        <v>807</v>
      </c>
      <c r="D36" s="19">
        <f>D33</f>
        <v>6868095.0199999996</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1" zoomScaleNormal="100" workbookViewId="0">
      <selection activeCell="D40" sqref="D40"/>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Madison</v>
      </c>
      <c r="B2">
        <f>'DOE25'!B2</f>
        <v>333</v>
      </c>
      <c r="J2" s="223" t="s">
        <v>1799</v>
      </c>
      <c r="K2" s="308">
        <f>SUM('DOE25'!L198:L201)+SUM('DOE25'!L277:L280)</f>
        <v>2092335.2</v>
      </c>
      <c r="L2" s="308">
        <f>'DOE25'!L203+'DOE25'!L282</f>
        <v>455473.11000000004</v>
      </c>
      <c r="M2" s="308">
        <f>'DOE25'!L204+'DOE25'!L283</f>
        <v>167005.75999999998</v>
      </c>
      <c r="N2" s="308">
        <f>'DOE25'!L206+'DOE25'!L285</f>
        <v>272805.37</v>
      </c>
      <c r="O2" s="316">
        <f>'Salaries-Benefits'!B10+'Salaries-Benefits'!B12+'Salaries-Benefits'!B19+'Salaries-Benefits'!B21+'Salaries-Benefits'!B28+'Salaries-Benefits'!B30+'Salaries-Benefits'!B37+'Salaries-Benefits'!B39</f>
        <v>1071650.0000000002</v>
      </c>
      <c r="P2" s="316">
        <f>'Salaries-Benefits'!B11+'Salaries-Benefits'!B20+'Salaries-Benefits'!B29+'Salaries-Benefits'!B38</f>
        <v>223225.94999999998</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4062234.85</v>
      </c>
      <c r="G4" s="228">
        <f>'DOE25'!L212+'DOE25'!L291</f>
        <v>4062234.8506465512</v>
      </c>
      <c r="H4" s="263">
        <f>F4-G4</f>
        <v>-6.4655113965272903E-4</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v>24444.52</v>
      </c>
      <c r="L5" s="20"/>
      <c r="M5" s="20"/>
      <c r="N5" s="20"/>
      <c r="O5" s="20"/>
      <c r="P5" s="20"/>
      <c r="Q5" s="20"/>
    </row>
    <row r="6" spans="1:22" x14ac:dyDescent="0.2">
      <c r="A6" t="str" cm="1">
        <f t="array" ref="A6">IFERROR(INDEX('School Tables'!$A$4:$G$365,'School Tables'!$J4,3),"")</f>
        <v>Madison Elementary School</v>
      </c>
      <c r="B6" s="229">
        <f>IFERROR(VLOOKUP(A6,'School Tables'!$C$3:$D$365,2,FALSE),"")</f>
        <v>20360</v>
      </c>
      <c r="C6" s="222" t="str">
        <f>IFERROR(INDEX('School Tables'!$B$3:$B$365,MATCH('School Level Expenditures'!B6,'School Tables'!$D$3:$D$365,0)),"")</f>
        <v>Madison</v>
      </c>
      <c r="D6" s="219">
        <v>3845831.68</v>
      </c>
      <c r="E6" s="219">
        <f>345742.62-129339.45</f>
        <v>216403.16999999998</v>
      </c>
      <c r="F6" s="231">
        <f t="shared" ref="F6:F20" si="2">D6+E6</f>
        <v>4062234.85</v>
      </c>
      <c r="G6" s="222"/>
      <c r="H6" s="222"/>
      <c r="J6" t="str">
        <f t="shared" ref="J6:J20" si="3">A6</f>
        <v>Madison Elementary School</v>
      </c>
      <c r="K6" s="20">
        <f>177440.28+1914894.92-24444.52</f>
        <v>2067890.68</v>
      </c>
      <c r="L6" s="20">
        <v>455473.11</v>
      </c>
      <c r="M6" s="307">
        <f>136128.05+30877.71</f>
        <v>167005.75999999998</v>
      </c>
      <c r="N6" s="20">
        <v>272805.37</v>
      </c>
      <c r="O6" s="20">
        <v>1071650</v>
      </c>
      <c r="P6" s="20">
        <v>223225.95</v>
      </c>
      <c r="Q6" s="20">
        <f>1202.56+1207.34</f>
        <v>2409.8999999999996</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3845831.68</v>
      </c>
      <c r="E21" s="261">
        <f>SUM(E5:E20)</f>
        <v>216403.16999999998</v>
      </c>
      <c r="F21" s="216"/>
      <c r="G21" s="216"/>
      <c r="H21" s="216"/>
      <c r="K21" s="262">
        <f t="shared" ref="K21:Q21" si="4">SUM(K5:K20)</f>
        <v>2092335.2</v>
      </c>
      <c r="L21" s="262">
        <f t="shared" si="4"/>
        <v>455473.11</v>
      </c>
      <c r="M21" s="262">
        <f t="shared" si="4"/>
        <v>167005.75999999998</v>
      </c>
      <c r="N21" s="262">
        <f t="shared" si="4"/>
        <v>272805.37</v>
      </c>
      <c r="O21" s="262">
        <f t="shared" si="4"/>
        <v>1071650</v>
      </c>
      <c r="P21" s="262">
        <f t="shared" si="4"/>
        <v>223225.95</v>
      </c>
      <c r="Q21" s="262">
        <f t="shared" si="4"/>
        <v>2409.8999999999996</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782183.11</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867941.95</v>
      </c>
      <c r="G25" s="228">
        <f>'DOE25'!L230+'DOE25'!L310</f>
        <v>867941.95351061551</v>
      </c>
      <c r="H25" s="263">
        <f>F25-G25</f>
        <v>-3.5106155555695295E-3</v>
      </c>
      <c r="I25" s="313" t="str">
        <f>IF(H25=0,"","ERROR!! Please review pages 8 and 12 totals in comparison with total on this page")</f>
        <v>ERROR!! Please review pages 8 and 12 totals in comparison with total on this page</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v>867941.95</v>
      </c>
      <c r="E26" s="219"/>
      <c r="F26" s="231">
        <f>D26+E26</f>
        <v>867941.95</v>
      </c>
      <c r="G26" s="222"/>
      <c r="H26" s="222"/>
      <c r="J26" s="71" t="s">
        <v>1840</v>
      </c>
      <c r="K26" s="315">
        <v>782183.11</v>
      </c>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867941.95</v>
      </c>
      <c r="E34" s="261">
        <f>SUM(E26:E33)</f>
        <v>0</v>
      </c>
      <c r="F34" s="216"/>
      <c r="G34" s="216"/>
      <c r="H34" s="216"/>
      <c r="K34" s="262">
        <f t="shared" ref="K34:Q34" si="8">SUM(K26:K33)</f>
        <v>782183.11</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2595832.84</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2776146.31</v>
      </c>
      <c r="G38" s="228">
        <f>'DOE25'!L248+'DOE25'!L329</f>
        <v>2776146.3058428327</v>
      </c>
      <c r="H38" s="263">
        <f>F38-G38</f>
        <v>4.1571673937141895E-3</v>
      </c>
      <c r="I38" s="313" t="str">
        <f>IF(H38=0,"","ERROR!! Please review pages 9 and 13 totals in comparison with total on this page")</f>
        <v>ERROR!! Please review pages 9 and 13 totals in comparison with total on this page</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2776146.31</v>
      </c>
      <c r="E39" s="219"/>
      <c r="F39" s="231">
        <f t="shared" ref="F39:F44" si="10">D39+E39</f>
        <v>2776146.31</v>
      </c>
      <c r="G39" s="222"/>
      <c r="H39" s="222"/>
      <c r="J39" s="71" t="s">
        <v>1840</v>
      </c>
      <c r="K39" s="315">
        <v>2595832.84</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2776146.31</v>
      </c>
      <c r="E45" s="262">
        <f>SUM(E39:E44)</f>
        <v>0</v>
      </c>
      <c r="K45" s="262">
        <f t="shared" ref="K45:Q45" si="11">SUM(K39:K44)</f>
        <v>2595832.84</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Madison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394057.16</v>
      </c>
      <c r="D8" s="73">
        <f>'DOE25'!G9</f>
        <v>0</v>
      </c>
      <c r="E8" s="73">
        <f>'DOE25'!H9</f>
        <v>0</v>
      </c>
      <c r="F8" s="73">
        <f>'DOE25'!I9</f>
        <v>0</v>
      </c>
      <c r="G8" s="73">
        <f>'DOE25'!J9</f>
        <v>344271.63</v>
      </c>
      <c r="H8" s="13">
        <f>SUM(C8:G8)</f>
        <v>738328.79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24759.7</v>
      </c>
      <c r="D11" s="73">
        <f>'DOE25'!G12</f>
        <v>-10845.06</v>
      </c>
      <c r="E11" s="73">
        <f>'DOE25'!H12</f>
        <v>-13914.64</v>
      </c>
      <c r="F11" s="73">
        <f>'DOE25'!I12</f>
        <v>0</v>
      </c>
      <c r="G11" s="73">
        <f>'DOE25'!J12</f>
        <v>0</v>
      </c>
      <c r="H11" s="13">
        <f t="shared" si="0"/>
        <v>1.8189894035458565E-12</v>
      </c>
      <c r="I11" s="90"/>
    </row>
    <row r="12" spans="1:9" x14ac:dyDescent="0.2">
      <c r="A12" s="1" t="s">
        <v>143</v>
      </c>
      <c r="B12" s="6">
        <v>140</v>
      </c>
      <c r="C12" s="73">
        <f>'DOE25'!F13</f>
        <v>768.65</v>
      </c>
      <c r="D12" s="73">
        <f>'DOE25'!G13</f>
        <v>10886.96</v>
      </c>
      <c r="E12" s="73">
        <f>'DOE25'!H13</f>
        <v>31579.96</v>
      </c>
      <c r="F12" s="73">
        <f>'DOE25'!I13</f>
        <v>0</v>
      </c>
      <c r="G12" s="73">
        <f>'DOE25'!J13</f>
        <v>0</v>
      </c>
      <c r="H12" s="13">
        <f t="shared" si="0"/>
        <v>43235.57</v>
      </c>
      <c r="I12" s="90"/>
    </row>
    <row r="13" spans="1:9" x14ac:dyDescent="0.2">
      <c r="A13" s="1" t="s">
        <v>144</v>
      </c>
      <c r="B13" s="6">
        <v>150</v>
      </c>
      <c r="C13" s="73">
        <f>'DOE25'!F14</f>
        <v>1</v>
      </c>
      <c r="D13" s="73">
        <f>'DOE25'!G14</f>
        <v>0</v>
      </c>
      <c r="E13" s="73">
        <f>'DOE25'!H14</f>
        <v>0</v>
      </c>
      <c r="F13" s="73">
        <f>'DOE25'!I14</f>
        <v>0</v>
      </c>
      <c r="G13" s="73">
        <f>'DOE25'!J14</f>
        <v>0</v>
      </c>
      <c r="H13" s="13">
        <f t="shared" si="0"/>
        <v>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3050</v>
      </c>
      <c r="D16" s="73">
        <f>'DOE25'!G17</f>
        <v>0</v>
      </c>
      <c r="E16" s="73">
        <f>'DOE25'!H17</f>
        <v>0</v>
      </c>
      <c r="F16" s="73">
        <f>'DOE25'!I17</f>
        <v>0</v>
      </c>
      <c r="G16" s="73">
        <f>'DOE25'!J17</f>
        <v>0</v>
      </c>
      <c r="H16" s="13">
        <f t="shared" si="0"/>
        <v>3050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422636.51</v>
      </c>
      <c r="D18" s="38">
        <f>SUM(D8:D17)</f>
        <v>41.899999999999636</v>
      </c>
      <c r="E18" s="38">
        <f>SUM(E8:E17)</f>
        <v>17665.32</v>
      </c>
      <c r="F18" s="38">
        <f>SUM(F8:F17)</f>
        <v>0</v>
      </c>
      <c r="G18" s="38">
        <f>SUM(G8:G17)</f>
        <v>344271.63</v>
      </c>
      <c r="H18" s="38">
        <f t="shared" si="0"/>
        <v>784615.3600000001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313.55</v>
      </c>
      <c r="F22" s="73">
        <f>'DOE25'!I23</f>
        <v>0</v>
      </c>
      <c r="G22" s="73">
        <f>'DOE25'!J23</f>
        <v>0</v>
      </c>
      <c r="H22" s="13">
        <f t="shared" si="1"/>
        <v>313.55</v>
      </c>
      <c r="I22" s="90"/>
    </row>
    <row r="23" spans="1:9" x14ac:dyDescent="0.2">
      <c r="A23" s="1" t="s">
        <v>152</v>
      </c>
      <c r="B23" s="6">
        <v>420</v>
      </c>
      <c r="C23" s="73">
        <f>'DOE25'!F24</f>
        <v>71489.960000000006</v>
      </c>
      <c r="D23" s="73">
        <f>'DOE25'!G24</f>
        <v>41.9</v>
      </c>
      <c r="E23" s="73">
        <f>'DOE25'!H24</f>
        <v>7656.36</v>
      </c>
      <c r="F23" s="73">
        <f>'DOE25'!I24</f>
        <v>0</v>
      </c>
      <c r="G23" s="73">
        <f>'DOE25'!J24</f>
        <v>0</v>
      </c>
      <c r="H23" s="13">
        <f t="shared" si="1"/>
        <v>79188.22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1953.54</v>
      </c>
      <c r="D29" s="73">
        <f>'DOE25'!G30</f>
        <v>0</v>
      </c>
      <c r="E29" s="73">
        <f>'DOE25'!H30</f>
        <v>9695.41</v>
      </c>
      <c r="F29" s="73">
        <f>'DOE25'!I30</f>
        <v>0</v>
      </c>
      <c r="G29" s="23" t="s">
        <v>288</v>
      </c>
      <c r="H29" s="13">
        <f t="shared" si="1"/>
        <v>11648.95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73443.5</v>
      </c>
      <c r="D31" s="38">
        <f>SUM(D21:D30)</f>
        <v>41.9</v>
      </c>
      <c r="E31" s="38">
        <f>SUM(E21:E30)</f>
        <v>17665.32</v>
      </c>
      <c r="F31" s="38">
        <f>SUM(F21:F30)</f>
        <v>0</v>
      </c>
      <c r="G31" s="38">
        <f>SUM(G21:G30)</f>
        <v>0</v>
      </c>
      <c r="H31" s="38">
        <f t="shared" si="1"/>
        <v>91150.720000000001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50000</v>
      </c>
      <c r="D43" s="73">
        <f>'DOE25'!G44</f>
        <v>0</v>
      </c>
      <c r="E43" s="73">
        <f>'DOE25'!H44</f>
        <v>0</v>
      </c>
      <c r="F43" s="73">
        <f>'DOE25'!I44</f>
        <v>0</v>
      </c>
      <c r="G43" s="23" t="s">
        <v>288</v>
      </c>
      <c r="H43" s="13">
        <f t="shared" si="2"/>
        <v>50000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164389.4</v>
      </c>
      <c r="D45" s="23" t="s">
        <v>288</v>
      </c>
      <c r="E45" s="23" t="s">
        <v>288</v>
      </c>
      <c r="F45" s="23" t="s">
        <v>288</v>
      </c>
      <c r="G45" s="23" t="s">
        <v>288</v>
      </c>
      <c r="H45" s="13">
        <f t="shared" si="2"/>
        <v>164389.4</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344271.63</v>
      </c>
      <c r="H47" s="13">
        <f t="shared" si="2"/>
        <v>344271.63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134803.60999999999</v>
      </c>
      <c r="D49" s="23" t="s">
        <v>288</v>
      </c>
      <c r="E49" s="23" t="s">
        <v>288</v>
      </c>
      <c r="F49" s="23" t="s">
        <v>288</v>
      </c>
      <c r="G49" s="23" t="s">
        <v>288</v>
      </c>
      <c r="H49" s="13">
        <f t="shared" si="2"/>
        <v>134803.60999999999</v>
      </c>
      <c r="I49" s="90"/>
    </row>
    <row r="50" spans="1:9" ht="12.75" thickTop="1" thickBot="1" x14ac:dyDescent="0.25">
      <c r="A50" s="35" t="s">
        <v>880</v>
      </c>
      <c r="B50" s="44"/>
      <c r="C50" s="38">
        <f>SUM(C34:C49)</f>
        <v>349193.01</v>
      </c>
      <c r="D50" s="38">
        <f>SUM(D34:D49)</f>
        <v>0</v>
      </c>
      <c r="E50" s="38">
        <f>SUM(E34:E49)</f>
        <v>0</v>
      </c>
      <c r="F50" s="38">
        <f>SUM(F34:F49)</f>
        <v>0</v>
      </c>
      <c r="G50" s="38">
        <f>SUM(G34:G49)</f>
        <v>344271.63</v>
      </c>
      <c r="H50" s="38">
        <f t="shared" si="2"/>
        <v>693464.64</v>
      </c>
      <c r="I50" s="90"/>
    </row>
    <row r="51" spans="1:9" ht="12" thickTop="1" x14ac:dyDescent="0.2">
      <c r="A51" s="35" t="s">
        <v>881</v>
      </c>
      <c r="B51" s="2"/>
      <c r="C51" s="38">
        <f>C50+C31</f>
        <v>422636.51</v>
      </c>
      <c r="D51" s="38">
        <f>D50+D31</f>
        <v>41.9</v>
      </c>
      <c r="E51" s="38">
        <f>E50+E31</f>
        <v>17665.32</v>
      </c>
      <c r="F51" s="38">
        <f>F50+F31</f>
        <v>0</v>
      </c>
      <c r="G51" s="38">
        <f>G50+G31</f>
        <v>344271.63</v>
      </c>
      <c r="H51" s="38">
        <f t="shared" si="2"/>
        <v>784615.3600000001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5427723</v>
      </c>
      <c r="D56" s="73">
        <f>'DOE25'!G60</f>
        <v>0</v>
      </c>
      <c r="E56" s="73">
        <f>'DOE25'!H60</f>
        <v>0</v>
      </c>
      <c r="F56" s="73">
        <f>'DOE25'!I60</f>
        <v>0</v>
      </c>
      <c r="G56" s="73">
        <f>'DOE25'!J60</f>
        <v>0</v>
      </c>
      <c r="H56" s="13">
        <f t="shared" ref="H56:H63" si="3">SUM(C56:G56)</f>
        <v>5427723</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70.69</v>
      </c>
      <c r="D59" s="73">
        <f>'DOE25'!G96</f>
        <v>0</v>
      </c>
      <c r="E59" s="73">
        <f>'DOE25'!H96</f>
        <v>0</v>
      </c>
      <c r="F59" s="73">
        <f>'DOE25'!I96</f>
        <v>0</v>
      </c>
      <c r="G59" s="73">
        <f>'DOE25'!J96</f>
        <v>10464.84</v>
      </c>
      <c r="H59" s="13">
        <f t="shared" si="3"/>
        <v>10535.53</v>
      </c>
      <c r="I59"/>
    </row>
    <row r="60" spans="1:9" x14ac:dyDescent="0.2">
      <c r="A60" s="1" t="s">
        <v>170</v>
      </c>
      <c r="B60" s="22" t="s">
        <v>171</v>
      </c>
      <c r="C60" s="23" t="s">
        <v>288</v>
      </c>
      <c r="D60" s="73">
        <f>'DOE25'!G97</f>
        <v>29367.640000000003</v>
      </c>
      <c r="E60" s="23" t="s">
        <v>288</v>
      </c>
      <c r="F60" s="23" t="s">
        <v>288</v>
      </c>
      <c r="G60" s="23" t="s">
        <v>288</v>
      </c>
      <c r="H60" s="13">
        <f t="shared" si="3"/>
        <v>29367.640000000003</v>
      </c>
      <c r="I60"/>
    </row>
    <row r="61" spans="1:9" ht="12" thickBot="1" x14ac:dyDescent="0.25">
      <c r="A61" s="1" t="s">
        <v>172</v>
      </c>
      <c r="B61" s="22" t="s">
        <v>173</v>
      </c>
      <c r="C61" s="73">
        <f>SUM('DOE25'!F98:F110)</f>
        <v>8896.66</v>
      </c>
      <c r="D61" s="73">
        <f>SUM('DOE25'!G98:G110)</f>
        <v>17631.330000000002</v>
      </c>
      <c r="E61" s="73">
        <f>SUM('DOE25'!H98:H110)</f>
        <v>21333.45</v>
      </c>
      <c r="F61" s="73">
        <f>SUM('DOE25'!I98:I110)</f>
        <v>0</v>
      </c>
      <c r="G61" s="73">
        <f>SUM('DOE25'!J98:J110)</f>
        <v>0</v>
      </c>
      <c r="H61" s="13">
        <f t="shared" si="3"/>
        <v>47861.440000000002</v>
      </c>
      <c r="I61"/>
    </row>
    <row r="62" spans="1:9" ht="12.75" thickTop="1" thickBot="1" x14ac:dyDescent="0.25">
      <c r="A62" s="28" t="s">
        <v>174</v>
      </c>
      <c r="B62" s="6"/>
      <c r="C62" s="93">
        <f>SUM(C57:C61)</f>
        <v>8967.35</v>
      </c>
      <c r="D62" s="93">
        <f>SUM(D57:D61)</f>
        <v>46998.97</v>
      </c>
      <c r="E62" s="93">
        <f>SUM(E57:E61)</f>
        <v>21333.45</v>
      </c>
      <c r="F62" s="93">
        <f>SUM(F57:F61)</f>
        <v>0</v>
      </c>
      <c r="G62" s="93">
        <f>SUM(G57:G61)</f>
        <v>10464.84</v>
      </c>
      <c r="H62" s="13">
        <f t="shared" si="3"/>
        <v>87764.61</v>
      </c>
      <c r="I62"/>
    </row>
    <row r="63" spans="1:9" ht="12" thickTop="1" x14ac:dyDescent="0.2">
      <c r="A63" s="28" t="s">
        <v>175</v>
      </c>
      <c r="B63" s="6"/>
      <c r="C63" s="21">
        <f>C56+C62</f>
        <v>5436690.3499999996</v>
      </c>
      <c r="D63" s="21">
        <f>D56+D62</f>
        <v>46998.97</v>
      </c>
      <c r="E63" s="21">
        <f>E56+E62</f>
        <v>21333.45</v>
      </c>
      <c r="F63" s="21">
        <f>F56+F62</f>
        <v>0</v>
      </c>
      <c r="G63" s="21">
        <f>G56+G62</f>
        <v>10464.84</v>
      </c>
      <c r="H63" s="13">
        <f t="shared" si="3"/>
        <v>5515487.6099999994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461154.83</v>
      </c>
      <c r="D66" s="23" t="s">
        <v>288</v>
      </c>
      <c r="E66" s="23" t="s">
        <v>288</v>
      </c>
      <c r="F66" s="23" t="s">
        <v>288</v>
      </c>
      <c r="G66" s="23" t="s">
        <v>288</v>
      </c>
      <c r="H66" s="13">
        <f t="shared" ref="H66:H81" si="4">SUM(C66:G66)</f>
        <v>461154.83</v>
      </c>
      <c r="I66"/>
    </row>
    <row r="67" spans="1:9" x14ac:dyDescent="0.2">
      <c r="A67" s="1" t="s">
        <v>767</v>
      </c>
      <c r="B67" s="6">
        <v>3112</v>
      </c>
      <c r="C67" s="73">
        <f>'DOE25'!F118</f>
        <v>1147853</v>
      </c>
      <c r="D67" s="23"/>
      <c r="E67" s="23"/>
      <c r="F67" s="23"/>
      <c r="G67" s="23"/>
      <c r="H67" s="13">
        <f t="shared" si="4"/>
        <v>1147853</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3005.93</v>
      </c>
      <c r="D69" s="73">
        <f>'DOE25'!G120</f>
        <v>0</v>
      </c>
      <c r="E69" s="73">
        <f>'DOE25'!H120</f>
        <v>0</v>
      </c>
      <c r="F69" s="73">
        <f>'DOE25'!I120</f>
        <v>0</v>
      </c>
      <c r="G69" s="73">
        <f>'DOE25'!J120</f>
        <v>0</v>
      </c>
      <c r="H69" s="13">
        <f t="shared" si="4"/>
        <v>3005.93</v>
      </c>
      <c r="I69"/>
    </row>
    <row r="70" spans="1:9" ht="12" thickTop="1" x14ac:dyDescent="0.2">
      <c r="A70" s="28" t="s">
        <v>252</v>
      </c>
      <c r="B70" s="2"/>
      <c r="C70" s="97">
        <f>SUM(C66:C69)</f>
        <v>1612013.76</v>
      </c>
      <c r="D70" s="97">
        <f>D69</f>
        <v>0</v>
      </c>
      <c r="E70" s="97">
        <f>E69</f>
        <v>0</v>
      </c>
      <c r="F70" s="97">
        <f>F69</f>
        <v>0</v>
      </c>
      <c r="G70" s="97">
        <f>G69</f>
        <v>0</v>
      </c>
      <c r="H70" s="13">
        <f t="shared" si="4"/>
        <v>1612013.76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593541.26</v>
      </c>
      <c r="D75" s="23" t="s">
        <v>288</v>
      </c>
      <c r="E75" s="23" t="s">
        <v>288</v>
      </c>
      <c r="F75" s="23" t="s">
        <v>288</v>
      </c>
      <c r="G75" s="23" t="s">
        <v>288</v>
      </c>
      <c r="H75" s="13">
        <f t="shared" si="4"/>
        <v>593541.26</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14916.21</v>
      </c>
      <c r="E77" s="73">
        <f>SUM('DOE25'!H131:H135)</f>
        <v>0</v>
      </c>
      <c r="F77" s="73">
        <f>SUM('DOE25'!I131:I135)</f>
        <v>0</v>
      </c>
      <c r="G77" s="73">
        <f>SUM('DOE25'!J131:J135)</f>
        <v>0</v>
      </c>
      <c r="H77" s="13">
        <f t="shared" si="4"/>
        <v>14916.21</v>
      </c>
      <c r="I77"/>
    </row>
    <row r="78" spans="1:9" ht="12.75" thickTop="1" thickBot="1" x14ac:dyDescent="0.25">
      <c r="A78" s="28" t="s">
        <v>259</v>
      </c>
      <c r="B78" s="6"/>
      <c r="C78" s="93">
        <f>SUM(C72:C77)</f>
        <v>593541.26</v>
      </c>
      <c r="D78" s="93">
        <f>SUM(D72:D77)</f>
        <v>14916.21</v>
      </c>
      <c r="E78" s="93">
        <f>SUM(E72:E77)</f>
        <v>0</v>
      </c>
      <c r="F78" s="93">
        <f>SUM(F72:F77)</f>
        <v>0</v>
      </c>
      <c r="G78" s="93">
        <f>SUM(G72:G77)</f>
        <v>0</v>
      </c>
      <c r="H78" s="13">
        <f t="shared" si="4"/>
        <v>608457.47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2205555.02</v>
      </c>
      <c r="D81" s="93">
        <f>SUM(D79:D80)+D78+D70</f>
        <v>14916.21</v>
      </c>
      <c r="E81" s="93">
        <f>SUM(E79:E80)+E78+E70</f>
        <v>0</v>
      </c>
      <c r="F81" s="93">
        <f>SUM(F79:F80)+F78+F70</f>
        <v>0</v>
      </c>
      <c r="G81" s="93">
        <f>SUM(G79:G80)+G78+G70</f>
        <v>0</v>
      </c>
      <c r="H81" s="93">
        <f t="shared" si="4"/>
        <v>2220471.23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52263.46</v>
      </c>
      <c r="F85" s="73">
        <f>'DOE25'!I147</f>
        <v>0</v>
      </c>
      <c r="G85" s="23" t="s">
        <v>288</v>
      </c>
      <c r="H85" s="13">
        <f t="shared" ref="H85:H104" si="5">SUM(C85:G85)</f>
        <v>52263.46</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2049.5100000000002</v>
      </c>
      <c r="D88" s="252">
        <f>SUM('DOE25'!G153:G162)</f>
        <v>43770.17</v>
      </c>
      <c r="E88" s="252">
        <f>SUM('DOE25'!H153:H162)</f>
        <v>272145.70999999996</v>
      </c>
      <c r="F88" s="252">
        <f>SUM('DOE25'!I153:I162)</f>
        <v>0</v>
      </c>
      <c r="G88" s="23" t="s">
        <v>288</v>
      </c>
      <c r="H88" s="13">
        <f t="shared" si="5"/>
        <v>317965.38999999996</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2049.5100000000002</v>
      </c>
      <c r="D91" s="94">
        <f>SUM(D85:D90)</f>
        <v>43770.17</v>
      </c>
      <c r="E91" s="94">
        <f>SUM(E85:E90)</f>
        <v>324409.17</v>
      </c>
      <c r="F91" s="94">
        <f>SUM(F85:F90)</f>
        <v>0</v>
      </c>
      <c r="G91" s="23" t="s">
        <v>288</v>
      </c>
      <c r="H91" s="13">
        <f t="shared" si="5"/>
        <v>370228.85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25396.080000000002</v>
      </c>
      <c r="E96" s="73">
        <f>'DOE25'!H180</f>
        <v>0</v>
      </c>
      <c r="F96" s="73">
        <f>'DOE25'!I180</f>
        <v>0</v>
      </c>
      <c r="G96" s="73">
        <f>'DOE25'!J180</f>
        <v>30000</v>
      </c>
      <c r="H96" s="13">
        <f t="shared" si="5"/>
        <v>55396.08</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25396.080000000002</v>
      </c>
      <c r="E103" s="68">
        <f>SUM(E93:E102)</f>
        <v>0</v>
      </c>
      <c r="F103" s="68">
        <f>SUM(F93:F102)</f>
        <v>0</v>
      </c>
      <c r="G103" s="68">
        <f>SUM(G93:G102)</f>
        <v>30000</v>
      </c>
      <c r="H103" s="68">
        <f t="shared" si="5"/>
        <v>55396.08</v>
      </c>
    </row>
    <row r="104" spans="1:8" ht="12.75" thickTop="1" thickBot="1" x14ac:dyDescent="0.25">
      <c r="A104" s="32" t="s">
        <v>758</v>
      </c>
      <c r="C104" s="68">
        <f>C63+C81+C91+C103</f>
        <v>7644294.879999999</v>
      </c>
      <c r="D104" s="68">
        <f>D63+D81+D91+D103</f>
        <v>131081.43</v>
      </c>
      <c r="E104" s="68">
        <f>E63+E81+E91+E103</f>
        <v>345742.62</v>
      </c>
      <c r="F104" s="68">
        <f>F63+F81+F91+F103</f>
        <v>0</v>
      </c>
      <c r="G104" s="68">
        <f>G63+G81+G103</f>
        <v>40464.839999999997</v>
      </c>
      <c r="H104" s="68">
        <f t="shared" si="5"/>
        <v>8161583.7699999986</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3702921.5100000002</v>
      </c>
      <c r="D109" s="23" t="s">
        <v>288</v>
      </c>
      <c r="E109" s="73">
        <f>('DOE25'!L277)+('DOE25'!L296)+('DOE25'!L315)</f>
        <v>119522.93</v>
      </c>
      <c r="F109" s="23" t="s">
        <v>288</v>
      </c>
      <c r="G109" s="23" t="s">
        <v>288</v>
      </c>
      <c r="H109" s="13">
        <f t="shared" ref="H109:H115" si="6">SUM(C109:G109)</f>
        <v>3822444.4400000004</v>
      </c>
    </row>
    <row r="110" spans="1:8" x14ac:dyDescent="0.2">
      <c r="A110" t="s">
        <v>198</v>
      </c>
      <c r="B110" s="31" t="s">
        <v>199</v>
      </c>
      <c r="C110" s="73">
        <f>('DOE25'!L199)+('DOE25'!L217)+('DOE25'!L235)</f>
        <v>1585311.0899999999</v>
      </c>
      <c r="D110" s="23" t="s">
        <v>288</v>
      </c>
      <c r="E110" s="73">
        <f>('DOE25'!L278)+('DOE25'!L297)+('DOE25'!L316)</f>
        <v>32950.28</v>
      </c>
      <c r="F110" s="23" t="s">
        <v>288</v>
      </c>
      <c r="G110" s="23" t="s">
        <v>288</v>
      </c>
      <c r="H110" s="13">
        <f t="shared" si="6"/>
        <v>1618261.3699999999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4678.2699999999995</v>
      </c>
      <c r="D112" s="23" t="s">
        <v>288</v>
      </c>
      <c r="E112" s="73">
        <f>+('DOE25'!L280)+('DOE25'!L299)+('DOE25'!L318)</f>
        <v>24967.07</v>
      </c>
      <c r="F112" s="23" t="s">
        <v>288</v>
      </c>
      <c r="G112" s="23" t="s">
        <v>288</v>
      </c>
      <c r="H112" s="13">
        <f t="shared" si="6"/>
        <v>29645.34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5292910.8699999992</v>
      </c>
      <c r="D115" s="68">
        <f>SUM(D109:D114)</f>
        <v>0</v>
      </c>
      <c r="E115" s="68">
        <f>SUM(E109:E114)</f>
        <v>177440.28</v>
      </c>
      <c r="F115" s="68">
        <f>SUM(F109:F114)</f>
        <v>0</v>
      </c>
      <c r="G115" s="68">
        <f>SUM(G109:G114)</f>
        <v>0</v>
      </c>
      <c r="H115" s="68">
        <f t="shared" si="6"/>
        <v>5470351.1499999994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455473.11000000004</v>
      </c>
      <c r="D118" s="23" t="s">
        <v>288</v>
      </c>
      <c r="E118" s="73">
        <f>+('DOE25'!L282)+('DOE25'!L301)+('DOE25'!L320)</f>
        <v>0</v>
      </c>
      <c r="F118" s="23" t="s">
        <v>288</v>
      </c>
      <c r="G118" s="23" t="s">
        <v>288</v>
      </c>
      <c r="H118" s="13">
        <f t="shared" ref="H118:H145" si="7">SUM(C118:G118)</f>
        <v>455473.11000000004</v>
      </c>
    </row>
    <row r="119" spans="1:8" x14ac:dyDescent="0.2">
      <c r="A119" t="s">
        <v>208</v>
      </c>
      <c r="B119" s="31" t="s">
        <v>209</v>
      </c>
      <c r="C119" s="73">
        <f>('DOE25'!L204)+('DOE25'!L222)+('DOE25'!L240)</f>
        <v>136128.04999999999</v>
      </c>
      <c r="D119" s="23" t="s">
        <v>288</v>
      </c>
      <c r="E119" s="73">
        <f>+('DOE25'!L283)+('DOE25'!L302)+('DOE25'!L321)</f>
        <v>30877.710000000003</v>
      </c>
      <c r="F119" s="23" t="s">
        <v>288</v>
      </c>
      <c r="G119" s="23" t="s">
        <v>288</v>
      </c>
      <c r="H119" s="13">
        <f t="shared" si="7"/>
        <v>167005.75999999998</v>
      </c>
    </row>
    <row r="120" spans="1:8" x14ac:dyDescent="0.2">
      <c r="A120" t="s">
        <v>210</v>
      </c>
      <c r="B120" s="31" t="s">
        <v>211</v>
      </c>
      <c r="C120" s="73">
        <f>('DOE25'!L205)+('DOE25'!L223)+('DOE25'!L241)</f>
        <v>406867.82</v>
      </c>
      <c r="D120" s="23" t="s">
        <v>288</v>
      </c>
      <c r="E120" s="73">
        <f>+('DOE25'!L284)+('DOE25'!L303)+('DOE25'!L322)</f>
        <v>0</v>
      </c>
      <c r="F120" s="23" t="s">
        <v>288</v>
      </c>
      <c r="G120" s="23" t="s">
        <v>288</v>
      </c>
      <c r="H120" s="13">
        <f t="shared" si="7"/>
        <v>406867.82</v>
      </c>
    </row>
    <row r="121" spans="1:8" x14ac:dyDescent="0.2">
      <c r="A121" t="s">
        <v>212</v>
      </c>
      <c r="B121" s="31" t="s">
        <v>213</v>
      </c>
      <c r="C121" s="73">
        <f>('DOE25'!L206)+('DOE25'!L224)+('DOE25'!L242)</f>
        <v>272805.37</v>
      </c>
      <c r="D121" s="23" t="s">
        <v>288</v>
      </c>
      <c r="E121" s="73">
        <f>+('DOE25'!L285)+('DOE25'!L304)+('DOE25'!L323)</f>
        <v>0</v>
      </c>
      <c r="F121" s="23" t="s">
        <v>288</v>
      </c>
      <c r="G121" s="23" t="s">
        <v>288</v>
      </c>
      <c r="H121" s="13">
        <f t="shared" si="7"/>
        <v>272805.37</v>
      </c>
    </row>
    <row r="122" spans="1:8" x14ac:dyDescent="0.2">
      <c r="A122" t="s">
        <v>214</v>
      </c>
      <c r="B122" s="31" t="s">
        <v>215</v>
      </c>
      <c r="C122" s="73">
        <f>('DOE25'!L207)+('DOE25'!L225)+('DOE25'!L243)</f>
        <v>0</v>
      </c>
      <c r="D122" s="23" t="s">
        <v>288</v>
      </c>
      <c r="E122" s="73">
        <f>+('DOE25'!L286)+('DOE25'!L305)+('DOE25'!L324)</f>
        <v>8085.18</v>
      </c>
      <c r="F122" s="23" t="s">
        <v>288</v>
      </c>
      <c r="G122" s="23" t="s">
        <v>288</v>
      </c>
      <c r="H122" s="13">
        <f t="shared" si="7"/>
        <v>8085.18</v>
      </c>
    </row>
    <row r="123" spans="1:8" x14ac:dyDescent="0.2">
      <c r="A123" t="s">
        <v>216</v>
      </c>
      <c r="B123" s="31" t="s">
        <v>217</v>
      </c>
      <c r="C123" s="73">
        <f>('DOE25'!L208)+('DOE25'!L226)+('DOE25'!L244)</f>
        <v>445150.44</v>
      </c>
      <c r="D123" s="23" t="s">
        <v>288</v>
      </c>
      <c r="E123" s="73">
        <f>+('DOE25'!L287)+('DOE25'!L306)+('DOE25'!L325)</f>
        <v>0</v>
      </c>
      <c r="F123" s="23" t="s">
        <v>288</v>
      </c>
      <c r="G123" s="23" t="s">
        <v>288</v>
      </c>
      <c r="H123" s="13">
        <f t="shared" si="7"/>
        <v>445150.44</v>
      </c>
    </row>
    <row r="124" spans="1:8" x14ac:dyDescent="0.2">
      <c r="A124" t="s">
        <v>218</v>
      </c>
      <c r="B124" s="31" t="s">
        <v>219</v>
      </c>
      <c r="C124" s="73">
        <f>('DOE25'!L209)+('DOE25'!L227)+('DOE25'!L245+'DOE25'!L255)</f>
        <v>480584.27999999997</v>
      </c>
      <c r="D124" s="23" t="s">
        <v>288</v>
      </c>
      <c r="E124" s="73">
        <f>+('DOE25'!L288)+('DOE25'!L307)+('DOE25'!L326)</f>
        <v>0</v>
      </c>
      <c r="F124" s="23" t="s">
        <v>288</v>
      </c>
      <c r="G124" s="23" t="s">
        <v>288</v>
      </c>
      <c r="H124" s="13">
        <f t="shared" si="7"/>
        <v>480584.27999999997</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131081.43</v>
      </c>
      <c r="E127" s="23" t="s">
        <v>288</v>
      </c>
      <c r="F127" s="23" t="s">
        <v>288</v>
      </c>
      <c r="G127" s="23" t="s">
        <v>288</v>
      </c>
      <c r="H127" s="13">
        <f t="shared" si="7"/>
        <v>131081.43</v>
      </c>
    </row>
    <row r="128" spans="1:8" ht="12.75" thickTop="1" thickBot="1" x14ac:dyDescent="0.25">
      <c r="A128" s="32" t="s">
        <v>226</v>
      </c>
      <c r="C128" s="68">
        <f>SUM(C118:C127)</f>
        <v>2197009.0699999998</v>
      </c>
      <c r="D128" s="68">
        <f>SUM(D118:D127)</f>
        <v>131081.43</v>
      </c>
      <c r="E128" s="68">
        <f>SUM(E118:E127)</f>
        <v>38962.89</v>
      </c>
      <c r="F128" s="68">
        <f>SUM(F118:F127)</f>
        <v>0</v>
      </c>
      <c r="G128" s="68">
        <f>SUM(G118:G127)</f>
        <v>0</v>
      </c>
      <c r="H128" s="68">
        <f t="shared" si="7"/>
        <v>2367053.39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129339.45</v>
      </c>
      <c r="F130" s="92">
        <f>SUM('DOE25'!L375:'DOE25'!L381)</f>
        <v>0</v>
      </c>
      <c r="G130" s="23" t="s">
        <v>288</v>
      </c>
      <c r="H130" s="13">
        <f t="shared" si="7"/>
        <v>129339.45</v>
      </c>
    </row>
    <row r="131" spans="1:8" x14ac:dyDescent="0.2">
      <c r="A131" t="s">
        <v>229</v>
      </c>
      <c r="B131" s="31">
        <v>5110</v>
      </c>
      <c r="C131" s="73">
        <f>'DOE25'!L261</f>
        <v>70000</v>
      </c>
      <c r="D131" s="23" t="s">
        <v>288</v>
      </c>
      <c r="E131" s="92">
        <f>'DOE25'!L342</f>
        <v>0</v>
      </c>
      <c r="F131" s="23" t="s">
        <v>288</v>
      </c>
      <c r="G131" s="23" t="s">
        <v>288</v>
      </c>
      <c r="H131" s="13">
        <f t="shared" si="7"/>
        <v>70000</v>
      </c>
    </row>
    <row r="132" spans="1:8" x14ac:dyDescent="0.2">
      <c r="A132" t="s">
        <v>230</v>
      </c>
      <c r="B132" s="31">
        <v>5120</v>
      </c>
      <c r="C132" s="73">
        <f>'DOE25'!L262</f>
        <v>23690</v>
      </c>
      <c r="D132" s="23" t="s">
        <v>288</v>
      </c>
      <c r="E132" s="92">
        <f>'DOE25'!L343</f>
        <v>0</v>
      </c>
      <c r="F132" s="23" t="s">
        <v>288</v>
      </c>
      <c r="G132" s="23" t="s">
        <v>288</v>
      </c>
      <c r="H132" s="13">
        <f t="shared" si="7"/>
        <v>23690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25396.080000000002</v>
      </c>
      <c r="D135" s="23" t="s">
        <v>288</v>
      </c>
      <c r="E135" s="92">
        <f>'DOE25'!L346</f>
        <v>0</v>
      </c>
      <c r="F135" s="23" t="s">
        <v>288</v>
      </c>
      <c r="G135" s="23" t="s">
        <v>288</v>
      </c>
      <c r="H135" s="13">
        <f t="shared" si="7"/>
        <v>25396.080000000002</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40464.839999999997</v>
      </c>
      <c r="D139" s="23" t="s">
        <v>288</v>
      </c>
      <c r="E139" s="23" t="s">
        <v>288</v>
      </c>
      <c r="F139" s="23" t="s">
        <v>288</v>
      </c>
      <c r="G139" s="23" t="s">
        <v>288</v>
      </c>
      <c r="H139" s="13">
        <f t="shared" si="7"/>
        <v>40464.839999999997</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-10464.839999999997</v>
      </c>
      <c r="D141" s="23" t="s">
        <v>288</v>
      </c>
      <c r="E141" s="23" t="s">
        <v>288</v>
      </c>
      <c r="F141" s="23" t="s">
        <v>288</v>
      </c>
      <c r="G141" s="23" t="s">
        <v>288</v>
      </c>
      <c r="H141" s="13">
        <f t="shared" si="7"/>
        <v>-10464.839999999997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149086.07999999999</v>
      </c>
      <c r="D144" s="98">
        <f>SUM(D130:D143)</f>
        <v>0</v>
      </c>
      <c r="E144" s="98">
        <f>SUM(E130:E143)</f>
        <v>129339.45</v>
      </c>
      <c r="F144" s="98">
        <f>SUM(F130:F143)</f>
        <v>0</v>
      </c>
      <c r="G144" s="98">
        <f>SUM(G130:G143)</f>
        <v>0</v>
      </c>
      <c r="H144" s="98">
        <f t="shared" si="7"/>
        <v>278425.52999999997</v>
      </c>
    </row>
    <row r="145" spans="1:9" ht="12.75" thickTop="1" thickBot="1" x14ac:dyDescent="0.25">
      <c r="A145" s="32" t="s">
        <v>244</v>
      </c>
      <c r="C145" s="68">
        <f>(C115+C128+C144)</f>
        <v>7639006.0199999996</v>
      </c>
      <c r="D145" s="68">
        <f>(D115+D128+D144)</f>
        <v>131081.43</v>
      </c>
      <c r="E145" s="68">
        <f>(E115+E128+E144)</f>
        <v>345742.62</v>
      </c>
      <c r="F145" s="68">
        <f>(F115+F128+F144)</f>
        <v>0</v>
      </c>
      <c r="G145" s="68">
        <f>(G115+G128+G144)</f>
        <v>0</v>
      </c>
      <c r="H145" s="68">
        <f t="shared" si="7"/>
        <v>8115830.0699999994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12</v>
      </c>
      <c r="C151" s="110">
        <f>'DOE25'!G491</f>
        <v>0</v>
      </c>
      <c r="D151" s="110">
        <f>'DOE25'!H491</f>
        <v>0</v>
      </c>
      <c r="E151" s="110">
        <f>'DOE25'!I491</f>
        <v>0</v>
      </c>
      <c r="F151" s="110">
        <f>'DOE25'!J491</f>
        <v>0</v>
      </c>
      <c r="G151" s="23" t="s">
        <v>288</v>
      </c>
    </row>
    <row r="152" spans="1:9" x14ac:dyDescent="0.2">
      <c r="A152" s="21" t="s">
        <v>28</v>
      </c>
      <c r="B152" s="109" t="str">
        <f>'DOE25'!F492</f>
        <v>05/18</v>
      </c>
      <c r="C152" s="109">
        <f>'DOE25'!G492</f>
        <v>0</v>
      </c>
      <c r="D152" s="109">
        <f>'DOE25'!H492</f>
        <v>0</v>
      </c>
      <c r="E152" s="109">
        <f>'DOE25'!I492</f>
        <v>0</v>
      </c>
      <c r="F152" s="109">
        <f>'DOE25'!J492</f>
        <v>0</v>
      </c>
      <c r="G152" s="23" t="s">
        <v>288</v>
      </c>
    </row>
    <row r="153" spans="1:9" x14ac:dyDescent="0.2">
      <c r="A153" s="21" t="s">
        <v>29</v>
      </c>
      <c r="B153" s="109" t="str">
        <f>'DOE25'!F493</f>
        <v>08/30</v>
      </c>
      <c r="C153" s="109">
        <f>'DOE25'!G493</f>
        <v>0</v>
      </c>
      <c r="D153" s="109">
        <f>'DOE25'!H493</f>
        <v>0</v>
      </c>
      <c r="E153" s="109">
        <f>'DOE25'!I493</f>
        <v>0</v>
      </c>
      <c r="F153" s="109">
        <f>'DOE25'!J493</f>
        <v>0</v>
      </c>
      <c r="G153" s="23" t="s">
        <v>288</v>
      </c>
    </row>
    <row r="154" spans="1:9" x14ac:dyDescent="0.2">
      <c r="A154" s="21" t="s">
        <v>30</v>
      </c>
      <c r="B154" s="19">
        <f>'DOE25'!F494</f>
        <v>803125</v>
      </c>
      <c r="C154" s="19">
        <f>'DOE25'!G494</f>
        <v>0</v>
      </c>
      <c r="D154" s="19">
        <f>'DOE25'!H494</f>
        <v>0</v>
      </c>
      <c r="E154" s="19">
        <f>'DOE25'!I494</f>
        <v>0</v>
      </c>
      <c r="F154" s="19">
        <f>'DOE25'!J494</f>
        <v>0</v>
      </c>
      <c r="G154" s="23" t="s">
        <v>288</v>
      </c>
    </row>
    <row r="155" spans="1:9" x14ac:dyDescent="0.2">
      <c r="A155" s="21" t="s">
        <v>31</v>
      </c>
      <c r="B155" s="19">
        <f>'DOE25'!F495</f>
        <v>5</v>
      </c>
      <c r="C155" s="19">
        <f>'DOE25'!G495</f>
        <v>0</v>
      </c>
      <c r="D155" s="19">
        <f>'DOE25'!H495</f>
        <v>0</v>
      </c>
      <c r="E155" s="19">
        <f>'DOE25'!I495</f>
        <v>0</v>
      </c>
      <c r="F155" s="19">
        <f>'DOE25'!J495</f>
        <v>0</v>
      </c>
      <c r="G155" s="23" t="s">
        <v>288</v>
      </c>
    </row>
    <row r="156" spans="1:9" x14ac:dyDescent="0.2">
      <c r="A156" s="21" t="s">
        <v>32</v>
      </c>
      <c r="B156" s="19">
        <f>'DOE25'!F496</f>
        <v>525000</v>
      </c>
      <c r="C156" s="19">
        <f>'DOE25'!G496</f>
        <v>0</v>
      </c>
      <c r="D156" s="19">
        <f>'DOE25'!H496</f>
        <v>0</v>
      </c>
      <c r="E156" s="19">
        <f>'DOE25'!I496</f>
        <v>0</v>
      </c>
      <c r="F156" s="19">
        <f>'DOE25'!J496</f>
        <v>0</v>
      </c>
      <c r="G156" s="96">
        <f>SUM(B156:F156)</f>
        <v>525000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455000</v>
      </c>
      <c r="C159" s="19">
        <f>'DOE25'!G499</f>
        <v>0</v>
      </c>
      <c r="D159" s="19">
        <f>'DOE25'!H499</f>
        <v>0</v>
      </c>
      <c r="E159" s="19">
        <f>'DOE25'!I499</f>
        <v>0</v>
      </c>
      <c r="F159" s="19">
        <f>'DOE25'!J499</f>
        <v>0</v>
      </c>
      <c r="G159" s="96">
        <f t="shared" si="8"/>
        <v>455000</v>
      </c>
    </row>
    <row r="160" spans="1:9" x14ac:dyDescent="0.2">
      <c r="A160" s="21" t="s">
        <v>36</v>
      </c>
      <c r="B160" s="19">
        <f>'DOE25'!F500</f>
        <v>72767.5</v>
      </c>
      <c r="C160" s="19">
        <f>'DOE25'!G500</f>
        <v>0</v>
      </c>
      <c r="D160" s="19">
        <f>'DOE25'!H500</f>
        <v>0</v>
      </c>
      <c r="E160" s="19">
        <f>'DOE25'!I500</f>
        <v>0</v>
      </c>
      <c r="F160" s="19">
        <f>'DOE25'!J500</f>
        <v>0</v>
      </c>
      <c r="G160" s="96">
        <f t="shared" si="8"/>
        <v>72767.5</v>
      </c>
    </row>
    <row r="161" spans="1:7" x14ac:dyDescent="0.2">
      <c r="A161" s="21" t="s">
        <v>37</v>
      </c>
      <c r="B161" s="19">
        <f>'DOE25'!F501</f>
        <v>527767.5</v>
      </c>
      <c r="C161" s="19">
        <f>'DOE25'!G501</f>
        <v>0</v>
      </c>
      <c r="D161" s="19">
        <f>'DOE25'!H501</f>
        <v>0</v>
      </c>
      <c r="E161" s="19">
        <f>'DOE25'!I501</f>
        <v>0</v>
      </c>
      <c r="F161" s="19">
        <f>'DOE25'!J501</f>
        <v>0</v>
      </c>
      <c r="G161" s="96">
        <f t="shared" si="8"/>
        <v>527767.5</v>
      </c>
    </row>
    <row r="162" spans="1:7" x14ac:dyDescent="0.2">
      <c r="A162" s="21" t="s">
        <v>38</v>
      </c>
      <c r="B162" s="19">
        <f>'DOE25'!F502</f>
        <v>65000</v>
      </c>
      <c r="C162" s="19">
        <f>'DOE25'!G502</f>
        <v>0</v>
      </c>
      <c r="D162" s="19">
        <f>'DOE25'!H502</f>
        <v>0</v>
      </c>
      <c r="E162" s="19">
        <f>'DOE25'!I502</f>
        <v>0</v>
      </c>
      <c r="F162" s="19">
        <f>'DOE25'!J502</f>
        <v>0</v>
      </c>
      <c r="G162" s="96">
        <f t="shared" si="8"/>
        <v>65000</v>
      </c>
    </row>
    <row r="163" spans="1:7" x14ac:dyDescent="0.2">
      <c r="A163" s="21" t="s">
        <v>39</v>
      </c>
      <c r="B163" s="19">
        <f>'DOE25'!F503</f>
        <v>20247.5</v>
      </c>
      <c r="C163" s="19">
        <f>'DOE25'!G503</f>
        <v>0</v>
      </c>
      <c r="D163" s="19">
        <f>'DOE25'!H503</f>
        <v>0</v>
      </c>
      <c r="E163" s="19">
        <f>'DOE25'!I503</f>
        <v>0</v>
      </c>
      <c r="F163" s="19">
        <f>'DOE25'!J503</f>
        <v>0</v>
      </c>
      <c r="G163" s="96">
        <f t="shared" si="8"/>
        <v>20247.5</v>
      </c>
    </row>
    <row r="164" spans="1:7" x14ac:dyDescent="0.2">
      <c r="A164" s="21" t="s">
        <v>246</v>
      </c>
      <c r="B164" s="19">
        <f>'DOE25'!F504</f>
        <v>85247.5</v>
      </c>
      <c r="C164" s="19">
        <f>'DOE25'!G504</f>
        <v>0</v>
      </c>
      <c r="D164" s="19">
        <f>'DOE25'!H504</f>
        <v>0</v>
      </c>
      <c r="E164" s="19">
        <f>'DOE25'!I504</f>
        <v>0</v>
      </c>
      <c r="F164" s="19">
        <f>'DOE25'!J504</f>
        <v>0</v>
      </c>
      <c r="G164" s="96">
        <f t="shared" si="8"/>
        <v>85247.5</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Madison</v>
      </c>
    </row>
    <row r="3" spans="1:4" x14ac:dyDescent="0.2">
      <c r="B3" s="136" t="s">
        <v>1792</v>
      </c>
    </row>
    <row r="4" spans="1:4" x14ac:dyDescent="0.2">
      <c r="B4" t="s">
        <v>61</v>
      </c>
      <c r="C4" s="128">
        <f>IF('DOE25'!F666+'DOE25'!F671=0,0,ROUND('DOE25'!F673,0))</f>
        <v>33750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33750</v>
      </c>
    </row>
    <row r="9" spans="1:4" x14ac:dyDescent="0.2">
      <c r="A9" s="135" t="s">
        <v>94</v>
      </c>
      <c r="B9" s="136" t="s">
        <v>1793</v>
      </c>
      <c r="C9" s="130" t="s">
        <v>720</v>
      </c>
      <c r="D9" s="130" t="s">
        <v>721</v>
      </c>
    </row>
    <row r="10" spans="1:4" x14ac:dyDescent="0.2">
      <c r="A10">
        <v>1100</v>
      </c>
      <c r="B10" t="s">
        <v>702</v>
      </c>
      <c r="C10" s="128">
        <f>ROUND('DOE25'!L198+'DOE25'!L216+'DOE25'!L234+'DOE25'!L277+'DOE25'!L296+'DOE25'!L315,0)</f>
        <v>3822444</v>
      </c>
      <c r="D10" s="131">
        <f>ROUND((C10/$C$28)*100,1)</f>
        <v>48.9</v>
      </c>
    </row>
    <row r="11" spans="1:4" x14ac:dyDescent="0.2">
      <c r="A11">
        <v>1200</v>
      </c>
      <c r="B11" t="s">
        <v>703</v>
      </c>
      <c r="C11" s="128">
        <f>ROUND('DOE25'!L199+'DOE25'!L217+'DOE25'!L235+'DOE25'!L278+'DOE25'!L297+'DOE25'!L316,0)</f>
        <v>1618261</v>
      </c>
      <c r="D11" s="131">
        <f>ROUND((C11/$C$28)*100,1)</f>
        <v>20.7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29645</v>
      </c>
      <c r="D13" s="131">
        <f>ROUND((C13/$C$28)*100,1)</f>
        <v>0.4</v>
      </c>
    </row>
    <row r="14" spans="1:4" x14ac:dyDescent="0.2">
      <c r="D14" s="131"/>
    </row>
    <row r="15" spans="1:4" x14ac:dyDescent="0.2">
      <c r="A15">
        <v>2100</v>
      </c>
      <c r="B15" t="s">
        <v>706</v>
      </c>
      <c r="C15" s="128">
        <f>ROUND('DOE25'!L203+'DOE25'!L221+'DOE25'!L239+'DOE25'!L282+'DOE25'!L301+'DOE25'!L320,0)</f>
        <v>455473</v>
      </c>
      <c r="D15" s="131">
        <f t="shared" ref="D15:D27" si="0">ROUND((C15/$C$28)*100,1)</f>
        <v>5.8</v>
      </c>
    </row>
    <row r="16" spans="1:4" x14ac:dyDescent="0.2">
      <c r="A16">
        <v>2200</v>
      </c>
      <c r="B16" t="s">
        <v>707</v>
      </c>
      <c r="C16" s="128">
        <f>ROUND('DOE25'!L204+'DOE25'!L222+'DOE25'!L240+'DOE25'!L283+'DOE25'!L302+'DOE25'!L321,0)</f>
        <v>167006</v>
      </c>
      <c r="D16" s="131">
        <f t="shared" si="0"/>
        <v>2.1</v>
      </c>
    </row>
    <row r="17" spans="1:4" x14ac:dyDescent="0.2">
      <c r="A17" s="132" t="s">
        <v>723</v>
      </c>
      <c r="B17" t="s">
        <v>738</v>
      </c>
      <c r="C17" s="128">
        <f>ROUND('DOE25'!L205+'DOE25'!L210+'DOE25'!L223+'DOE25'!L228+'DOE25'!L241+'DOE25'!L246+'DOE25'!L284+'DOE25'!L289+'DOE25'!L303+'DOE25'!L308+'DOE25'!L322+'DOE25'!L327,0)</f>
        <v>406868</v>
      </c>
      <c r="D17" s="131">
        <f t="shared" si="0"/>
        <v>5.2</v>
      </c>
    </row>
    <row r="18" spans="1:4" x14ac:dyDescent="0.2">
      <c r="A18">
        <v>2400</v>
      </c>
      <c r="B18" t="s">
        <v>711</v>
      </c>
      <c r="C18" s="128">
        <f>ROUND('DOE25'!L206+'DOE25'!L224+'DOE25'!L242+'DOE25'!L285+'DOE25'!L304+'DOE25'!L323,0)</f>
        <v>272805</v>
      </c>
      <c r="D18" s="131">
        <f t="shared" si="0"/>
        <v>3.5</v>
      </c>
    </row>
    <row r="19" spans="1:4" x14ac:dyDescent="0.2">
      <c r="A19">
        <v>2500</v>
      </c>
      <c r="B19" t="s">
        <v>708</v>
      </c>
      <c r="C19" s="128">
        <f>ROUND('DOE25'!L207+'DOE25'!L225+'DOE25'!L243+'DOE25'!L286+'DOE25'!L305+'DOE25'!L324,0)</f>
        <v>8085</v>
      </c>
      <c r="D19" s="131">
        <f t="shared" si="0"/>
        <v>0.1</v>
      </c>
    </row>
    <row r="20" spans="1:4" x14ac:dyDescent="0.2">
      <c r="A20">
        <v>2600</v>
      </c>
      <c r="B20" t="s">
        <v>709</v>
      </c>
      <c r="C20" s="128">
        <f>ROUND('DOE25'!L208+'DOE25'!L226+'DOE25'!L244+'DOE25'!L287+'DOE25'!L306+'DOE25'!L325,0)</f>
        <v>445150</v>
      </c>
      <c r="D20" s="131">
        <f t="shared" si="0"/>
        <v>5.7</v>
      </c>
    </row>
    <row r="21" spans="1:4" x14ac:dyDescent="0.2">
      <c r="A21">
        <v>2700</v>
      </c>
      <c r="B21" t="s">
        <v>710</v>
      </c>
      <c r="C21" s="128">
        <f>ROUND('DOE25'!L209+'DOE25'!L227+'DOE25'!L245+'DOE25'!L288+'DOE25'!L307+'DOE25'!L326,0)</f>
        <v>480584</v>
      </c>
      <c r="D21" s="131">
        <f t="shared" si="0"/>
        <v>6.2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23690</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84082.03</v>
      </c>
      <c r="D27" s="131">
        <f t="shared" si="0"/>
        <v>1.1000000000000001</v>
      </c>
    </row>
    <row r="28" spans="1:4" x14ac:dyDescent="0.2">
      <c r="B28" s="135" t="s">
        <v>719</v>
      </c>
      <c r="C28" s="129">
        <f>SUM(C10:C27)</f>
        <v>7814093.0300000003</v>
      </c>
      <c r="D28" s="133">
        <f>ROUND(SUM(D10:D27),0)</f>
        <v>100</v>
      </c>
    </row>
    <row r="29" spans="1:4" x14ac:dyDescent="0.2">
      <c r="A29">
        <v>4000</v>
      </c>
      <c r="B29" t="s">
        <v>724</v>
      </c>
      <c r="C29" s="128">
        <f>ROUND('DOE25'!L256+'DOE25'!L337+'DOE25'!L375+'DOE25'!L376+'DOE25'!L377+'DOE25'!L378+'DOE25'!L379+'DOE25'!L380+'DOE25'!L381,0)</f>
        <v>129339</v>
      </c>
    </row>
    <row r="30" spans="1:4" x14ac:dyDescent="0.2">
      <c r="B30" s="135" t="s">
        <v>725</v>
      </c>
      <c r="C30" s="129">
        <f>SUM(C28:C29)</f>
        <v>7943432.0300000003</v>
      </c>
    </row>
    <row r="31" spans="1:4" x14ac:dyDescent="0.2">
      <c r="B31" s="32"/>
      <c r="C31" s="129"/>
    </row>
    <row r="32" spans="1:4" x14ac:dyDescent="0.2">
      <c r="A32">
        <v>5100</v>
      </c>
      <c r="B32" s="32" t="s">
        <v>726</v>
      </c>
      <c r="C32" s="129">
        <f>ROUND('DOE25'!L261+'DOE25'!L342,0)</f>
        <v>70000</v>
      </c>
    </row>
    <row r="34" spans="1:4" x14ac:dyDescent="0.2">
      <c r="A34" s="135" t="s">
        <v>94</v>
      </c>
      <c r="B34" s="136" t="s">
        <v>1794</v>
      </c>
      <c r="C34" s="130" t="s">
        <v>720</v>
      </c>
      <c r="D34" s="130" t="s">
        <v>721</v>
      </c>
    </row>
    <row r="35" spans="1:4" x14ac:dyDescent="0.2">
      <c r="A35">
        <v>1100</v>
      </c>
      <c r="B35" s="71" t="s">
        <v>727</v>
      </c>
      <c r="C35" s="128">
        <f>ROUND('DOE25'!F60+'DOE25'!G60+'DOE25'!H60+'DOE25'!I60+'DOE25'!J60,0)</f>
        <v>5427723</v>
      </c>
      <c r="D35" s="131">
        <f t="shared" ref="D35:D40" si="1">ROUND((C35/$C$41)*100,1)</f>
        <v>67.3</v>
      </c>
    </row>
    <row r="36" spans="1:4" x14ac:dyDescent="0.2">
      <c r="B36" s="71" t="s">
        <v>739</v>
      </c>
      <c r="C36" s="128">
        <f>SUM('DOE25'!F112:J112)-SUM('DOE25'!G97:G110)+('DOE25'!F175+'DOE25'!F176+'DOE25'!I175+'DOE25'!I176)-C35</f>
        <v>40765.639999999665</v>
      </c>
      <c r="D36" s="131">
        <f t="shared" si="1"/>
        <v>0.5</v>
      </c>
    </row>
    <row r="37" spans="1:4" x14ac:dyDescent="0.2">
      <c r="A37" s="132" t="s">
        <v>831</v>
      </c>
      <c r="B37" s="71" t="s">
        <v>728</v>
      </c>
      <c r="C37" s="128">
        <f>ROUND('DOE25'!F117+'DOE25'!F118,0)</f>
        <v>1609008</v>
      </c>
      <c r="D37" s="131">
        <f t="shared" si="1"/>
        <v>20</v>
      </c>
    </row>
    <row r="38" spans="1:4" x14ac:dyDescent="0.2">
      <c r="A38" s="132" t="s">
        <v>734</v>
      </c>
      <c r="B38" s="71" t="s">
        <v>729</v>
      </c>
      <c r="C38" s="128">
        <f>ROUND(SUM('DOE25'!F140:J140)-SUM('DOE25'!F117:F119),0)</f>
        <v>611463</v>
      </c>
      <c r="D38" s="131">
        <f t="shared" si="1"/>
        <v>7.6</v>
      </c>
    </row>
    <row r="39" spans="1:4" x14ac:dyDescent="0.2">
      <c r="A39">
        <v>4000</v>
      </c>
      <c r="B39" s="71" t="s">
        <v>730</v>
      </c>
      <c r="C39" s="128">
        <f>ROUND('DOE25'!F170+'DOE25'!G170+'DOE25'!H170+'DOE25'!I170,0)</f>
        <v>370229</v>
      </c>
      <c r="D39" s="131">
        <f t="shared" si="1"/>
        <v>4.5999999999999996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8059188.6399999997</v>
      </c>
      <c r="D41" s="133">
        <f>SUM(D35:D40)</f>
        <v>99.999999999999986</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Madison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174</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f>IF('School Level Expenditures'!$B$2=A177,'School Tables'!H177,"")</f>
        <v>174</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2025-01-14T15:44:23Z</dcterms:modified>
</cp:coreProperties>
</file>