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A2DA609A-268F-44A2-9F5F-8E17A8523510}"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0" i="1" l="1"/>
  <c r="J592" i="1"/>
  <c r="K262" i="1" l="1"/>
  <c r="K261" i="1"/>
  <c r="F127" i="1" l="1"/>
  <c r="F5" i="13"/>
  <c r="F15" i="13"/>
  <c r="H161" i="1"/>
  <c r="H162" i="1"/>
  <c r="F6" i="13" l="1"/>
  <c r="F12" i="13"/>
  <c r="F14" i="13"/>
  <c r="F16" i="13"/>
  <c r="P6" i="14" l="1"/>
  <c r="O6" i="14"/>
  <c r="M40" i="14" l="1"/>
  <c r="M6" i="14"/>
  <c r="L40" i="14"/>
  <c r="L6" i="14"/>
  <c r="K27" i="14"/>
  <c r="K6" i="14"/>
  <c r="K39" i="14"/>
  <c r="E40" i="14"/>
  <c r="E27" i="14"/>
  <c r="E6" i="14"/>
  <c r="G320" i="1" l="1"/>
  <c r="G321" i="1"/>
  <c r="G22" i="1" l="1"/>
  <c r="F12" i="1"/>
  <c r="G469" i="1"/>
  <c r="F473" i="1"/>
  <c r="G48" i="1"/>
  <c r="H244" i="1"/>
  <c r="H226" i="1"/>
  <c r="H208" i="1"/>
  <c r="J605" i="1"/>
  <c r="I605" i="1"/>
  <c r="H605" i="1"/>
  <c r="J604" i="1"/>
  <c r="I604" i="1"/>
  <c r="H604" i="1"/>
  <c r="J287" i="1"/>
  <c r="J325" i="1"/>
  <c r="J306" i="1"/>
  <c r="I315" i="1"/>
  <c r="J315" i="1"/>
  <c r="I280" i="1" l="1"/>
  <c r="H583" i="1" l="1"/>
  <c r="G583" i="1"/>
  <c r="F583" i="1"/>
  <c r="F580" i="1"/>
  <c r="K565" i="1"/>
  <c r="J565" i="1"/>
  <c r="I565" i="1"/>
  <c r="H565" i="1"/>
  <c r="G565" i="1"/>
  <c r="F565" i="1"/>
  <c r="K564" i="1"/>
  <c r="J564" i="1"/>
  <c r="I564" i="1"/>
  <c r="H564" i="1"/>
  <c r="G564" i="1"/>
  <c r="F564" i="1"/>
  <c r="K563" i="1"/>
  <c r="J563" i="1"/>
  <c r="I563" i="1"/>
  <c r="H563" i="1"/>
  <c r="G563" i="1"/>
  <c r="F563" i="1"/>
  <c r="F198" i="1" l="1"/>
  <c r="H199" i="1" l="1"/>
  <c r="H221" i="1"/>
  <c r="I217" i="1"/>
  <c r="H217" i="1"/>
  <c r="H203" i="1"/>
  <c r="I199" i="1"/>
  <c r="K269" i="1"/>
  <c r="H543" i="1" l="1"/>
  <c r="H542" i="1"/>
  <c r="H227" i="1"/>
  <c r="H209" i="1"/>
  <c r="H544" i="1"/>
  <c r="K542" i="1"/>
  <c r="H245" i="1" l="1"/>
  <c r="H234" i="1"/>
  <c r="H237" i="1"/>
  <c r="H219" i="1"/>
  <c r="K422" i="1" l="1"/>
  <c r="G401" i="1"/>
  <c r="H401" i="1"/>
  <c r="G473" i="1"/>
  <c r="F469" i="1"/>
  <c r="H473" i="1"/>
  <c r="H469" i="1"/>
  <c r="F368" i="1"/>
  <c r="F359" i="1"/>
  <c r="G158" i="1"/>
  <c r="I508" i="1" l="1"/>
  <c r="H287" i="1"/>
  <c r="G316" i="1" l="1"/>
  <c r="G315" i="1"/>
  <c r="F316" i="1"/>
  <c r="F315" i="1"/>
  <c r="J278" i="1"/>
  <c r="I278" i="1"/>
  <c r="H278" i="1"/>
  <c r="G278" i="1"/>
  <c r="F278" i="1"/>
  <c r="J277" i="1"/>
  <c r="I277" i="1"/>
  <c r="H277" i="1"/>
  <c r="G277" i="1"/>
  <c r="F277" i="1"/>
  <c r="H315" i="1"/>
  <c r="H316" i="1"/>
  <c r="I316" i="1"/>
  <c r="K316" i="1"/>
  <c r="J316" i="1"/>
  <c r="K297" i="1"/>
  <c r="J297" i="1"/>
  <c r="I297" i="1"/>
  <c r="H297" i="1"/>
  <c r="G297" i="1"/>
  <c r="F297" i="1"/>
  <c r="K278" i="1"/>
  <c r="J296" i="1"/>
  <c r="I296" i="1"/>
  <c r="H296" i="1"/>
  <c r="G296" i="1"/>
  <c r="F296" i="1"/>
  <c r="F182" i="1" l="1"/>
  <c r="F14" i="1"/>
  <c r="K345" i="1"/>
  <c r="I327" i="1" l="1"/>
  <c r="G327" i="1"/>
  <c r="F327" i="1"/>
  <c r="H326" i="1"/>
  <c r="I325" i="1"/>
  <c r="I323" i="1"/>
  <c r="H323" i="1"/>
  <c r="G323" i="1"/>
  <c r="F323" i="1"/>
  <c r="H322" i="1"/>
  <c r="J322" i="1"/>
  <c r="I322" i="1"/>
  <c r="G322" i="1"/>
  <c r="F322" i="1"/>
  <c r="K321" i="1"/>
  <c r="I321" i="1"/>
  <c r="H321" i="1"/>
  <c r="F321" i="1"/>
  <c r="K320" i="1"/>
  <c r="I320" i="1"/>
  <c r="H320" i="1"/>
  <c r="F320" i="1"/>
  <c r="K318" i="1"/>
  <c r="I318" i="1"/>
  <c r="H318" i="1"/>
  <c r="G318" i="1"/>
  <c r="F318" i="1"/>
  <c r="J317" i="1"/>
  <c r="I317" i="1"/>
  <c r="H317" i="1"/>
  <c r="G317" i="1"/>
  <c r="F317" i="1"/>
  <c r="I308" i="1"/>
  <c r="G308" i="1"/>
  <c r="F308" i="1"/>
  <c r="H307" i="1"/>
  <c r="I306" i="1"/>
  <c r="I304" i="1"/>
  <c r="H304" i="1"/>
  <c r="G304" i="1"/>
  <c r="F304" i="1"/>
  <c r="H303" i="1"/>
  <c r="J303" i="1"/>
  <c r="I303" i="1"/>
  <c r="G303" i="1"/>
  <c r="F303" i="1"/>
  <c r="K302" i="1"/>
  <c r="I302" i="1"/>
  <c r="H302" i="1"/>
  <c r="G302" i="1"/>
  <c r="F302" i="1"/>
  <c r="K301" i="1"/>
  <c r="I301" i="1"/>
  <c r="H301" i="1"/>
  <c r="G301" i="1"/>
  <c r="F301" i="1"/>
  <c r="K299" i="1"/>
  <c r="I299" i="1"/>
  <c r="H299" i="1"/>
  <c r="G299" i="1"/>
  <c r="F299" i="1"/>
  <c r="I334" i="1"/>
  <c r="H334" i="1"/>
  <c r="J333" i="1"/>
  <c r="H333" i="1"/>
  <c r="I289" i="1"/>
  <c r="G289" i="1"/>
  <c r="F289" i="1"/>
  <c r="H288" i="1"/>
  <c r="I287" i="1"/>
  <c r="I285" i="1"/>
  <c r="H285" i="1"/>
  <c r="G285" i="1"/>
  <c r="F285" i="1"/>
  <c r="H284" i="1"/>
  <c r="J284" i="1"/>
  <c r="I284" i="1"/>
  <c r="G284" i="1"/>
  <c r="F284" i="1"/>
  <c r="K283" i="1"/>
  <c r="I283" i="1"/>
  <c r="H283" i="1"/>
  <c r="G283" i="1"/>
  <c r="F283" i="1"/>
  <c r="K282" i="1"/>
  <c r="I282" i="1"/>
  <c r="H282" i="1"/>
  <c r="G282" i="1"/>
  <c r="F282" i="1"/>
  <c r="K280" i="1"/>
  <c r="H280" i="1"/>
  <c r="G280" i="1"/>
  <c r="F280" i="1"/>
  <c r="G334" i="1"/>
  <c r="F334" i="1"/>
  <c r="J334" i="1"/>
  <c r="K333" i="1"/>
  <c r="I333" i="1"/>
  <c r="G333" i="1"/>
  <c r="F333" i="1"/>
  <c r="J318" i="1"/>
  <c r="K317" i="1"/>
  <c r="K315" i="1"/>
  <c r="J283" i="1"/>
  <c r="K277" i="1"/>
  <c r="G252" i="1"/>
  <c r="F252" i="1"/>
  <c r="H252" i="1"/>
  <c r="I252" i="1"/>
  <c r="H239" i="1"/>
  <c r="K239" i="1"/>
  <c r="K221" i="1"/>
  <c r="K203" i="1"/>
  <c r="H135" i="1" l="1"/>
  <c r="H102" i="1"/>
  <c r="H98" i="1"/>
  <c r="H159" i="1" l="1"/>
  <c r="H157" i="1"/>
  <c r="H156" i="1"/>
  <c r="H155" i="1"/>
  <c r="H130" i="1"/>
  <c r="J96" i="1"/>
  <c r="H70" i="1"/>
  <c r="H66" i="1"/>
  <c r="G146" i="1" l="1"/>
  <c r="G161" i="1"/>
  <c r="G132" i="1"/>
  <c r="G97" i="1"/>
  <c r="F187" i="1"/>
  <c r="F161" i="1"/>
  <c r="F110" i="1"/>
  <c r="H48" i="1"/>
  <c r="H28" i="1"/>
  <c r="H24" i="1"/>
  <c r="H22" i="1"/>
  <c r="H14" i="1"/>
  <c r="H9" i="1"/>
  <c r="G30" i="1"/>
  <c r="G24" i="1"/>
  <c r="G28" i="1"/>
  <c r="G16" i="1"/>
  <c r="G14" i="1"/>
  <c r="G13" i="1"/>
  <c r="G9" i="1" l="1"/>
  <c r="F30" i="1"/>
  <c r="F29" i="1"/>
  <c r="F28" i="1"/>
  <c r="F24" i="1"/>
  <c r="F9"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F77" i="15" s="1"/>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9" i="15" l="1"/>
  <c r="AF5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I121" i="1"/>
  <c r="I136" i="1"/>
  <c r="J121" i="1"/>
  <c r="J136" i="1"/>
  <c r="J140" i="1" s="1"/>
  <c r="F147" i="1"/>
  <c r="F170" i="1" s="1"/>
  <c r="G147" i="1"/>
  <c r="D85" i="2" s="1"/>
  <c r="H147" i="1"/>
  <c r="H170" i="1" s="1"/>
  <c r="I147" i="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H93" i="2" s="1"/>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5" i="2"/>
  <c r="F128" i="2"/>
  <c r="G128"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H653" i="1"/>
  <c r="G654" i="1"/>
  <c r="H654" i="1"/>
  <c r="H655" i="1"/>
  <c r="H656" i="1"/>
  <c r="I170" i="1"/>
  <c r="H94" i="2" l="1"/>
  <c r="H24" i="2"/>
  <c r="H101" i="2"/>
  <c r="H99" i="2"/>
  <c r="H87" i="2"/>
  <c r="H79" i="2"/>
  <c r="H58" i="2"/>
  <c r="H97" i="2"/>
  <c r="H22" i="2"/>
  <c r="H38" i="2"/>
  <c r="H43" i="2"/>
  <c r="H30" i="2"/>
  <c r="H28" i="2"/>
  <c r="H25" i="2"/>
  <c r="H17" i="2"/>
  <c r="H15" i="2"/>
  <c r="H102" i="2"/>
  <c r="H100" i="2"/>
  <c r="H98" i="2"/>
  <c r="H89" i="2"/>
  <c r="H80" i="2"/>
  <c r="H36" i="2"/>
  <c r="H44" i="2"/>
  <c r="H48" i="2"/>
  <c r="H34" i="2"/>
  <c r="H113" i="2"/>
  <c r="J652" i="1"/>
  <c r="G409" i="1"/>
  <c r="H646" i="1" s="1"/>
  <c r="H477" i="1"/>
  <c r="H625" i="1" s="1"/>
  <c r="J625" i="1" s="1"/>
  <c r="G662" i="1"/>
  <c r="D29" i="13"/>
  <c r="C29" i="13" s="1"/>
  <c r="H125" i="2"/>
  <c r="G663" i="1"/>
  <c r="E120" i="2"/>
  <c r="E111" i="2"/>
  <c r="E112" i="2"/>
  <c r="C112" i="2"/>
  <c r="K36" i="14"/>
  <c r="K37" i="14" s="1"/>
  <c r="G651" i="1"/>
  <c r="J651" i="1" s="1"/>
  <c r="D15" i="13"/>
  <c r="C15" i="13" s="1"/>
  <c r="E13" i="13"/>
  <c r="C13" i="13" s="1"/>
  <c r="C120" i="2"/>
  <c r="H120" i="2" s="1"/>
  <c r="C13" i="10"/>
  <c r="C12" i="10"/>
  <c r="C119" i="2"/>
  <c r="K2" i="14"/>
  <c r="K3" i="14" s="1"/>
  <c r="H140" i="1"/>
  <c r="H69" i="2"/>
  <c r="G646" i="1"/>
  <c r="H76" i="2"/>
  <c r="G62" i="2"/>
  <c r="D78" i="2"/>
  <c r="H77" i="2"/>
  <c r="H61" i="2"/>
  <c r="H59" i="2"/>
  <c r="H11" i="2"/>
  <c r="H47" i="2"/>
  <c r="H29" i="2"/>
  <c r="H35" i="2"/>
  <c r="H27" i="2"/>
  <c r="H23" i="2"/>
  <c r="H12"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34" i="2" l="1"/>
  <c r="H16" i="2"/>
  <c r="H21" i="2"/>
  <c r="H42" i="2"/>
  <c r="H85" i="2"/>
  <c r="H103" i="2"/>
  <c r="L572" i="1"/>
  <c r="D128" i="2"/>
  <c r="D145" i="2" s="1"/>
  <c r="H127" i="2"/>
  <c r="H114" i="2"/>
  <c r="H112" i="2"/>
  <c r="H123" i="2"/>
  <c r="I663" i="1"/>
  <c r="H119" i="2"/>
  <c r="H78" i="2"/>
  <c r="H57" i="2"/>
  <c r="H91" i="2"/>
  <c r="I662" i="1"/>
  <c r="H62" i="2"/>
  <c r="C81" i="2"/>
  <c r="H81" i="2" s="1"/>
  <c r="F194" i="1"/>
  <c r="G628" i="1" s="1"/>
  <c r="J628" i="1" s="1"/>
  <c r="E51" i="2"/>
  <c r="H31" i="2"/>
  <c r="D51" i="2"/>
  <c r="H50"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C104" i="2"/>
  <c r="H104" i="2" s="1"/>
  <c r="H63"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<sst xmlns="http://schemas.openxmlformats.org/spreadsheetml/2006/main" count="6639" uniqueCount="1841">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</sst>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895</v>
      </c>
      <c r="B2">
        <f>INDEX('School Tables'!$AH$3:$AH$213,MATCH('DOE25'!A2,'School Tables'!$AJ$3:$AJ$213,0))</f>
        <v>335</v>
      </c>
      <c r="C2">
        <f>INDEX('School Tables'!$AI$3:$AI$213,MATCH('DOE25'!A2,'School Tables'!$AJ$3:$AJ$213,0))</f>
        <v>335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200+802128.12+10980344.06+359.19</f>
        <v>11783031.369999999</v>
      </c>
      <c r="G9" s="18">
        <f>200+1017356.2</f>
        <v>1017556.2</v>
      </c>
      <c r="H9" s="18">
        <f>700+140</f>
        <v>840</v>
      </c>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21739457.63-825000</f>
        <v>20914457.629999999</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47973909.770000003</v>
      </c>
      <c r="G13" s="18">
        <f>3567.49+681317.23</f>
        <v>684884.72</v>
      </c>
      <c r="H13" s="18"/>
      <c r="I13" s="18"/>
      <c r="J13" s="13">
        <f>SUM(I443)</f>
        <v>28685108.640000001</v>
      </c>
      <c r="K13" s="23" t="s">
        <v>288</v>
      </c>
      <c r="L13" s="23" t="s">
        <v>288</v>
      </c>
      <c r="M13" s="8"/>
      <c r="N13" s="164"/>
    </row>
    <row r="14" spans="1:14" s="3" customFormat="1" ht="12.2" customHeight="1" x14ac:dyDescent="0.15">
      <c r="A14" s="1" t="s">
        <v>565</v>
      </c>
      <c r="B14" s="2" t="s">
        <v>289</v>
      </c>
      <c r="C14" s="6">
        <v>6</v>
      </c>
      <c r="D14" s="2" t="s">
        <v>428</v>
      </c>
      <c r="E14" s="6">
        <v>150</v>
      </c>
      <c r="F14" s="18">
        <f>1541608.68+279015.55-0.2</f>
        <v>1820624.03</v>
      </c>
      <c r="G14" s="18">
        <f>5462.69</f>
        <v>5462.69</v>
      </c>
      <c r="H14" s="18">
        <f>24784599.46+65620.8+259171.64</f>
        <v>25109391.900000002</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f>63514.34</f>
        <v>63514.34</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19692.259999999998</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82511715.060000017</v>
      </c>
      <c r="G19" s="38">
        <f>SUM(G9:G18)</f>
        <v>1771417.95</v>
      </c>
      <c r="H19" s="38">
        <f>SUM(H9:H18)</f>
        <v>25110231.900000002</v>
      </c>
      <c r="I19" s="38">
        <f>SUM(I9:I18)</f>
        <v>0</v>
      </c>
      <c r="J19" s="38">
        <f>SUM(J9:J18)</f>
        <v>28685108.640000001</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f>1281932.34-825000</f>
        <v>456932.34000000008</v>
      </c>
      <c r="H22" s="18">
        <f>-90422.87+20697363.24-61112.73-1000-87302.35</f>
        <v>20457525.289999995</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18615621.66+11979.04</f>
        <v>18627600.699999999</v>
      </c>
      <c r="G24" s="18">
        <f>18908.94</f>
        <v>18908.939999999999</v>
      </c>
      <c r="H24" s="18">
        <f>10736.83+3389112.06+33.33+1000+33970.63</f>
        <v>3434852.85</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3612565.12</f>
        <v>3612565.12</v>
      </c>
      <c r="G28" s="18">
        <f>24828.89</f>
        <v>24828.89</v>
      </c>
      <c r="H28" s="18">
        <f>698831.44+4574.44</f>
        <v>703405.87999999989</v>
      </c>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445462.34+30586.59+46623.52+1837103.17+50523.56</f>
        <v>2410299.1800000002</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f>47723947.29</f>
        <v>47723947.289999999</v>
      </c>
      <c r="G30" s="18">
        <f>32579.95+18652.47+40668.65</f>
        <v>91901.07</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72374412.289999992</v>
      </c>
      <c r="G32" s="38">
        <f>SUM(G22:G31)</f>
        <v>592571.24000000011</v>
      </c>
      <c r="H32" s="38">
        <f>SUM(H22:H31)</f>
        <v>24595784.019999996</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19692.259999999998</v>
      </c>
      <c r="G36" s="18">
        <v>63514.34</v>
      </c>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4"/>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697478</v>
      </c>
      <c r="G48" s="18">
        <f>217743.37+825000</f>
        <v>1042743.37</v>
      </c>
      <c r="H48" s="18">
        <f>79686.04-7.28+61219.4+373549.72</f>
        <v>514447.88</v>
      </c>
      <c r="I48" s="18"/>
      <c r="J48" s="13">
        <f>SUM(I460)</f>
        <v>28685108.640000001</v>
      </c>
      <c r="K48" s="23" t="s">
        <v>288</v>
      </c>
      <c r="L48" s="23" t="s">
        <v>288</v>
      </c>
      <c r="M48" s="8"/>
      <c r="N48" s="164"/>
    </row>
    <row r="49" spans="1:14" s="3" customFormat="1" ht="12.2" customHeight="1" x14ac:dyDescent="0.15">
      <c r="A49" s="1" t="s">
        <v>855</v>
      </c>
      <c r="B49" s="2" t="s">
        <v>289</v>
      </c>
      <c r="C49" s="6">
        <v>34</v>
      </c>
      <c r="D49" s="2"/>
      <c r="E49" s="6">
        <v>753</v>
      </c>
      <c r="F49" s="18">
        <v>1620132.51</v>
      </c>
      <c r="G49" s="18">
        <v>72589</v>
      </c>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7800000</f>
        <v>7800000</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10137302.77</v>
      </c>
      <c r="G51" s="38">
        <f>SUM(G35:G50)</f>
        <v>1178846.71</v>
      </c>
      <c r="H51" s="38">
        <f>SUM(H35:H50)</f>
        <v>514447.88</v>
      </c>
      <c r="I51" s="38">
        <f>SUM(I35:I50)</f>
        <v>0</v>
      </c>
      <c r="J51" s="38">
        <f>SUM(J35:J50)</f>
        <v>28685108.640000001</v>
      </c>
      <c r="K51" s="42" t="s">
        <v>288</v>
      </c>
      <c r="L51" s="42" t="s">
        <v>288</v>
      </c>
      <c r="N51" s="130"/>
    </row>
    <row r="52" spans="1:14" s="3" customFormat="1" ht="12.2" customHeight="1" thickTop="1" x14ac:dyDescent="0.15">
      <c r="A52" s="35" t="s">
        <v>455</v>
      </c>
      <c r="B52" s="36" t="s">
        <v>289</v>
      </c>
      <c r="C52" s="6">
        <v>37</v>
      </c>
      <c r="D52" s="36" t="s">
        <v>653</v>
      </c>
      <c r="E52" s="36"/>
      <c r="F52" s="38">
        <f>F51+F32</f>
        <v>82511715.059999987</v>
      </c>
      <c r="G52" s="38">
        <f>G51+G32</f>
        <v>1771417.9500000002</v>
      </c>
      <c r="H52" s="38">
        <f>H51+H32</f>
        <v>25110231.899999995</v>
      </c>
      <c r="I52" s="38">
        <f>I51+I32</f>
        <v>0</v>
      </c>
      <c r="J52" s="38">
        <f>J51+J32</f>
        <v>28685108.640000001</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98356308</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98356308</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15140.7</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f>1230</f>
        <v>1230</v>
      </c>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345414.45</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132959.59</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558575.13</v>
      </c>
      <c r="G70" s="23" t="s">
        <v>288</v>
      </c>
      <c r="H70" s="18">
        <f>46650+115600+25400</f>
        <v>187650</v>
      </c>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1052089.8700000001</v>
      </c>
      <c r="G79" s="42" t="s">
        <v>288</v>
      </c>
      <c r="H79" s="38">
        <f>SUM(H63:H78)</f>
        <v>188880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1319348.6000000001</v>
      </c>
      <c r="G96" s="18">
        <v>33098.769999999997</v>
      </c>
      <c r="H96" s="18"/>
      <c r="I96" s="18"/>
      <c r="J96" s="18">
        <f>1250815.95</f>
        <v>1250815.95</v>
      </c>
      <c r="K96" s="23" t="s">
        <v>288</v>
      </c>
      <c r="L96" s="23" t="s">
        <v>288</v>
      </c>
      <c r="M96" s="8"/>
      <c r="N96" s="164"/>
    </row>
    <row r="97" spans="1:14" s="3" customFormat="1" ht="12.2" customHeight="1" x14ac:dyDescent="0.15">
      <c r="A97" s="1" t="s">
        <v>503</v>
      </c>
      <c r="B97" s="2" t="s">
        <v>315</v>
      </c>
      <c r="C97" s="6">
        <v>12</v>
      </c>
      <c r="D97" s="2" t="s">
        <v>430</v>
      </c>
      <c r="E97" s="6">
        <v>1600</v>
      </c>
      <c r="F97" s="23" t="s">
        <v>288</v>
      </c>
      <c r="G97" s="18">
        <f>795363+122092.1+330234.5-1592.09-13063.79</f>
        <v>1233033.72</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24069</v>
      </c>
      <c r="G98" s="23" t="s">
        <v>288</v>
      </c>
      <c r="H98" s="18">
        <f>61654.54+20264.31</f>
        <v>81918.850000000006</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9742.73</v>
      </c>
      <c r="G101" s="18"/>
      <c r="H101" s="18">
        <v>2744</v>
      </c>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f>744.04+113000+193353.41+234778.36</f>
        <v>541875.81000000006</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1692.19</f>
        <v>1692.19</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1354852.52</v>
      </c>
      <c r="G111" s="38">
        <f>SUM(G96:G110)</f>
        <v>1266132.49</v>
      </c>
      <c r="H111" s="38">
        <f>SUM(H96:H110)</f>
        <v>626538.66</v>
      </c>
      <c r="I111" s="38">
        <f>SUM(I96:I110)</f>
        <v>0</v>
      </c>
      <c r="J111" s="38">
        <f>SUM(J96:J110)</f>
        <v>1250815.95</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100763250.39</v>
      </c>
      <c r="G112" s="38">
        <f>G60+G111</f>
        <v>1266132.49</v>
      </c>
      <c r="H112" s="38">
        <f>H60+H79+H94+H111</f>
        <v>815418.66</v>
      </c>
      <c r="I112" s="38">
        <f>I60+I111</f>
        <v>0</v>
      </c>
      <c r="J112" s="38">
        <f>J60+J111</f>
        <v>1250815.95</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97765971.060000002</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19682274</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461413.88</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117909658.94</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2986144.61</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1407756.86</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f>629788.24-590.4</f>
        <v>629197.84</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590.4</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f>72490.43</f>
        <v>72490.429999999993</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f>74233.65</f>
        <v>74233.649999999994</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f>103750+101851.36</f>
        <v>205601.36</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5023689.71</v>
      </c>
      <c r="G136" s="38">
        <f>SUM(G123:G135)</f>
        <v>74233.649999999994</v>
      </c>
      <c r="H136" s="38">
        <f>SUM(H123:H135)</f>
        <v>278091.78999999998</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122933348.64999999</v>
      </c>
      <c r="G140" s="38">
        <f>G121+SUM(G136:G137)</f>
        <v>74233.649999999994</v>
      </c>
      <c r="H140" s="38">
        <f>H121+SUM(H136:H139)</f>
        <v>278091.78999999998</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v>171720.12</v>
      </c>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f>272075.75</f>
        <v>272075.75</v>
      </c>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171720.12</v>
      </c>
      <c r="G147" s="38">
        <f>SUM(G145:G146)</f>
        <v>272075.75</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v>857181.61</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9719185.3200000003</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3941232.17</f>
        <v>3941232.17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f>635543.61</f>
        <v>635543.61</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f>59558.09</f>
        <v>59558.09</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3820463.57+287387.11</f>
        <v>4107850.6799999997</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4435272.67</f>
        <v>4435272.67</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267330.71000000002</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f>100504.21</f>
        <v>100504.21</v>
      </c>
      <c r="G161" s="18">
        <f>76230.78</f>
        <v>76230.78</v>
      </c>
      <c r="H161" s="18">
        <f>543251.96+20000-238492.06</f>
        <v>324759.89999999997</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35877323.29+238492.06</f>
        <v>36115815.350000001</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367834.92000000004</v>
      </c>
      <c r="G163" s="38">
        <f>SUM(G150:G162)</f>
        <v>4184081.4599999995</v>
      </c>
      <c r="H163" s="38">
        <f>SUM(H150:H162)</f>
        <v>56088548.719999999</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539555.04</v>
      </c>
      <c r="G170" s="38">
        <f>G147+G163+SUM(G164:G169)</f>
        <v>4456157.209999999</v>
      </c>
      <c r="H170" s="38">
        <f>H147+H163+SUM(H164:H169)</f>
        <v>56088548.719999999</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825000</v>
      </c>
      <c r="H180" s="18"/>
      <c r="I180" s="18"/>
      <c r="J180" s="18">
        <v>24490.01</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f>261326.67+1822.67</f>
        <v>263149.34000000003</v>
      </c>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263149.34000000003</v>
      </c>
      <c r="G184" s="38">
        <f>SUM(G180:G183)</f>
        <v>825000</v>
      </c>
      <c r="H184" s="38">
        <f>SUM(H180:H183)</f>
        <v>0</v>
      </c>
      <c r="I184" s="38">
        <f>SUM(I180:I183)</f>
        <v>0</v>
      </c>
      <c r="J184" s="38">
        <f>SUM(J180:J183)</f>
        <v>24490.01</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f>200000+3870098.06</f>
        <v>4070098.06</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4070098.06</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4333247.4000000004</v>
      </c>
      <c r="G193" s="38">
        <f>G184+SUM(G189:G192)</f>
        <v>825000</v>
      </c>
      <c r="H193" s="38">
        <f>+H184+SUM(H189:H192)</f>
        <v>0</v>
      </c>
      <c r="I193" s="38">
        <f>I178+I184+SUM(I189:I192)</f>
        <v>0</v>
      </c>
      <c r="J193" s="38">
        <f>J184</f>
        <v>24490.01</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228569401.47999999</v>
      </c>
      <c r="G194" s="38">
        <f>G112+G140+G170+G193</f>
        <v>6621523.3499999987</v>
      </c>
      <c r="H194" s="38">
        <f>H112+H140+H170+H193</f>
        <v>57182059.170000002</v>
      </c>
      <c r="I194" s="38">
        <f>I112+I140+I170+I193</f>
        <v>0</v>
      </c>
      <c r="J194" s="38">
        <f>J112+J140+J193</f>
        <v>1275305.96</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20001582.91+0.07+1822.67+0.2-0.01</f>
        <v>20003405.84</v>
      </c>
      <c r="G198" s="18">
        <v>10159272.710000001</v>
      </c>
      <c r="H198" s="18">
        <v>48543.96</v>
      </c>
      <c r="I198" s="18">
        <v>223785.48</v>
      </c>
      <c r="J198" s="18">
        <v>1910</v>
      </c>
      <c r="K198" s="18">
        <v>959.24</v>
      </c>
      <c r="L198" s="13">
        <f>SUM(F198:K198)</f>
        <v>30437877.23</v>
      </c>
      <c r="M198" s="8"/>
      <c r="N198" s="164"/>
    </row>
    <row r="199" spans="1:14" s="3" customFormat="1" ht="12.2" customHeight="1" x14ac:dyDescent="0.15">
      <c r="A199" s="1" t="s">
        <v>439</v>
      </c>
      <c r="B199" s="2" t="s">
        <v>341</v>
      </c>
      <c r="C199" s="2" t="s">
        <v>291</v>
      </c>
      <c r="D199" s="2" t="s">
        <v>431</v>
      </c>
      <c r="E199" s="6">
        <v>1200</v>
      </c>
      <c r="F199" s="18">
        <v>9714964.9499999993</v>
      </c>
      <c r="G199" s="18">
        <v>6436135.8700000001</v>
      </c>
      <c r="H199" s="18">
        <f>3685782.61-428328.1+0.02</f>
        <v>3257454.53</v>
      </c>
      <c r="I199" s="18">
        <f>65530.91-95</f>
        <v>65435.91</v>
      </c>
      <c r="J199" s="18">
        <v>2617.4899999999998</v>
      </c>
      <c r="K199" s="18">
        <v>3168.3</v>
      </c>
      <c r="L199" s="13">
        <f>SUM(F199:K199)</f>
        <v>19479777.050000001</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41044.379999999997</v>
      </c>
      <c r="G201" s="18">
        <v>10450.219999999999</v>
      </c>
      <c r="H201" s="18">
        <v>58939.27</v>
      </c>
      <c r="I201" s="18">
        <v>1293.3399999999999</v>
      </c>
      <c r="J201" s="18">
        <v>399.81</v>
      </c>
      <c r="K201" s="18">
        <v>24.25</v>
      </c>
      <c r="L201" s="13">
        <f>SUM(F201:K201)</f>
        <v>112151.26999999999</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3895557.19</v>
      </c>
      <c r="G203" s="18">
        <v>1990149.56</v>
      </c>
      <c r="H203" s="18">
        <f>2016437.51-21.56-13888.75</f>
        <v>2002527.2</v>
      </c>
      <c r="I203" s="18">
        <v>2932.67</v>
      </c>
      <c r="J203" s="18">
        <v>3469.35</v>
      </c>
      <c r="K203" s="18">
        <f>-21.56+21.56</f>
        <v>0</v>
      </c>
      <c r="L203" s="13">
        <f t="shared" ref="L203:L209" si="0">SUM(F203:K203)</f>
        <v>7894635.9699999997</v>
      </c>
      <c r="M203" s="8"/>
      <c r="N203" s="164"/>
    </row>
    <row r="204" spans="1:14" s="3" customFormat="1" ht="12.2" customHeight="1" x14ac:dyDescent="0.15">
      <c r="A204" s="1" t="s">
        <v>443</v>
      </c>
      <c r="B204" s="2" t="s">
        <v>341</v>
      </c>
      <c r="C204" s="2" t="s">
        <v>295</v>
      </c>
      <c r="D204" s="2" t="s">
        <v>431</v>
      </c>
      <c r="E204" s="6">
        <v>2200</v>
      </c>
      <c r="F204" s="18">
        <v>877256.37</v>
      </c>
      <c r="G204" s="18">
        <v>479139.74</v>
      </c>
      <c r="H204" s="18">
        <v>463.65</v>
      </c>
      <c r="I204" s="18">
        <v>30070.38</v>
      </c>
      <c r="J204" s="18">
        <v>0</v>
      </c>
      <c r="K204" s="18">
        <v>0</v>
      </c>
      <c r="L204" s="13">
        <f t="shared" si="0"/>
        <v>1386930.1399999997</v>
      </c>
      <c r="M204" s="8"/>
      <c r="N204" s="164"/>
    </row>
    <row r="205" spans="1:14" s="3" customFormat="1" ht="12.2" customHeight="1" x14ac:dyDescent="0.15">
      <c r="A205" s="1" t="s">
        <v>444</v>
      </c>
      <c r="B205" s="2" t="s">
        <v>341</v>
      </c>
      <c r="C205" s="2" t="s">
        <v>296</v>
      </c>
      <c r="D205" s="2" t="s">
        <v>431</v>
      </c>
      <c r="E205" s="6">
        <v>2300</v>
      </c>
      <c r="F205" s="18">
        <v>598304.64</v>
      </c>
      <c r="G205" s="18">
        <v>244868.88</v>
      </c>
      <c r="H205" s="18">
        <v>92864.45</v>
      </c>
      <c r="I205" s="18">
        <v>6737.99</v>
      </c>
      <c r="J205" s="18">
        <v>0</v>
      </c>
      <c r="K205" s="18">
        <v>3884.88</v>
      </c>
      <c r="L205" s="13">
        <f t="shared" si="0"/>
        <v>946660.84</v>
      </c>
      <c r="M205" s="8"/>
      <c r="N205" s="164"/>
    </row>
    <row r="206" spans="1:14" s="3" customFormat="1" ht="12.2" customHeight="1" x14ac:dyDescent="0.15">
      <c r="A206" s="1" t="s">
        <v>445</v>
      </c>
      <c r="B206" s="2" t="s">
        <v>341</v>
      </c>
      <c r="C206" s="2" t="s">
        <v>297</v>
      </c>
      <c r="D206" s="2" t="s">
        <v>431</v>
      </c>
      <c r="E206" s="6">
        <v>2400</v>
      </c>
      <c r="F206" s="18">
        <v>3425216.63</v>
      </c>
      <c r="G206" s="18">
        <v>1766782.5</v>
      </c>
      <c r="H206" s="18">
        <v>20775.21</v>
      </c>
      <c r="I206" s="18">
        <v>0</v>
      </c>
      <c r="J206" s="18">
        <v>0</v>
      </c>
      <c r="K206" s="18">
        <v>43.13</v>
      </c>
      <c r="L206" s="13">
        <f t="shared" si="0"/>
        <v>5212817.47</v>
      </c>
      <c r="M206" s="8"/>
      <c r="N206" s="164"/>
    </row>
    <row r="207" spans="1:14" s="3" customFormat="1" ht="12.2" customHeight="1" x14ac:dyDescent="0.15">
      <c r="A207" s="1" t="s">
        <v>446</v>
      </c>
      <c r="B207" s="2" t="s">
        <v>341</v>
      </c>
      <c r="C207" s="2" t="s">
        <v>298</v>
      </c>
      <c r="D207" s="2" t="s">
        <v>431</v>
      </c>
      <c r="E207" s="6">
        <v>2500</v>
      </c>
      <c r="F207" s="18">
        <v>311606.65999999997</v>
      </c>
      <c r="G207" s="18">
        <v>176552.16</v>
      </c>
      <c r="H207" s="18">
        <v>95157.8</v>
      </c>
      <c r="I207" s="18">
        <v>99990.7</v>
      </c>
      <c r="J207" s="18">
        <v>2497.4699999999998</v>
      </c>
      <c r="K207" s="18">
        <v>115.01</v>
      </c>
      <c r="L207" s="13">
        <f t="shared" si="0"/>
        <v>685919.79999999993</v>
      </c>
      <c r="M207" s="8"/>
      <c r="N207" s="164"/>
    </row>
    <row r="208" spans="1:14" s="3" customFormat="1" ht="12.2" customHeight="1" x14ac:dyDescent="0.15">
      <c r="A208" s="1" t="s">
        <v>447</v>
      </c>
      <c r="B208" s="2" t="s">
        <v>341</v>
      </c>
      <c r="C208" s="2" t="s">
        <v>299</v>
      </c>
      <c r="D208" s="2" t="s">
        <v>431</v>
      </c>
      <c r="E208" s="6">
        <v>2600</v>
      </c>
      <c r="F208" s="18">
        <v>111341.52</v>
      </c>
      <c r="G208" s="18">
        <v>8581.3700000000008</v>
      </c>
      <c r="H208" s="18">
        <f>2088243.04+183833</f>
        <v>2272076.04</v>
      </c>
      <c r="I208" s="18">
        <v>1070525.99</v>
      </c>
      <c r="J208" s="18">
        <v>7816.46</v>
      </c>
      <c r="K208" s="18">
        <v>115.01</v>
      </c>
      <c r="L208" s="13">
        <f t="shared" si="0"/>
        <v>3470456.3899999997</v>
      </c>
      <c r="M208" s="8"/>
      <c r="N208" s="164"/>
    </row>
    <row r="209" spans="1:14" s="3" customFormat="1" ht="12.2" customHeight="1" x14ac:dyDescent="0.15">
      <c r="A209" s="1" t="s">
        <v>448</v>
      </c>
      <c r="B209" s="2" t="s">
        <v>341</v>
      </c>
      <c r="C209" s="2" t="s">
        <v>300</v>
      </c>
      <c r="D209" s="2" t="s">
        <v>431</v>
      </c>
      <c r="E209" s="6">
        <v>2700</v>
      </c>
      <c r="F209" s="18">
        <v>34851.629999999997</v>
      </c>
      <c r="G209" s="18">
        <v>14259.37</v>
      </c>
      <c r="H209" s="18">
        <f>5702062.51-598802</f>
        <v>5103260.51</v>
      </c>
      <c r="I209" s="18">
        <v>388.2</v>
      </c>
      <c r="J209" s="18">
        <v>0</v>
      </c>
      <c r="K209" s="18">
        <v>96.32</v>
      </c>
      <c r="L209" s="13">
        <f t="shared" si="0"/>
        <v>5152856.03</v>
      </c>
      <c r="M209" s="8"/>
      <c r="N209" s="164"/>
    </row>
    <row r="210" spans="1:14" s="3" customFormat="1" ht="12.2" customHeight="1" x14ac:dyDescent="0.15">
      <c r="A210" s="1" t="s">
        <v>449</v>
      </c>
      <c r="B210" s="2" t="s">
        <v>341</v>
      </c>
      <c r="C210" s="2" t="s">
        <v>343</v>
      </c>
      <c r="D210" s="2" t="s">
        <v>431</v>
      </c>
      <c r="E210" s="6">
        <v>2800</v>
      </c>
      <c r="F210" s="18">
        <v>397975.55</v>
      </c>
      <c r="G210" s="18">
        <v>181953.42</v>
      </c>
      <c r="H210" s="18">
        <v>221678.16</v>
      </c>
      <c r="I210" s="18">
        <v>142934.35</v>
      </c>
      <c r="J210" s="18">
        <v>121378.93</v>
      </c>
      <c r="K210" s="18">
        <v>4168.68</v>
      </c>
      <c r="L210" s="13">
        <f>SUM(F210:K210)</f>
        <v>1070089.0899999999</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39411525.359999999</v>
      </c>
      <c r="G212" s="38">
        <f t="shared" si="1"/>
        <v>21468145.800000004</v>
      </c>
      <c r="H212" s="38">
        <f t="shared" si="1"/>
        <v>13173740.780000001</v>
      </c>
      <c r="I212" s="38">
        <f t="shared" si="1"/>
        <v>1644095.01</v>
      </c>
      <c r="J212" s="38">
        <f t="shared" si="1"/>
        <v>140089.50999999998</v>
      </c>
      <c r="K212" s="38">
        <f t="shared" si="1"/>
        <v>12574.82</v>
      </c>
      <c r="L212" s="38">
        <f t="shared" si="1"/>
        <v>75850171.280000001</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14976934.74</v>
      </c>
      <c r="G216" s="18">
        <v>8074289.0099999998</v>
      </c>
      <c r="H216" s="18">
        <v>31311.119999999999</v>
      </c>
      <c r="I216" s="18">
        <v>156989.96</v>
      </c>
      <c r="J216" s="18">
        <v>7805.6</v>
      </c>
      <c r="K216" s="18">
        <v>864.13</v>
      </c>
      <c r="L216" s="13">
        <f>SUM(F216:K216)</f>
        <v>23248194.560000002</v>
      </c>
      <c r="M216" s="8"/>
      <c r="N216" s="164"/>
    </row>
    <row r="217" spans="1:14" s="3" customFormat="1" ht="12.2" customHeight="1" x14ac:dyDescent="0.15">
      <c r="A217" s="1" t="s">
        <v>439</v>
      </c>
      <c r="B217" s="2" t="s">
        <v>346</v>
      </c>
      <c r="C217" s="2" t="s">
        <v>291</v>
      </c>
      <c r="D217" s="2" t="s">
        <v>431</v>
      </c>
      <c r="E217" s="6">
        <v>1200</v>
      </c>
      <c r="F217" s="18">
        <v>4956062.54</v>
      </c>
      <c r="G217" s="18">
        <v>2731099.99</v>
      </c>
      <c r="H217" s="18">
        <f>3377932.8-428328.1</f>
        <v>2949604.6999999997</v>
      </c>
      <c r="I217" s="18">
        <f>27878.7-95</f>
        <v>27783.7</v>
      </c>
      <c r="J217" s="18">
        <v>380.59</v>
      </c>
      <c r="K217" s="18">
        <v>1448.5</v>
      </c>
      <c r="L217" s="13">
        <f>SUM(F217:K217)</f>
        <v>10666380.02</v>
      </c>
      <c r="M217" s="8"/>
      <c r="N217" s="164"/>
    </row>
    <row r="218" spans="1:14" s="3" customFormat="1" ht="12.2" customHeight="1" x14ac:dyDescent="0.15">
      <c r="A218" s="1" t="s">
        <v>440</v>
      </c>
      <c r="B218" s="2" t="s">
        <v>346</v>
      </c>
      <c r="C218" s="2" t="s">
        <v>292</v>
      </c>
      <c r="D218" s="2" t="s">
        <v>431</v>
      </c>
      <c r="E218" s="6">
        <v>1300</v>
      </c>
      <c r="F218" s="18">
        <v>176027.34</v>
      </c>
      <c r="G218" s="18">
        <v>77502.83</v>
      </c>
      <c r="H218" s="18">
        <v>0</v>
      </c>
      <c r="I218" s="18">
        <v>5274.97</v>
      </c>
      <c r="J218" s="18">
        <v>0</v>
      </c>
      <c r="K218" s="18">
        <v>0</v>
      </c>
      <c r="L218" s="13">
        <f>SUM(F218:K218)</f>
        <v>258805.13999999998</v>
      </c>
      <c r="M218" s="8"/>
      <c r="N218" s="164"/>
    </row>
    <row r="219" spans="1:14" s="3" customFormat="1" ht="12.2" customHeight="1" x14ac:dyDescent="0.15">
      <c r="A219" s="1" t="s">
        <v>441</v>
      </c>
      <c r="B219" s="2" t="s">
        <v>346</v>
      </c>
      <c r="C219" s="2" t="s">
        <v>293</v>
      </c>
      <c r="D219" s="2" t="s">
        <v>431</v>
      </c>
      <c r="E219" s="6">
        <v>1400</v>
      </c>
      <c r="F219" s="18">
        <v>238833.68</v>
      </c>
      <c r="G219" s="18">
        <v>59372.69</v>
      </c>
      <c r="H219" s="18">
        <f>117181.26-33481.16</f>
        <v>83700.099999999991</v>
      </c>
      <c r="I219" s="18">
        <v>17600.78</v>
      </c>
      <c r="J219" s="18">
        <v>5776.54</v>
      </c>
      <c r="K219" s="18">
        <v>3463.35</v>
      </c>
      <c r="L219" s="13">
        <f>SUM(F219:K219)</f>
        <v>408747.13999999996</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1931714.16</v>
      </c>
      <c r="G221" s="18">
        <v>1028789.11</v>
      </c>
      <c r="H221" s="18">
        <f>1334408.2-13.81-13888.75</f>
        <v>1320505.6399999999</v>
      </c>
      <c r="I221" s="18">
        <v>1877.59</v>
      </c>
      <c r="J221" s="18">
        <v>2221.19</v>
      </c>
      <c r="K221" s="18">
        <f>-13.81+13.81</f>
        <v>0</v>
      </c>
      <c r="L221" s="13">
        <f t="shared" ref="L221:L227" si="2">SUM(F221:K221)</f>
        <v>4285107.6900000004</v>
      </c>
      <c r="M221" s="8"/>
      <c r="N221" s="164"/>
    </row>
    <row r="222" spans="1:14" s="3" customFormat="1" ht="12.2" customHeight="1" x14ac:dyDescent="0.15">
      <c r="A222" s="1" t="s">
        <v>443</v>
      </c>
      <c r="B222" s="2" t="s">
        <v>346</v>
      </c>
      <c r="C222" s="2" t="s">
        <v>295</v>
      </c>
      <c r="D222" s="2" t="s">
        <v>431</v>
      </c>
      <c r="E222" s="6">
        <v>2200</v>
      </c>
      <c r="F222" s="18">
        <v>313891.95</v>
      </c>
      <c r="G222" s="18">
        <v>240702.8</v>
      </c>
      <c r="H222" s="18">
        <v>296.85000000000002</v>
      </c>
      <c r="I222" s="18">
        <v>11011.59</v>
      </c>
      <c r="J222" s="18">
        <v>0</v>
      </c>
      <c r="K222" s="18">
        <v>0</v>
      </c>
      <c r="L222" s="13">
        <f t="shared" si="2"/>
        <v>565903.18999999994</v>
      </c>
      <c r="M222" s="8"/>
      <c r="N222" s="164"/>
    </row>
    <row r="223" spans="1:14" s="3" customFormat="1" ht="12.2" customHeight="1" x14ac:dyDescent="0.15">
      <c r="A223" s="1" t="s">
        <v>444</v>
      </c>
      <c r="B223" s="2" t="s">
        <v>346</v>
      </c>
      <c r="C223" s="2" t="s">
        <v>296</v>
      </c>
      <c r="D223" s="2" t="s">
        <v>431</v>
      </c>
      <c r="E223" s="6">
        <v>2300</v>
      </c>
      <c r="F223" s="18">
        <v>383054.81</v>
      </c>
      <c r="G223" s="18">
        <v>156773.32</v>
      </c>
      <c r="H223" s="18">
        <v>59454.95</v>
      </c>
      <c r="I223" s="18">
        <v>4313.8900000000003</v>
      </c>
      <c r="J223" s="18">
        <v>0</v>
      </c>
      <c r="K223" s="18">
        <v>2487.23</v>
      </c>
      <c r="L223" s="13">
        <f t="shared" si="2"/>
        <v>606084.19999999995</v>
      </c>
      <c r="M223" s="8"/>
      <c r="N223" s="164"/>
    </row>
    <row r="224" spans="1:14" s="3" customFormat="1" ht="12.2" customHeight="1" x14ac:dyDescent="0.15">
      <c r="A224" s="1" t="s">
        <v>445</v>
      </c>
      <c r="B224" s="2" t="s">
        <v>346</v>
      </c>
      <c r="C224" s="2" t="s">
        <v>297</v>
      </c>
      <c r="D224" s="2" t="s">
        <v>431</v>
      </c>
      <c r="E224" s="6">
        <v>2400</v>
      </c>
      <c r="F224" s="18">
        <v>1713370.6</v>
      </c>
      <c r="G224" s="18">
        <v>981874.28</v>
      </c>
      <c r="H224" s="18">
        <v>14510.7</v>
      </c>
      <c r="I224" s="18">
        <v>0</v>
      </c>
      <c r="J224" s="18">
        <v>0</v>
      </c>
      <c r="K224" s="18">
        <v>559.11</v>
      </c>
      <c r="L224" s="13">
        <f t="shared" si="2"/>
        <v>2710314.69</v>
      </c>
      <c r="M224" s="8"/>
      <c r="N224" s="164"/>
    </row>
    <row r="225" spans="1:14" s="3" customFormat="1" ht="12.2" customHeight="1" x14ac:dyDescent="0.15">
      <c r="A225" s="1" t="s">
        <v>446</v>
      </c>
      <c r="B225" s="2" t="s">
        <v>346</v>
      </c>
      <c r="C225" s="2" t="s">
        <v>298</v>
      </c>
      <c r="D225" s="2" t="s">
        <v>431</v>
      </c>
      <c r="E225" s="6">
        <v>2500</v>
      </c>
      <c r="F225" s="18">
        <v>199501.09</v>
      </c>
      <c r="G225" s="18">
        <v>113034.65</v>
      </c>
      <c r="H225" s="18">
        <v>59400.28</v>
      </c>
      <c r="I225" s="18">
        <v>64017.42</v>
      </c>
      <c r="J225" s="18">
        <v>1598.96</v>
      </c>
      <c r="K225" s="18">
        <v>73.63</v>
      </c>
      <c r="L225" s="13">
        <f t="shared" si="2"/>
        <v>437626.03</v>
      </c>
      <c r="M225" s="8"/>
      <c r="N225" s="164"/>
    </row>
    <row r="226" spans="1:14" s="3" customFormat="1" ht="12.2" customHeight="1" x14ac:dyDescent="0.15">
      <c r="A226" s="1" t="s">
        <v>447</v>
      </c>
      <c r="B226" s="2" t="s">
        <v>346</v>
      </c>
      <c r="C226" s="2" t="s">
        <v>299</v>
      </c>
      <c r="D226" s="2" t="s">
        <v>431</v>
      </c>
      <c r="E226" s="6">
        <v>2600</v>
      </c>
      <c r="F226" s="18">
        <v>215.14</v>
      </c>
      <c r="G226" s="18">
        <v>58.71</v>
      </c>
      <c r="H226" s="18">
        <f>1923320.67+117696</f>
        <v>2041016.67</v>
      </c>
      <c r="I226" s="18">
        <v>720049.04</v>
      </c>
      <c r="J226" s="18">
        <v>2173.8200000000002</v>
      </c>
      <c r="K226" s="18">
        <v>73.63</v>
      </c>
      <c r="L226" s="13">
        <f t="shared" si="2"/>
        <v>2763587.01</v>
      </c>
      <c r="M226" s="8"/>
      <c r="N226" s="164"/>
    </row>
    <row r="227" spans="1:14" s="3" customFormat="1" ht="12.2" customHeight="1" x14ac:dyDescent="0.15">
      <c r="A227" s="1" t="s">
        <v>448</v>
      </c>
      <c r="B227" s="2" t="s">
        <v>346</v>
      </c>
      <c r="C227" s="2" t="s">
        <v>300</v>
      </c>
      <c r="D227" s="2" t="s">
        <v>431</v>
      </c>
      <c r="E227" s="6">
        <v>2700</v>
      </c>
      <c r="F227" s="18">
        <v>22313.19</v>
      </c>
      <c r="G227" s="18">
        <v>9129.33</v>
      </c>
      <c r="H227" s="18">
        <f>2984127.02+33481.16-598802</f>
        <v>2418806.1800000002</v>
      </c>
      <c r="I227" s="18">
        <v>0</v>
      </c>
      <c r="J227" s="18">
        <v>0</v>
      </c>
      <c r="K227" s="18">
        <v>61.67</v>
      </c>
      <c r="L227" s="13">
        <f t="shared" si="2"/>
        <v>2450310.37</v>
      </c>
      <c r="M227" s="8"/>
      <c r="N227" s="164"/>
    </row>
    <row r="228" spans="1:14" s="3" customFormat="1" ht="12.2" customHeight="1" x14ac:dyDescent="0.15">
      <c r="A228" s="1" t="s">
        <v>449</v>
      </c>
      <c r="B228" s="2" t="s">
        <v>346</v>
      </c>
      <c r="C228" s="2" t="s">
        <v>343</v>
      </c>
      <c r="D228" s="2" t="s">
        <v>431</v>
      </c>
      <c r="E228" s="6">
        <v>2800</v>
      </c>
      <c r="F228" s="18">
        <v>254797.37</v>
      </c>
      <c r="G228" s="18">
        <v>116492.72</v>
      </c>
      <c r="H228" s="18">
        <v>141190.29999999999</v>
      </c>
      <c r="I228" s="18">
        <v>80284.55</v>
      </c>
      <c r="J228" s="18">
        <v>77806.880000000005</v>
      </c>
      <c r="K228" s="18">
        <v>2668.93</v>
      </c>
      <c r="L228" s="13">
        <f>SUM(F228:K228)</f>
        <v>673240.75</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25166716.610000003</v>
      </c>
      <c r="G230" s="38">
        <f>SUM(G216:G229)</f>
        <v>13589119.440000001</v>
      </c>
      <c r="H230" s="38">
        <f>SUM(H216:H229)</f>
        <v>9119797.4900000002</v>
      </c>
      <c r="I230" s="38">
        <f>SUM(I216:I229)</f>
        <v>1089203.49</v>
      </c>
      <c r="J230" s="38">
        <f>SUM(J216:J229)</f>
        <v>97763.58</v>
      </c>
      <c r="K230" s="38">
        <f t="shared" si="3"/>
        <v>11700.179999999998</v>
      </c>
      <c r="L230" s="38">
        <f t="shared" si="3"/>
        <v>49074300.789999992</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14015957.24</v>
      </c>
      <c r="G234" s="18">
        <v>7767281.2300000004</v>
      </c>
      <c r="H234" s="18">
        <f>78521.08-4013.23</f>
        <v>74507.850000000006</v>
      </c>
      <c r="I234" s="18">
        <v>227366.25</v>
      </c>
      <c r="J234" s="18">
        <v>4452.09</v>
      </c>
      <c r="K234" s="18">
        <v>10328.44</v>
      </c>
      <c r="L234" s="13">
        <f>SUM(F234:K234)</f>
        <v>22099893.100000001</v>
      </c>
      <c r="M234" s="8"/>
      <c r="N234" s="164"/>
    </row>
    <row r="235" spans="1:14" s="3" customFormat="1" ht="12.2" customHeight="1" x14ac:dyDescent="0.15">
      <c r="A235" s="1" t="s">
        <v>439</v>
      </c>
      <c r="B235" s="2" t="s">
        <v>350</v>
      </c>
      <c r="C235" s="2" t="s">
        <v>291</v>
      </c>
      <c r="D235" s="2" t="s">
        <v>431</v>
      </c>
      <c r="E235" s="6">
        <v>1200</v>
      </c>
      <c r="F235" s="18">
        <v>4109318.26</v>
      </c>
      <c r="G235" s="18">
        <v>2336177.98</v>
      </c>
      <c r="H235" s="18">
        <v>4963877.2300000004</v>
      </c>
      <c r="I235" s="18">
        <v>47384.01</v>
      </c>
      <c r="J235" s="18">
        <v>1677.97</v>
      </c>
      <c r="K235" s="18">
        <v>2022.95</v>
      </c>
      <c r="L235" s="13">
        <f>SUM(F235:K235)</f>
        <v>11460458.4</v>
      </c>
      <c r="M235" s="8"/>
      <c r="N235" s="164"/>
    </row>
    <row r="236" spans="1:14" s="3" customFormat="1" ht="12.2" customHeight="1" x14ac:dyDescent="0.15">
      <c r="A236" s="1" t="s">
        <v>440</v>
      </c>
      <c r="B236" s="2" t="s">
        <v>350</v>
      </c>
      <c r="C236" s="2" t="s">
        <v>292</v>
      </c>
      <c r="D236" s="2" t="s">
        <v>431</v>
      </c>
      <c r="E236" s="6">
        <v>1300</v>
      </c>
      <c r="F236" s="18">
        <v>1576157.23</v>
      </c>
      <c r="G236" s="18">
        <v>815053.34</v>
      </c>
      <c r="H236" s="18">
        <v>6237.7</v>
      </c>
      <c r="I236" s="18">
        <v>0</v>
      </c>
      <c r="J236" s="18">
        <v>0</v>
      </c>
      <c r="K236" s="18">
        <v>0</v>
      </c>
      <c r="L236" s="13">
        <f>SUM(F236:K236)</f>
        <v>2397448.27</v>
      </c>
      <c r="M236" s="8"/>
      <c r="N236" s="164"/>
    </row>
    <row r="237" spans="1:14" s="3" customFormat="1" ht="12.2" customHeight="1" x14ac:dyDescent="0.15">
      <c r="A237" s="1" t="s">
        <v>441</v>
      </c>
      <c r="B237" s="2" t="s">
        <v>350</v>
      </c>
      <c r="C237" s="2" t="s">
        <v>293</v>
      </c>
      <c r="D237" s="2" t="s">
        <v>431</v>
      </c>
      <c r="E237" s="6">
        <v>1400</v>
      </c>
      <c r="F237" s="18">
        <v>879356.6</v>
      </c>
      <c r="G237" s="18">
        <v>233128.39</v>
      </c>
      <c r="H237" s="18">
        <f>507747.91-137641.96</f>
        <v>370105.94999999995</v>
      </c>
      <c r="I237" s="18">
        <v>188962.89</v>
      </c>
      <c r="J237" s="18">
        <v>34973.89</v>
      </c>
      <c r="K237" s="18">
        <v>71322.399999999994</v>
      </c>
      <c r="L237" s="13">
        <f>SUM(F237:K237)</f>
        <v>1777850.1199999999</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2155734.23</v>
      </c>
      <c r="G239" s="18">
        <v>1182389.75</v>
      </c>
      <c r="H239" s="18">
        <f>1554406.22-24.63</f>
        <v>1554381.59</v>
      </c>
      <c r="I239" s="18">
        <v>3349.64</v>
      </c>
      <c r="J239" s="18">
        <v>3962.63</v>
      </c>
      <c r="K239" s="18">
        <f>-24.63+24.63</f>
        <v>0</v>
      </c>
      <c r="L239" s="13">
        <f t="shared" ref="L239:L245" si="4">SUM(F239:K239)</f>
        <v>4899817.84</v>
      </c>
      <c r="M239" s="8"/>
      <c r="N239" s="164"/>
    </row>
    <row r="240" spans="1:14" s="3" customFormat="1" ht="12.2" customHeight="1" x14ac:dyDescent="0.15">
      <c r="A240" s="1" t="s">
        <v>443</v>
      </c>
      <c r="B240" s="2" t="s">
        <v>350</v>
      </c>
      <c r="C240" s="2" t="s">
        <v>295</v>
      </c>
      <c r="D240" s="2" t="s">
        <v>431</v>
      </c>
      <c r="E240" s="6">
        <v>2200</v>
      </c>
      <c r="F240" s="18">
        <v>319420.21000000002</v>
      </c>
      <c r="G240" s="18">
        <v>250352.1</v>
      </c>
      <c r="H240" s="18">
        <v>822.07</v>
      </c>
      <c r="I240" s="18">
        <v>46922.01</v>
      </c>
      <c r="J240" s="18">
        <v>0</v>
      </c>
      <c r="K240" s="18">
        <v>0</v>
      </c>
      <c r="L240" s="13">
        <f t="shared" si="4"/>
        <v>617516.39</v>
      </c>
      <c r="M240" s="8"/>
      <c r="N240" s="164"/>
    </row>
    <row r="241" spans="1:14" s="3" customFormat="1" ht="12.2" customHeight="1" x14ac:dyDescent="0.15">
      <c r="A241" s="1" t="s">
        <v>444</v>
      </c>
      <c r="B241" s="2" t="s">
        <v>350</v>
      </c>
      <c r="C241" s="2" t="s">
        <v>296</v>
      </c>
      <c r="D241" s="2" t="s">
        <v>431</v>
      </c>
      <c r="E241" s="6">
        <v>2300</v>
      </c>
      <c r="F241" s="18">
        <v>683372.44</v>
      </c>
      <c r="G241" s="18">
        <v>279684.69</v>
      </c>
      <c r="H241" s="18">
        <v>106068.04</v>
      </c>
      <c r="I241" s="18">
        <v>7696</v>
      </c>
      <c r="J241" s="18">
        <v>0</v>
      </c>
      <c r="K241" s="18">
        <v>4437.24</v>
      </c>
      <c r="L241" s="13">
        <f t="shared" si="4"/>
        <v>1081258.4099999999</v>
      </c>
      <c r="M241" s="8"/>
      <c r="N241" s="164"/>
    </row>
    <row r="242" spans="1:14" s="3" customFormat="1" ht="12.2" customHeight="1" x14ac:dyDescent="0.15">
      <c r="A242" s="1" t="s">
        <v>445</v>
      </c>
      <c r="B242" s="2" t="s">
        <v>350</v>
      </c>
      <c r="C242" s="2" t="s">
        <v>297</v>
      </c>
      <c r="D242" s="2" t="s">
        <v>431</v>
      </c>
      <c r="E242" s="6">
        <v>2400</v>
      </c>
      <c r="F242" s="18">
        <v>2343037.44</v>
      </c>
      <c r="G242" s="18">
        <v>1304633.18</v>
      </c>
      <c r="H242" s="18">
        <v>9890.18</v>
      </c>
      <c r="I242" s="18">
        <v>439.91</v>
      </c>
      <c r="J242" s="18">
        <v>0</v>
      </c>
      <c r="K242" s="18">
        <v>23894.98</v>
      </c>
      <c r="L242" s="13">
        <f t="shared" si="4"/>
        <v>3681895.6900000004</v>
      </c>
      <c r="M242" s="8"/>
      <c r="N242" s="164"/>
    </row>
    <row r="243" spans="1:14" s="3" customFormat="1" ht="12.2" customHeight="1" x14ac:dyDescent="0.15">
      <c r="A243" s="1" t="s">
        <v>446</v>
      </c>
      <c r="B243" s="2" t="s">
        <v>350</v>
      </c>
      <c r="C243" s="2" t="s">
        <v>298</v>
      </c>
      <c r="D243" s="2" t="s">
        <v>431</v>
      </c>
      <c r="E243" s="6">
        <v>2500</v>
      </c>
      <c r="F243" s="18">
        <v>355911.33</v>
      </c>
      <c r="G243" s="18">
        <v>201654.6</v>
      </c>
      <c r="H243" s="18">
        <v>109967.92</v>
      </c>
      <c r="I243" s="18">
        <v>114207.52</v>
      </c>
      <c r="J243" s="18">
        <v>2852.56</v>
      </c>
      <c r="K243" s="18">
        <v>131.36000000000001</v>
      </c>
      <c r="L243" s="13">
        <f t="shared" si="4"/>
        <v>784725.29000000015</v>
      </c>
      <c r="M243" s="8"/>
      <c r="N243" s="164"/>
    </row>
    <row r="244" spans="1:14" s="3" customFormat="1" ht="12.2" customHeight="1" x14ac:dyDescent="0.15">
      <c r="A244" s="1" t="s">
        <v>447</v>
      </c>
      <c r="B244" s="2" t="s">
        <v>350</v>
      </c>
      <c r="C244" s="2" t="s">
        <v>299</v>
      </c>
      <c r="D244" s="2" t="s">
        <v>431</v>
      </c>
      <c r="E244" s="6">
        <v>2600</v>
      </c>
      <c r="F244" s="18">
        <v>383.82</v>
      </c>
      <c r="G244" s="18">
        <v>104.74</v>
      </c>
      <c r="H244" s="18">
        <f>5600795.7+209971</f>
        <v>5810766.7000000002</v>
      </c>
      <c r="I244" s="18">
        <v>1420603.03</v>
      </c>
      <c r="J244" s="18">
        <v>6739.72</v>
      </c>
      <c r="K244" s="18">
        <v>131.36000000000001</v>
      </c>
      <c r="L244" s="13">
        <f t="shared" si="4"/>
        <v>7238729.3700000001</v>
      </c>
      <c r="M244" s="8"/>
      <c r="N244" s="164"/>
    </row>
    <row r="245" spans="1:14" s="3" customFormat="1" ht="12.2" customHeight="1" x14ac:dyDescent="0.15">
      <c r="A245" s="1" t="s">
        <v>448</v>
      </c>
      <c r="B245" s="2" t="s">
        <v>350</v>
      </c>
      <c r="C245" s="2" t="s">
        <v>300</v>
      </c>
      <c r="D245" s="2" t="s">
        <v>431</v>
      </c>
      <c r="E245" s="6">
        <v>2700</v>
      </c>
      <c r="F245" s="18">
        <v>39806.89</v>
      </c>
      <c r="G245" s="18">
        <v>16286.79</v>
      </c>
      <c r="H245" s="18">
        <f>3272633.75+137641.96+4013.23</f>
        <v>3414288.94</v>
      </c>
      <c r="I245" s="18">
        <v>0</v>
      </c>
      <c r="J245" s="18">
        <v>0</v>
      </c>
      <c r="K245" s="18">
        <v>110.01</v>
      </c>
      <c r="L245" s="13">
        <f t="shared" si="4"/>
        <v>3470492.63</v>
      </c>
      <c r="M245" s="8"/>
      <c r="N245" s="164"/>
    </row>
    <row r="246" spans="1:14" s="3" customFormat="1" ht="12.2" customHeight="1" x14ac:dyDescent="0.15">
      <c r="A246" s="1" t="s">
        <v>449</v>
      </c>
      <c r="B246" s="2" t="s">
        <v>350</v>
      </c>
      <c r="C246" s="2" t="s">
        <v>343</v>
      </c>
      <c r="D246" s="2" t="s">
        <v>431</v>
      </c>
      <c r="E246" s="6">
        <v>2800</v>
      </c>
      <c r="F246" s="18">
        <v>454560.27</v>
      </c>
      <c r="G246" s="18">
        <v>207823.82</v>
      </c>
      <c r="H246" s="18">
        <v>246746.99</v>
      </c>
      <c r="I246" s="18">
        <v>143160.17000000001</v>
      </c>
      <c r="J246" s="18">
        <v>138636.76</v>
      </c>
      <c r="K246" s="18">
        <v>4761.3900000000003</v>
      </c>
      <c r="L246" s="13">
        <f>SUM(F246:K246)</f>
        <v>1195689.3999999999</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26933015.960000005</v>
      </c>
      <c r="G248" s="38">
        <f t="shared" si="5"/>
        <v>14594570.609999999</v>
      </c>
      <c r="H248" s="38">
        <f t="shared" si="5"/>
        <v>16667661.16</v>
      </c>
      <c r="I248" s="38">
        <f t="shared" si="5"/>
        <v>2200091.4300000002</v>
      </c>
      <c r="J248" s="38">
        <f t="shared" si="5"/>
        <v>193295.62</v>
      </c>
      <c r="K248" s="38">
        <f t="shared" si="5"/>
        <v>117140.12999999999</v>
      </c>
      <c r="L248" s="38">
        <f t="shared" si="5"/>
        <v>60705774.909999996</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f>99426.09+6442.5</f>
        <v>105868.59</v>
      </c>
      <c r="G252" s="18">
        <f>28988.94+167.24+1168.93</f>
        <v>30325.11</v>
      </c>
      <c r="H252" s="18">
        <f>1220+1999.5+1667.71+1324.18</f>
        <v>6211.39</v>
      </c>
      <c r="I252" s="18">
        <f>787.67</f>
        <v>787.67</v>
      </c>
      <c r="J252" s="18"/>
      <c r="K252" s="18"/>
      <c r="L252" s="13">
        <f t="shared" si="6"/>
        <v>143192.76000000004</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20000000</v>
      </c>
      <c r="I256" s="18"/>
      <c r="J256" s="18"/>
      <c r="K256" s="18"/>
      <c r="L256" s="13">
        <f t="shared" si="6"/>
        <v>20000000</v>
      </c>
      <c r="M256" s="8"/>
      <c r="N256" s="164"/>
    </row>
    <row r="257" spans="1:14" s="3" customFormat="1" ht="12.2" customHeight="1" thickTop="1" thickBot="1" x14ac:dyDescent="0.2">
      <c r="A257" s="35" t="s">
        <v>461</v>
      </c>
      <c r="B257" s="37">
        <v>10</v>
      </c>
      <c r="C257" s="37">
        <v>7</v>
      </c>
      <c r="D257" s="36" t="s">
        <v>431</v>
      </c>
      <c r="E257" s="37"/>
      <c r="F257" s="38">
        <f t="shared" ref="F257:K257" si="7">SUM(F251:F256)</f>
        <v>105868.59</v>
      </c>
      <c r="G257" s="38">
        <f t="shared" si="7"/>
        <v>30325.11</v>
      </c>
      <c r="H257" s="38">
        <f t="shared" si="7"/>
        <v>20006211.390000001</v>
      </c>
      <c r="I257" s="38">
        <f t="shared" si="7"/>
        <v>787.67</v>
      </c>
      <c r="J257" s="38">
        <f t="shared" si="7"/>
        <v>0</v>
      </c>
      <c r="K257" s="38">
        <f t="shared" si="7"/>
        <v>0</v>
      </c>
      <c r="L257" s="38">
        <f>SUM(F257:K257)</f>
        <v>20143192.760000002</v>
      </c>
      <c r="M257" s="8"/>
      <c r="N257" s="164"/>
    </row>
    <row r="258" spans="1:14" s="3" customFormat="1" ht="12.2" customHeight="1" thickTop="1" x14ac:dyDescent="0.15">
      <c r="A258" s="35" t="s">
        <v>462</v>
      </c>
      <c r="B258" s="37">
        <v>10</v>
      </c>
      <c r="C258" s="37">
        <v>8</v>
      </c>
      <c r="D258" s="36" t="s">
        <v>431</v>
      </c>
      <c r="E258" s="37"/>
      <c r="F258" s="38">
        <f t="shared" ref="F258:L258" si="8">F212+F230+F248+F257</f>
        <v>91617126.520000011</v>
      </c>
      <c r="G258" s="38">
        <f t="shared" si="8"/>
        <v>49682160.960000008</v>
      </c>
      <c r="H258" s="38">
        <f t="shared" si="8"/>
        <v>58967410.820000008</v>
      </c>
      <c r="I258" s="38">
        <f t="shared" si="8"/>
        <v>4934177.5999999996</v>
      </c>
      <c r="J258" s="38">
        <f t="shared" si="8"/>
        <v>431148.70999999996</v>
      </c>
      <c r="K258" s="38">
        <f t="shared" si="8"/>
        <v>141415.13</v>
      </c>
      <c r="L258" s="38">
        <f t="shared" si="8"/>
        <v>205773439.73999998</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f>8770617.55+130000</f>
        <v>8900617.5500000007</v>
      </c>
      <c r="L261" s="13">
        <f>SUM(F261:K261)</f>
        <v>8900617.5500000007</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f>2700235.4-130000</f>
        <v>2570235.4</v>
      </c>
      <c r="L262" s="13">
        <f>SUM(F262:K262)</f>
        <v>2570235.4</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825000</v>
      </c>
      <c r="L264" s="13">
        <f>SUM(F264:K264)</f>
        <v>825000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24490.01</v>
      </c>
      <c r="L267" s="13">
        <f t="shared" si="9"/>
        <v>24490.01</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f>1197604+884623.68</f>
        <v>2082227.6800000002</v>
      </c>
      <c r="L269" s="13">
        <f t="shared" si="9"/>
        <v>2082227.6800000002</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14402570.640000001</v>
      </c>
      <c r="L271" s="38">
        <f t="shared" si="9"/>
        <v>14402570.640000001</v>
      </c>
      <c r="M271" s="8"/>
      <c r="N271" s="164"/>
    </row>
    <row r="272" spans="1:14" s="33" customFormat="1" ht="12.2" customHeight="1" thickTop="1" x14ac:dyDescent="0.2">
      <c r="A272" s="40" t="s">
        <v>464</v>
      </c>
      <c r="B272" s="37">
        <v>10</v>
      </c>
      <c r="C272" s="37">
        <v>18</v>
      </c>
      <c r="D272" s="36" t="s">
        <v>431</v>
      </c>
      <c r="E272" s="37"/>
      <c r="F272" s="39">
        <f t="shared" ref="F272:L272" si="11">F258+F271</f>
        <v>91617126.520000011</v>
      </c>
      <c r="G272" s="39">
        <f t="shared" si="11"/>
        <v>49682160.960000008</v>
      </c>
      <c r="H272" s="39">
        <f t="shared" si="11"/>
        <v>58967410.820000008</v>
      </c>
      <c r="I272" s="39">
        <f t="shared" si="11"/>
        <v>4934177.5999999996</v>
      </c>
      <c r="J272" s="39">
        <f t="shared" si="11"/>
        <v>431148.70999999996</v>
      </c>
      <c r="K272" s="39">
        <f t="shared" si="11"/>
        <v>14543985.770000001</v>
      </c>
      <c r="L272" s="39">
        <f t="shared" si="11"/>
        <v>220176010.38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4801518.87+149722.23-0.01+601103.17</f>
        <v>5552344.2600000007</v>
      </c>
      <c r="G277" s="18">
        <f>2388007.02+30266.65+112498.21+307220.91</f>
        <v>2837992.79</v>
      </c>
      <c r="H277" s="18">
        <f>184638.17+39+9404+3511.87+272+3584.95+67460.28+62840.72+18506.34</f>
        <v>350257.33</v>
      </c>
      <c r="I277" s="18">
        <f>399224.76+150738.72+278663.89+9228.61+6855.71</f>
        <v>844711.69</v>
      </c>
      <c r="J277" s="18">
        <f>63650.85+14777.29+98390.11+65718.17+2546.04</f>
        <v>245082.46</v>
      </c>
      <c r="K277" s="18">
        <f>200</f>
        <v>200</v>
      </c>
      <c r="L277" s="13">
        <f>SUM(F277:K277)</f>
        <v>9830588.5300000012</v>
      </c>
      <c r="M277" s="8"/>
      <c r="N277" s="164"/>
    </row>
    <row r="278" spans="1:14" s="3" customFormat="1" ht="12.2" customHeight="1" x14ac:dyDescent="0.15">
      <c r="A278" s="1" t="s">
        <v>439</v>
      </c>
      <c r="B278" s="2" t="s">
        <v>357</v>
      </c>
      <c r="C278" s="2" t="s">
        <v>291</v>
      </c>
      <c r="D278" s="2" t="s">
        <v>431</v>
      </c>
      <c r="E278" s="6">
        <v>1200</v>
      </c>
      <c r="F278" s="18">
        <f>1377405.38+601103.17-4042.5+9800+159533.47-601103.17</f>
        <v>1542696.35</v>
      </c>
      <c r="G278" s="18">
        <f>750078.41+307220.91+2924.77+89333.89-307220.91</f>
        <v>842337.07000000007</v>
      </c>
      <c r="H278" s="18">
        <f>62840.72+18506.34+114165+32142.51+1850892.18-62840.72-18506.34</f>
        <v>1997199.69</v>
      </c>
      <c r="I278" s="18">
        <f>15816.08+13012+9228.61+6855.71+12894.7+52833.12-9228.61-6855.71</f>
        <v>94555.9</v>
      </c>
      <c r="J278" s="18">
        <f>22800+8268.19+65718.17+2546.04+16982.2+4331.99-65718.17-2546.04</f>
        <v>52382.38</v>
      </c>
      <c r="K278" s="18">
        <f>5215.18</f>
        <v>5215.18</v>
      </c>
      <c r="L278" s="13">
        <f>SUM(F278:K278)</f>
        <v>4534386.5699999994</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f>675+99453.36+1128366.92+176.36</f>
        <v>1228671.6400000001</v>
      </c>
      <c r="G280" s="18">
        <f>184.21+19282.01+351781.18+73.4</f>
        <v>371320.8</v>
      </c>
      <c r="H280" s="18">
        <f>18377.97+266182.69</f>
        <v>284560.66000000003</v>
      </c>
      <c r="I280" s="18">
        <f>350+76782.55+40674.95+208050</f>
        <v>325857.5</v>
      </c>
      <c r="J280" s="18">
        <v>0</v>
      </c>
      <c r="K280" s="18">
        <f>6120+1736.86</f>
        <v>7856.86</v>
      </c>
      <c r="L280" s="13">
        <f>SUM(F280:K280)</f>
        <v>2218267.46</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f>46454.18+263217+64359.78</f>
        <v>374030.95999999996</v>
      </c>
      <c r="G282" s="18">
        <f>23362.18+92033.85+28428.76</f>
        <v>143824.79</v>
      </c>
      <c r="H282" s="18">
        <f>45310.56+16450.29+166728.25</f>
        <v>228489.1</v>
      </c>
      <c r="I282" s="18">
        <f>19106.7</f>
        <v>19106.7</v>
      </c>
      <c r="J282" s="18">
        <v>0</v>
      </c>
      <c r="K282" s="18">
        <f>674.34</f>
        <v>674.34</v>
      </c>
      <c r="L282" s="13">
        <f t="shared" ref="L282:L288" si="12">SUM(F282:K282)</f>
        <v>766125.8899999999</v>
      </c>
      <c r="M282" s="8"/>
      <c r="N282" s="164"/>
    </row>
    <row r="283" spans="1:14" s="3" customFormat="1" ht="12.2" customHeight="1" x14ac:dyDescent="0.15">
      <c r="A283" s="1" t="s">
        <v>443</v>
      </c>
      <c r="B283" s="2" t="s">
        <v>357</v>
      </c>
      <c r="C283" s="2" t="s">
        <v>295</v>
      </c>
      <c r="D283" s="2" t="s">
        <v>431</v>
      </c>
      <c r="E283" s="6">
        <v>2200</v>
      </c>
      <c r="F283" s="18">
        <f>3080+532153.35+104902.2+19188.82+468825.32</f>
        <v>1128149.69</v>
      </c>
      <c r="G283" s="18">
        <f>840.54+143378.78+39918.91+5177.5+262528.82</f>
        <v>451844.55000000005</v>
      </c>
      <c r="H283" s="18">
        <f>23400+961.42+47915+211017.43</f>
        <v>283293.84999999998</v>
      </c>
      <c r="I283" s="18">
        <f>551.67+13610.2+6606.97+75297.32</f>
        <v>96066.16</v>
      </c>
      <c r="J283" s="18">
        <f>6067</f>
        <v>6067</v>
      </c>
      <c r="K283" s="18">
        <f>7051.31</f>
        <v>7051.31</v>
      </c>
      <c r="L283" s="13">
        <f t="shared" si="12"/>
        <v>1972472.5599999998</v>
      </c>
      <c r="M283" s="8"/>
      <c r="N283" s="164"/>
    </row>
    <row r="284" spans="1:14" s="3" customFormat="1" ht="12.2" customHeight="1" x14ac:dyDescent="0.15">
      <c r="A284" s="1" t="s">
        <v>444</v>
      </c>
      <c r="B284" s="2" t="s">
        <v>357</v>
      </c>
      <c r="C284" s="2" t="s">
        <v>296</v>
      </c>
      <c r="D284" s="2" t="s">
        <v>431</v>
      </c>
      <c r="E284" s="6">
        <v>2300</v>
      </c>
      <c r="F284" s="18">
        <f>268124.7</f>
        <v>268124.7</v>
      </c>
      <c r="G284" s="18">
        <f>158283.01</f>
        <v>158283.01</v>
      </c>
      <c r="H284" s="18">
        <f>31821.66+11303.6-981.58</f>
        <v>42143.68</v>
      </c>
      <c r="I284" s="18">
        <f>8481</f>
        <v>8481</v>
      </c>
      <c r="J284" s="18">
        <f>851.4</f>
        <v>851.4</v>
      </c>
      <c r="K284" s="18"/>
      <c r="L284" s="13">
        <f t="shared" si="12"/>
        <v>477883.79000000004</v>
      </c>
      <c r="M284" s="8"/>
      <c r="N284" s="164"/>
    </row>
    <row r="285" spans="1:14" s="3" customFormat="1" ht="12.2" customHeight="1" x14ac:dyDescent="0.15">
      <c r="A285" s="1" t="s">
        <v>445</v>
      </c>
      <c r="B285" s="2" t="s">
        <v>357</v>
      </c>
      <c r="C285" s="2" t="s">
        <v>297</v>
      </c>
      <c r="D285" s="2" t="s">
        <v>431</v>
      </c>
      <c r="E285" s="6">
        <v>2400</v>
      </c>
      <c r="F285" s="18">
        <f>1935.96</f>
        <v>1935.96</v>
      </c>
      <c r="G285" s="18">
        <f>1458.5</f>
        <v>1458.5</v>
      </c>
      <c r="H285" s="18">
        <f>471.92+31693.61</f>
        <v>32165.53</v>
      </c>
      <c r="I285" s="18">
        <f>4943.41</f>
        <v>4943.41</v>
      </c>
      <c r="J285" s="18"/>
      <c r="K285" s="18"/>
      <c r="L285" s="13">
        <f t="shared" si="12"/>
        <v>40503.399999999994</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f>299719.12</f>
        <v>299719.12</v>
      </c>
      <c r="I287" s="18">
        <f>135417.93</f>
        <v>135417.93</v>
      </c>
      <c r="J287" s="18">
        <f>5958907.3+1776+13230+780+0.01</f>
        <v>5974693.3099999996</v>
      </c>
      <c r="K287" s="18"/>
      <c r="L287" s="13">
        <f t="shared" si="12"/>
        <v>6409830.3599999994</v>
      </c>
      <c r="M287" s="8"/>
      <c r="N287" s="164"/>
    </row>
    <row r="288" spans="1:14" s="3" customFormat="1" ht="12.2" customHeight="1" x14ac:dyDescent="0.15">
      <c r="A288" s="1" t="s">
        <v>448</v>
      </c>
      <c r="B288" s="2" t="s">
        <v>357</v>
      </c>
      <c r="C288" s="2" t="s">
        <v>300</v>
      </c>
      <c r="D288" s="2" t="s">
        <v>431</v>
      </c>
      <c r="E288" s="6">
        <v>2700</v>
      </c>
      <c r="F288" s="18"/>
      <c r="G288" s="18"/>
      <c r="H288" s="18">
        <f>303499.03+1858787.5</f>
        <v>2162286.5300000003</v>
      </c>
      <c r="I288" s="18"/>
      <c r="J288" s="18"/>
      <c r="K288" s="18"/>
      <c r="L288" s="13">
        <f t="shared" si="12"/>
        <v>2162286.5300000003</v>
      </c>
      <c r="M288" s="8"/>
      <c r="N288" s="164"/>
    </row>
    <row r="289" spans="1:14" s="3" customFormat="1" ht="12.2" customHeight="1" x14ac:dyDescent="0.15">
      <c r="A289" s="1" t="s">
        <v>449</v>
      </c>
      <c r="B289" s="2" t="s">
        <v>357</v>
      </c>
      <c r="C289" s="2" t="s">
        <v>343</v>
      </c>
      <c r="D289" s="2" t="s">
        <v>431</v>
      </c>
      <c r="E289" s="6">
        <v>2800</v>
      </c>
      <c r="F289" s="18">
        <f>44500+51486.29</f>
        <v>95986.290000000008</v>
      </c>
      <c r="G289" s="18">
        <f>12611.04+30225.45</f>
        <v>42836.490000000005</v>
      </c>
      <c r="H289" s="18"/>
      <c r="I289" s="18">
        <f>979.66</f>
        <v>979.66</v>
      </c>
      <c r="J289" s="18"/>
      <c r="K289" s="18"/>
      <c r="L289" s="13">
        <f>SUM(F289:K289)</f>
        <v>139802.44000000003</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10191939.85</v>
      </c>
      <c r="G291" s="39">
        <f t="shared" si="13"/>
        <v>4849898</v>
      </c>
      <c r="H291" s="39">
        <f t="shared" si="13"/>
        <v>5680115.4900000002</v>
      </c>
      <c r="I291" s="39">
        <f t="shared" si="13"/>
        <v>1530119.9499999995</v>
      </c>
      <c r="J291" s="39">
        <f t="shared" si="13"/>
        <v>6279076.5499999998</v>
      </c>
      <c r="K291" s="39">
        <f t="shared" si="13"/>
        <v>20997.690000000002</v>
      </c>
      <c r="L291" s="38">
        <f t="shared" si="13"/>
        <v>28552147.530000001</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f>1167019.19+7527.48</f>
        <v>1174546.67</v>
      </c>
      <c r="G296" s="18">
        <f>549111.76+68.28+36342.03</f>
        <v>585522.07000000007</v>
      </c>
      <c r="H296" s="18">
        <f>1002.7+50443.48</f>
        <v>51446.18</v>
      </c>
      <c r="I296" s="18">
        <f>2492.17+250969.65</f>
        <v>253461.82</v>
      </c>
      <c r="J296" s="18">
        <f>32506+97814.77</f>
        <v>130320.77</v>
      </c>
      <c r="K296" s="18"/>
      <c r="L296" s="13">
        <f>SUM(F296:K296)</f>
        <v>2195297.5099999998</v>
      </c>
      <c r="M296" s="8"/>
      <c r="N296" s="164"/>
    </row>
    <row r="297" spans="1:14" s="3" customFormat="1" ht="12.2" customHeight="1" x14ac:dyDescent="0.15">
      <c r="A297" s="1" t="s">
        <v>439</v>
      </c>
      <c r="B297" s="2" t="s">
        <v>358</v>
      </c>
      <c r="C297" s="2" t="s">
        <v>291</v>
      </c>
      <c r="D297" s="2" t="s">
        <v>431</v>
      </c>
      <c r="E297" s="6">
        <v>1200</v>
      </c>
      <c r="F297" s="18">
        <f>863312.68+174796.6+135656.24</f>
        <v>1173765.52</v>
      </c>
      <c r="G297" s="18">
        <f>459725.4+69088.69+77393.54</f>
        <v>606207.63000000012</v>
      </c>
      <c r="H297" s="18">
        <f>1842604.92</f>
        <v>1842604.92</v>
      </c>
      <c r="I297" s="18">
        <f>41476.01</f>
        <v>41476.01</v>
      </c>
      <c r="J297" s="18">
        <f>827.9</f>
        <v>827.9</v>
      </c>
      <c r="K297" s="18">
        <f>2746.51</f>
        <v>2746.51</v>
      </c>
      <c r="L297" s="13">
        <f>SUM(F297:K297)</f>
        <v>3667628.4899999998</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f>5587+239905.89+175.78</f>
        <v>245668.67</v>
      </c>
      <c r="G299" s="18">
        <f>1534.92+81434.48+58.04</f>
        <v>83027.439999999988</v>
      </c>
      <c r="H299" s="18">
        <f>1002+405.07+2925.87+251359.25</f>
        <v>255692.19</v>
      </c>
      <c r="I299" s="18">
        <f>21830.99+40541.8</f>
        <v>62372.790000000008</v>
      </c>
      <c r="J299" s="18"/>
      <c r="K299" s="18">
        <f>2905+1731.17</f>
        <v>4636.17</v>
      </c>
      <c r="L299" s="13">
        <f>SUM(F299:K299)</f>
        <v>651397.26000000013</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f>46024.28+62300.18+3180+64149.11</f>
        <v>175653.57</v>
      </c>
      <c r="G301" s="18">
        <f>23291.44+39551.18+1024.21+28335.69</f>
        <v>92202.51999999999</v>
      </c>
      <c r="H301" s="18">
        <f>1600.45+93009.65</f>
        <v>94610.099999999991</v>
      </c>
      <c r="I301" s="18">
        <f>10806.7</f>
        <v>10806.7</v>
      </c>
      <c r="J301" s="18"/>
      <c r="K301" s="18">
        <f>399+374.31</f>
        <v>773.31</v>
      </c>
      <c r="L301" s="13">
        <f t="shared" ref="L301:L307" si="14">SUM(F301:K301)</f>
        <v>374046.19999999995</v>
      </c>
      <c r="M301" s="8"/>
      <c r="N301" s="164"/>
    </row>
    <row r="302" spans="1:14" s="3" customFormat="1" ht="12.2" customHeight="1" x14ac:dyDescent="0.15">
      <c r="A302" s="1" t="s">
        <v>443</v>
      </c>
      <c r="B302" s="2" t="s">
        <v>358</v>
      </c>
      <c r="C302" s="2" t="s">
        <v>295</v>
      </c>
      <c r="D302" s="2" t="s">
        <v>431</v>
      </c>
      <c r="E302" s="6">
        <v>2200</v>
      </c>
      <c r="F302" s="18">
        <f>367444.8+206188.58+5145+46119.51</f>
        <v>624897.89</v>
      </c>
      <c r="G302" s="18">
        <f>99628.03+89046.2+1401.15+22315.79</f>
        <v>212391.16999999998</v>
      </c>
      <c r="H302" s="18">
        <f>48000+8958.26+60911.87</f>
        <v>117870.13</v>
      </c>
      <c r="I302" s="18">
        <f>196.67+22237.56</f>
        <v>22434.23</v>
      </c>
      <c r="J302" s="18"/>
      <c r="K302" s="18">
        <f>14233.39+89.67</f>
        <v>14323.06</v>
      </c>
      <c r="L302" s="13">
        <f t="shared" si="14"/>
        <v>991916.4800000001</v>
      </c>
      <c r="M302" s="8"/>
      <c r="N302" s="164"/>
    </row>
    <row r="303" spans="1:14" s="3" customFormat="1" ht="12.2" customHeight="1" x14ac:dyDescent="0.15">
      <c r="A303" s="1" t="s">
        <v>444</v>
      </c>
      <c r="B303" s="2" t="s">
        <v>358</v>
      </c>
      <c r="C303" s="2" t="s">
        <v>296</v>
      </c>
      <c r="D303" s="2" t="s">
        <v>431</v>
      </c>
      <c r="E303" s="6">
        <v>2300</v>
      </c>
      <c r="F303" s="18">
        <f>85084.09</f>
        <v>85084.09</v>
      </c>
      <c r="G303" s="18">
        <f>41613.34</f>
        <v>41613.339999999997</v>
      </c>
      <c r="H303" s="18">
        <f>1072.85-12.48</f>
        <v>1060.3699999999999</v>
      </c>
      <c r="I303" s="18">
        <f>5015.66</f>
        <v>5015.66</v>
      </c>
      <c r="J303" s="18">
        <f>472.6</f>
        <v>472.6</v>
      </c>
      <c r="K303" s="18"/>
      <c r="L303" s="13">
        <f t="shared" si="14"/>
        <v>133246.06</v>
      </c>
      <c r="M303" s="8"/>
      <c r="N303" s="164"/>
    </row>
    <row r="304" spans="1:14" s="3" customFormat="1" ht="12.2" customHeight="1" x14ac:dyDescent="0.15">
      <c r="A304" s="1" t="s">
        <v>445</v>
      </c>
      <c r="B304" s="2" t="s">
        <v>358</v>
      </c>
      <c r="C304" s="2" t="s">
        <v>297</v>
      </c>
      <c r="D304" s="2" t="s">
        <v>431</v>
      </c>
      <c r="E304" s="6">
        <v>2400</v>
      </c>
      <c r="F304" s="18">
        <f>1929.61</f>
        <v>1929.61</v>
      </c>
      <c r="G304" s="18">
        <f>1453.73</f>
        <v>1453.73</v>
      </c>
      <c r="H304" s="18">
        <f>921.5</f>
        <v>921.5</v>
      </c>
      <c r="I304" s="18">
        <f>62.86</f>
        <v>62.86</v>
      </c>
      <c r="J304" s="18"/>
      <c r="K304" s="18"/>
      <c r="L304" s="13">
        <f t="shared" si="14"/>
        <v>4367.7</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v>298737.98</v>
      </c>
      <c r="I306" s="18">
        <f>83511.22</f>
        <v>83511.22</v>
      </c>
      <c r="J306" s="18">
        <f>3751885.8+3528</f>
        <v>3755413.8</v>
      </c>
      <c r="K306" s="18"/>
      <c r="L306" s="13">
        <f t="shared" si="14"/>
        <v>4137663</v>
      </c>
      <c r="M306" s="8"/>
      <c r="N306" s="164"/>
    </row>
    <row r="307" spans="1:14" s="3" customFormat="1" ht="12.2" customHeight="1" x14ac:dyDescent="0.15">
      <c r="A307" s="1" t="s">
        <v>448</v>
      </c>
      <c r="B307" s="2" t="s">
        <v>358</v>
      </c>
      <c r="C307" s="2" t="s">
        <v>300</v>
      </c>
      <c r="D307" s="2" t="s">
        <v>431</v>
      </c>
      <c r="E307" s="6">
        <v>2700</v>
      </c>
      <c r="F307" s="18"/>
      <c r="G307" s="18"/>
      <c r="H307" s="18">
        <f>1851258.27</f>
        <v>1851258.27</v>
      </c>
      <c r="I307" s="18"/>
      <c r="J307" s="18"/>
      <c r="K307" s="18"/>
      <c r="L307" s="13">
        <f t="shared" si="14"/>
        <v>1851258.27</v>
      </c>
      <c r="M307" s="8"/>
      <c r="N307" s="164"/>
    </row>
    <row r="308" spans="1:14" s="3" customFormat="1" ht="12.2" customHeight="1" x14ac:dyDescent="0.15">
      <c r="A308" s="1" t="s">
        <v>449</v>
      </c>
      <c r="B308" s="2" t="s">
        <v>358</v>
      </c>
      <c r="C308" s="2" t="s">
        <v>343</v>
      </c>
      <c r="D308" s="2" t="s">
        <v>431</v>
      </c>
      <c r="E308" s="6">
        <v>2800</v>
      </c>
      <c r="F308" s="18">
        <f>13500+50252.04</f>
        <v>63752.04</v>
      </c>
      <c r="G308" s="18">
        <f>4011.54+30045.43</f>
        <v>34056.97</v>
      </c>
      <c r="H308" s="18"/>
      <c r="I308" s="18">
        <f>635.45</f>
        <v>635.45000000000005</v>
      </c>
      <c r="J308" s="18"/>
      <c r="K308" s="18"/>
      <c r="L308" s="13">
        <f>SUM(F308:K308)</f>
        <v>98444.46</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3545298.0599999996</v>
      </c>
      <c r="G310" s="39">
        <f t="shared" si="15"/>
        <v>1656474.87</v>
      </c>
      <c r="H310" s="39">
        <f t="shared" si="15"/>
        <v>4514201.6400000006</v>
      </c>
      <c r="I310" s="39">
        <f t="shared" si="15"/>
        <v>479776.73999999993</v>
      </c>
      <c r="J310" s="39">
        <f t="shared" si="15"/>
        <v>3887035.07</v>
      </c>
      <c r="K310" s="39">
        <f t="shared" si="15"/>
        <v>22479.05</v>
      </c>
      <c r="L310" s="38">
        <f t="shared" si="15"/>
        <v>14105265.43</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f>798911.61+16921.54+27107.85</f>
        <v>842941</v>
      </c>
      <c r="G315" s="18">
        <f>363641.71+23.28+34740.44+7939.41</f>
        <v>406344.84</v>
      </c>
      <c r="H315" s="18">
        <f>2250+2734.5+2821+6942.5+77006.05</f>
        <v>91754.05</v>
      </c>
      <c r="I315" s="18">
        <f>11175.4+293029.78+256394.77+706.19</f>
        <v>561306.14</v>
      </c>
      <c r="J315" s="18">
        <f>29592+79509.21</f>
        <v>109101.21</v>
      </c>
      <c r="K315" s="18">
        <f>113000</f>
        <v>113000</v>
      </c>
      <c r="L315" s="13">
        <f>SUM(F315:K315)</f>
        <v>2124447.2400000002</v>
      </c>
      <c r="M315" s="8"/>
      <c r="N315" s="164"/>
    </row>
    <row r="316" spans="1:14" s="3" customFormat="1" ht="12.2" customHeight="1" x14ac:dyDescent="0.15">
      <c r="A316" s="1" t="s">
        <v>439</v>
      </c>
      <c r="B316" s="2" t="s">
        <v>359</v>
      </c>
      <c r="C316" s="2" t="s">
        <v>291</v>
      </c>
      <c r="D316" s="2" t="s">
        <v>431</v>
      </c>
      <c r="E316" s="6">
        <v>1200</v>
      </c>
      <c r="F316" s="18">
        <f>528753.47+109524.6+173810.28-27107.85</f>
        <v>784980.5</v>
      </c>
      <c r="G316" s="18">
        <f>253187.23+66668.01+88383.22-7939.41</f>
        <v>400299.05</v>
      </c>
      <c r="H316" s="18">
        <f>830+1498614.11</f>
        <v>1499444.11</v>
      </c>
      <c r="I316" s="18">
        <f>86467.86</f>
        <v>86467.86</v>
      </c>
      <c r="J316" s="18">
        <f>17135.87</f>
        <v>17135.87</v>
      </c>
      <c r="K316" s="18">
        <f>2475.31</f>
        <v>2475.31</v>
      </c>
      <c r="L316" s="13">
        <f>SUM(F316:K316)</f>
        <v>2790802.7</v>
      </c>
      <c r="M316" s="8"/>
      <c r="N316" s="164"/>
    </row>
    <row r="317" spans="1:14" s="3" customFormat="1" ht="12.2" customHeight="1" x14ac:dyDescent="0.15">
      <c r="A317" s="1" t="s">
        <v>440</v>
      </c>
      <c r="B317" s="2" t="s">
        <v>359</v>
      </c>
      <c r="C317" s="2" t="s">
        <v>292</v>
      </c>
      <c r="D317" s="2" t="s">
        <v>431</v>
      </c>
      <c r="E317" s="6">
        <v>1300</v>
      </c>
      <c r="F317" s="18">
        <f>1875+106.25+36480+14509.67</f>
        <v>52970.92</v>
      </c>
      <c r="G317" s="18">
        <f>511.69+2790.78+8320.1</f>
        <v>11622.57</v>
      </c>
      <c r="H317" s="18">
        <f>19595.41+11960.5+7359.91+1107.53+168.15+31.86+10564.56</f>
        <v>50787.92</v>
      </c>
      <c r="I317" s="18">
        <f>128231.34+1817.24+4764.93+1544.25+21212.79</f>
        <v>157570.55000000002</v>
      </c>
      <c r="J317" s="18">
        <f>153153.62+121197.63</f>
        <v>274351.25</v>
      </c>
      <c r="K317" s="18">
        <f>3158.93</f>
        <v>3158.93</v>
      </c>
      <c r="L317" s="13">
        <f>SUM(F317:K317)</f>
        <v>550462.14</v>
      </c>
      <c r="M317" s="8"/>
      <c r="N317" s="164"/>
    </row>
    <row r="318" spans="1:14" s="3" customFormat="1" ht="12.2" customHeight="1" x14ac:dyDescent="0.15">
      <c r="A318" s="1" t="s">
        <v>441</v>
      </c>
      <c r="B318" s="2" t="s">
        <v>359</v>
      </c>
      <c r="C318" s="2" t="s">
        <v>293</v>
      </c>
      <c r="D318" s="2" t="s">
        <v>431</v>
      </c>
      <c r="E318" s="6">
        <v>1400</v>
      </c>
      <c r="F318" s="18">
        <f>2544.18+33547.5+142.86</f>
        <v>36234.54</v>
      </c>
      <c r="G318" s="18">
        <f>692.88+10082.37+38.93</f>
        <v>10814.18</v>
      </c>
      <c r="H318" s="18">
        <f>940.2+49127.38+88132+199614.79</f>
        <v>337814.37</v>
      </c>
      <c r="I318" s="18">
        <f>18948.05+2220+32949.48</f>
        <v>54117.53</v>
      </c>
      <c r="J318" s="18">
        <f>3951.2</f>
        <v>3951.2</v>
      </c>
      <c r="K318" s="18">
        <f>12500+1406.97</f>
        <v>13906.97</v>
      </c>
      <c r="L318" s="13">
        <f>SUM(F318:K318)</f>
        <v>456838.79</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f>24571.17+69629.52+2820+61282.86</f>
        <v>158303.54999999999</v>
      </c>
      <c r="G320" s="18">
        <f>5327.12+36649.32+805.78+23856.07</f>
        <v>66638.290000000008</v>
      </c>
      <c r="H320" s="18">
        <f>5000+119555.14</f>
        <v>124555.14</v>
      </c>
      <c r="I320" s="18">
        <f>14564+4355.91-179.8+19789</f>
        <v>38529.11</v>
      </c>
      <c r="J320" s="18"/>
      <c r="K320" s="18">
        <f>448.35</f>
        <v>448.35</v>
      </c>
      <c r="L320" s="13">
        <f t="shared" ref="L320:L326" si="16">SUM(F320:K320)</f>
        <v>388474.43999999994</v>
      </c>
      <c r="M320" s="8"/>
      <c r="N320" s="164"/>
    </row>
    <row r="321" spans="1:14" s="3" customFormat="1" ht="12.2" customHeight="1" x14ac:dyDescent="0.15">
      <c r="A321" s="1" t="s">
        <v>443</v>
      </c>
      <c r="B321" s="2" t="s">
        <v>359</v>
      </c>
      <c r="C321" s="2" t="s">
        <v>295</v>
      </c>
      <c r="D321" s="2" t="s">
        <v>431</v>
      </c>
      <c r="E321" s="6">
        <v>2200</v>
      </c>
      <c r="F321" s="18">
        <f>320833.75+1665+66094.33</f>
        <v>388593.08</v>
      </c>
      <c r="G321" s="18">
        <f>85758.16+1500+453.41+31101.55</f>
        <v>118813.12000000001</v>
      </c>
      <c r="H321" s="18">
        <f>14475+140+21.74+99537.47</f>
        <v>114174.21</v>
      </c>
      <c r="I321" s="18">
        <f>699.99+196.66+39717.46</f>
        <v>40614.11</v>
      </c>
      <c r="J321" s="18"/>
      <c r="K321" s="18">
        <f>1401.26+33116.26</f>
        <v>34517.520000000004</v>
      </c>
      <c r="L321" s="13">
        <f t="shared" si="16"/>
        <v>696712.04</v>
      </c>
      <c r="M321" s="8"/>
      <c r="N321" s="164"/>
    </row>
    <row r="322" spans="1:14" s="3" customFormat="1" ht="12.2" customHeight="1" x14ac:dyDescent="0.15">
      <c r="A322" s="1" t="s">
        <v>444</v>
      </c>
      <c r="B322" s="2" t="s">
        <v>359</v>
      </c>
      <c r="C322" s="2" t="s">
        <v>296</v>
      </c>
      <c r="D322" s="2" t="s">
        <v>431</v>
      </c>
      <c r="E322" s="6">
        <v>2300</v>
      </c>
      <c r="F322" s="18">
        <f>43014.48+81857.85</f>
        <v>124872.33000000002</v>
      </c>
      <c r="G322" s="18">
        <f>37213.5+42775.2</f>
        <v>79988.7</v>
      </c>
      <c r="H322" s="18">
        <f>2163.9-105.94</f>
        <v>2057.96</v>
      </c>
      <c r="I322" s="18">
        <f>6947.23</f>
        <v>6947.23</v>
      </c>
      <c r="J322" s="18">
        <f>566.08</f>
        <v>566.08000000000004</v>
      </c>
      <c r="K322" s="18"/>
      <c r="L322" s="13">
        <f t="shared" si="16"/>
        <v>214432.30000000002</v>
      </c>
      <c r="M322" s="8"/>
      <c r="N322" s="164"/>
    </row>
    <row r="323" spans="1:14" s="3" customFormat="1" ht="12.2" customHeight="1" x14ac:dyDescent="0.15">
      <c r="A323" s="1" t="s">
        <v>445</v>
      </c>
      <c r="B323" s="2" t="s">
        <v>359</v>
      </c>
      <c r="C323" s="2" t="s">
        <v>297</v>
      </c>
      <c r="D323" s="2" t="s">
        <v>431</v>
      </c>
      <c r="E323" s="6">
        <v>2400</v>
      </c>
      <c r="F323" s="18">
        <f>202469.02+1568.25</f>
        <v>204037.27</v>
      </c>
      <c r="G323" s="18">
        <f>112002.58+1181.49</f>
        <v>113184.07</v>
      </c>
      <c r="H323" s="18">
        <f>3416.33</f>
        <v>3416.33</v>
      </c>
      <c r="I323" s="18">
        <f>533.53</f>
        <v>533.53</v>
      </c>
      <c r="J323" s="18"/>
      <c r="K323" s="18"/>
      <c r="L323" s="13">
        <f t="shared" si="16"/>
        <v>321171.20000000001</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v>242792.9</v>
      </c>
      <c r="I325" s="18">
        <f>92779.06</f>
        <v>92779.06</v>
      </c>
      <c r="J325" s="18">
        <f>3593701.6+11466</f>
        <v>3605167.6</v>
      </c>
      <c r="K325" s="18"/>
      <c r="L325" s="13">
        <f t="shared" si="16"/>
        <v>3940739.56</v>
      </c>
      <c r="M325" s="8"/>
      <c r="N325" s="164"/>
    </row>
    <row r="326" spans="1:14" s="3" customFormat="1" ht="12.2" customHeight="1" x14ac:dyDescent="0.15">
      <c r="A326" s="1" t="s">
        <v>448</v>
      </c>
      <c r="B326" s="2" t="s">
        <v>359</v>
      </c>
      <c r="C326" s="2" t="s">
        <v>300</v>
      </c>
      <c r="D326" s="2" t="s">
        <v>431</v>
      </c>
      <c r="E326" s="6">
        <v>2700</v>
      </c>
      <c r="F326" s="18"/>
      <c r="G326" s="18"/>
      <c r="H326" s="18">
        <f>1507258.35</f>
        <v>1507258.35</v>
      </c>
      <c r="I326" s="18"/>
      <c r="J326" s="18"/>
      <c r="K326" s="18"/>
      <c r="L326" s="13">
        <f t="shared" si="16"/>
        <v>1507258.35</v>
      </c>
      <c r="M326" s="8"/>
      <c r="N326" s="164"/>
    </row>
    <row r="327" spans="1:14" s="3" customFormat="1" ht="12.2" customHeight="1" x14ac:dyDescent="0.15">
      <c r="A327" s="1" t="s">
        <v>449</v>
      </c>
      <c r="B327" s="2" t="s">
        <v>359</v>
      </c>
      <c r="C327" s="2" t="s">
        <v>343</v>
      </c>
      <c r="D327" s="2" t="s">
        <v>431</v>
      </c>
      <c r="E327" s="6">
        <v>2800</v>
      </c>
      <c r="F327" s="18">
        <f>22000+41357.05</f>
        <v>63357.05</v>
      </c>
      <c r="G327" s="18">
        <f>5991.86+24458.03</f>
        <v>30449.89</v>
      </c>
      <c r="H327" s="18"/>
      <c r="I327" s="18">
        <f>1032.61</f>
        <v>1032.6099999999999</v>
      </c>
      <c r="J327" s="18"/>
      <c r="K327" s="18"/>
      <c r="L327" s="13">
        <f>SUM(F327:K327)</f>
        <v>94839.55</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2656290.2399999998</v>
      </c>
      <c r="G329" s="39">
        <f t="shared" si="17"/>
        <v>1238154.71</v>
      </c>
      <c r="H329" s="39">
        <f t="shared" si="17"/>
        <v>3974055.3400000003</v>
      </c>
      <c r="I329" s="39">
        <f t="shared" si="17"/>
        <v>1039897.7300000001</v>
      </c>
      <c r="J329" s="39">
        <f t="shared" si="17"/>
        <v>4010273.21</v>
      </c>
      <c r="K329" s="39">
        <f t="shared" si="17"/>
        <v>167507.08000000002</v>
      </c>
      <c r="L329" s="38">
        <f t="shared" si="17"/>
        <v>13086178.310000001</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f>393738.56+27107.85</f>
        <v>420846.41</v>
      </c>
      <c r="G333" s="18">
        <f>168866.76+7939.41+12057</f>
        <v>188863.17</v>
      </c>
      <c r="H333" s="18">
        <f>61879.1+8069.06+5953.5+740+58594.64+12295.4+41789.94</f>
        <v>189321.63999999998</v>
      </c>
      <c r="I333" s="18">
        <f>67489.54+66126.23+1318.89+9872.01</f>
        <v>144806.67000000001</v>
      </c>
      <c r="J333" s="18">
        <f>24733.68+3651.6+27696.51</f>
        <v>56081.789999999994</v>
      </c>
      <c r="K333" s="18">
        <f>1854+12545</f>
        <v>14399</v>
      </c>
      <c r="L333" s="13">
        <f t="shared" ref="L333:L338" si="18">SUM(F333:K333)</f>
        <v>1014318.68</v>
      </c>
      <c r="M333" s="8"/>
      <c r="N333" s="164"/>
    </row>
    <row r="334" spans="1:14" s="3" customFormat="1" ht="12.2" customHeight="1" x14ac:dyDescent="0.15">
      <c r="A334" s="1" t="s">
        <v>353</v>
      </c>
      <c r="B334" s="6">
        <v>14</v>
      </c>
      <c r="C334" s="2" t="s">
        <v>309</v>
      </c>
      <c r="D334" s="2" t="s">
        <v>431</v>
      </c>
      <c r="E334" s="6">
        <v>1600</v>
      </c>
      <c r="F334" s="18">
        <f>134597.69+13097.37+17545.83</f>
        <v>165240.89000000001</v>
      </c>
      <c r="G334" s="18">
        <f>10296.84+1001.95+8.31+5115.75+451.4</f>
        <v>16874.25</v>
      </c>
      <c r="H334" s="18">
        <f>297.76+172+386.03+50.55-507</f>
        <v>399.33999999999992</v>
      </c>
      <c r="I334" s="18">
        <f>321.99+15322.1+1797.91+3681.58</f>
        <v>21123.58</v>
      </c>
      <c r="J334" s="18">
        <f>3600</f>
        <v>3600</v>
      </c>
      <c r="K334" s="18"/>
      <c r="L334" s="13">
        <f t="shared" si="18"/>
        <v>207238.06</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586087.30000000005</v>
      </c>
      <c r="G338" s="38">
        <f t="shared" si="19"/>
        <v>205737.42</v>
      </c>
      <c r="H338" s="38">
        <f t="shared" si="19"/>
        <v>189720.97999999998</v>
      </c>
      <c r="I338" s="38">
        <f t="shared" si="19"/>
        <v>165930.25</v>
      </c>
      <c r="J338" s="38">
        <f t="shared" si="19"/>
        <v>59681.789999999994</v>
      </c>
      <c r="K338" s="38">
        <f t="shared" si="19"/>
        <v>14399</v>
      </c>
      <c r="L338" s="38">
        <f t="shared" si="18"/>
        <v>1221556.7400000002</v>
      </c>
      <c r="M338" s="8"/>
      <c r="N338" s="164"/>
    </row>
    <row r="339" spans="1:43" s="3" customFormat="1" ht="12.2" customHeight="1" thickTop="1" x14ac:dyDescent="0.15">
      <c r="A339" s="35" t="s">
        <v>468</v>
      </c>
      <c r="B339" s="37">
        <v>14</v>
      </c>
      <c r="C339" s="37">
        <v>7</v>
      </c>
      <c r="D339" s="36" t="s">
        <v>431</v>
      </c>
      <c r="E339" s="37"/>
      <c r="F339" s="38">
        <f t="shared" ref="F339:L339" si="20">F291+F310+F329+F338</f>
        <v>16979615.449999999</v>
      </c>
      <c r="G339" s="38">
        <f t="shared" si="20"/>
        <v>7950265</v>
      </c>
      <c r="H339" s="38">
        <f t="shared" si="20"/>
        <v>14358093.450000001</v>
      </c>
      <c r="I339" s="38">
        <f t="shared" si="20"/>
        <v>3215724.6699999995</v>
      </c>
      <c r="J339" s="38">
        <f t="shared" si="20"/>
        <v>14236066.619999997</v>
      </c>
      <c r="K339" s="38">
        <f t="shared" si="20"/>
        <v>225382.82</v>
      </c>
      <c r="L339" s="38">
        <f t="shared" si="20"/>
        <v>56965148.010000005</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f>1207+261942.34</f>
        <v>263149.33999999997</v>
      </c>
      <c r="L345" s="13">
        <f t="shared" ref="L345:L351" si="21">SUM(F345:K345)</f>
        <v>263149.33999999997</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263149.33999999997</v>
      </c>
      <c r="L352" s="38">
        <f>SUM(L342:L351)</f>
        <v>263149.33999999997</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16979615.449999999</v>
      </c>
      <c r="G353" s="38">
        <f>G339</f>
        <v>7950265</v>
      </c>
      <c r="H353" s="38">
        <f>H339</f>
        <v>14358093.450000001</v>
      </c>
      <c r="I353" s="38">
        <f>I339</f>
        <v>3215724.6699999995</v>
      </c>
      <c r="J353" s="38">
        <f>J339</f>
        <v>14236066.619999997</v>
      </c>
      <c r="K353" s="38">
        <f>K339+K352</f>
        <v>488532.16</v>
      </c>
      <c r="L353" s="38">
        <f>L339+L352</f>
        <v>57228297.350000009</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f>886046.96+0.01</f>
        <v>886046.97</v>
      </c>
      <c r="G359" s="18">
        <v>600659.24</v>
      </c>
      <c r="H359" s="18">
        <v>62917.760000000002</v>
      </c>
      <c r="I359" s="18">
        <v>1331462.1299999999</v>
      </c>
      <c r="J359" s="18">
        <v>23586.51</v>
      </c>
      <c r="K359" s="18">
        <v>0</v>
      </c>
      <c r="L359" s="13">
        <f>SUM(F359:K359)</f>
        <v>2904672.6099999994</v>
      </c>
      <c r="M359" s="8"/>
      <c r="N359" s="164"/>
    </row>
    <row r="360" spans="1:22" s="3" customFormat="1" ht="12.2" customHeight="1" x14ac:dyDescent="0.15">
      <c r="A360" s="1" t="s">
        <v>542</v>
      </c>
      <c r="B360" s="2" t="s">
        <v>366</v>
      </c>
      <c r="C360" s="6">
        <v>2</v>
      </c>
      <c r="D360" s="2" t="s">
        <v>431</v>
      </c>
      <c r="E360" s="6"/>
      <c r="F360" s="18">
        <v>685966.88</v>
      </c>
      <c r="G360" s="18">
        <v>496077.03</v>
      </c>
      <c r="H360" s="18">
        <v>38818.239999999998</v>
      </c>
      <c r="I360" s="18">
        <v>823457.89</v>
      </c>
      <c r="J360" s="18">
        <v>14552.11</v>
      </c>
      <c r="K360" s="18">
        <v>0</v>
      </c>
      <c r="L360" s="13">
        <f>SUM(F360:K360)</f>
        <v>2058872.1500000001</v>
      </c>
      <c r="M360" s="8"/>
      <c r="N360" s="164"/>
    </row>
    <row r="361" spans="1:22" s="3" customFormat="1" ht="12.2" customHeight="1" x14ac:dyDescent="0.15">
      <c r="A361" s="3" t="s">
        <v>543</v>
      </c>
      <c r="B361" s="2" t="s">
        <v>366</v>
      </c>
      <c r="C361" s="6">
        <v>3</v>
      </c>
      <c r="D361" s="2" t="s">
        <v>431</v>
      </c>
      <c r="E361" s="6"/>
      <c r="F361" s="18">
        <v>560117.72</v>
      </c>
      <c r="G361" s="18">
        <v>417140.81</v>
      </c>
      <c r="H361" s="18">
        <v>26659.23</v>
      </c>
      <c r="I361" s="18">
        <v>562685.55000000005</v>
      </c>
      <c r="J361" s="18">
        <v>9993.9599999999991</v>
      </c>
      <c r="K361" s="18">
        <v>0</v>
      </c>
      <c r="L361" s="13">
        <f>SUM(F361:K361)</f>
        <v>1576597.27</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2132131.5700000003</v>
      </c>
      <c r="G363" s="38">
        <f t="shared" si="22"/>
        <v>1513877.08</v>
      </c>
      <c r="H363" s="38">
        <f t="shared" si="22"/>
        <v>128395.23</v>
      </c>
      <c r="I363" s="38">
        <f t="shared" si="22"/>
        <v>2717605.5700000003</v>
      </c>
      <c r="J363" s="38">
        <f t="shared" si="22"/>
        <v>48132.579999999994</v>
      </c>
      <c r="K363" s="38">
        <f t="shared" si="22"/>
        <v>0</v>
      </c>
      <c r="L363" s="38">
        <f t="shared" si="22"/>
        <v>6540142.0299999993</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f>1258034.89+0.02</f>
        <v>1258034.9099999999</v>
      </c>
      <c r="G368" s="18">
        <v>775802.83</v>
      </c>
      <c r="H368" s="18">
        <v>531109.97</v>
      </c>
      <c r="I368" s="13">
        <f>SUM(F368:H368)</f>
        <v>2564947.71</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73427.22</v>
      </c>
      <c r="G369" s="53">
        <v>47655.06</v>
      </c>
      <c r="H369" s="53">
        <v>31575.58</v>
      </c>
      <c r="I369" s="13">
        <f>SUM(F369:H369)</f>
        <v>152657.85999999999</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1331462.1299999999</v>
      </c>
      <c r="G370" s="38">
        <f>SUM(G368:G369)</f>
        <v>823457.8899999999</v>
      </c>
      <c r="H370" s="38">
        <f>SUM(H368:H369)</f>
        <v>562685.54999999993</v>
      </c>
      <c r="I370" s="38">
        <f>SUM(I368:I369)</f>
        <v>2717605.57</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v>379940.45</v>
      </c>
      <c r="I396" s="18"/>
      <c r="J396" s="23" t="s">
        <v>288</v>
      </c>
      <c r="K396" s="23" t="s">
        <v>288</v>
      </c>
      <c r="L396" s="13">
        <f t="shared" ref="L396:L401" si="26">SUM(F396:K396)</f>
        <v>379940.45</v>
      </c>
      <c r="M396" s="8"/>
      <c r="N396" s="164"/>
    </row>
    <row r="397" spans="1:14" s="3" customFormat="1" ht="12.2" customHeight="1" x14ac:dyDescent="0.15">
      <c r="A397" s="62" t="s">
        <v>557</v>
      </c>
      <c r="B397" s="2" t="s">
        <v>381</v>
      </c>
      <c r="C397" s="6">
        <v>9</v>
      </c>
      <c r="D397" s="2" t="s">
        <v>432</v>
      </c>
      <c r="E397" s="6"/>
      <c r="F397" s="18"/>
      <c r="G397" s="18">
        <v>20992.22</v>
      </c>
      <c r="H397" s="18">
        <v>40940.75</v>
      </c>
      <c r="I397" s="18"/>
      <c r="J397" s="23" t="s">
        <v>288</v>
      </c>
      <c r="K397" s="23" t="s">
        <v>288</v>
      </c>
      <c r="L397" s="13">
        <f t="shared" si="26"/>
        <v>61932.97</v>
      </c>
      <c r="M397" s="8"/>
      <c r="N397" s="164"/>
    </row>
    <row r="398" spans="1:14" s="3" customFormat="1" ht="12.2" customHeight="1" x14ac:dyDescent="0.15">
      <c r="A398" s="62" t="s">
        <v>515</v>
      </c>
      <c r="B398" s="2" t="s">
        <v>381</v>
      </c>
      <c r="C398" s="6">
        <v>10</v>
      </c>
      <c r="D398" s="2" t="s">
        <v>432</v>
      </c>
      <c r="E398" s="6"/>
      <c r="F398" s="18"/>
      <c r="G398" s="18"/>
      <c r="H398" s="18">
        <v>225025.87</v>
      </c>
      <c r="I398" s="18"/>
      <c r="J398" s="23" t="s">
        <v>288</v>
      </c>
      <c r="K398" s="23" t="s">
        <v>288</v>
      </c>
      <c r="L398" s="13">
        <f t="shared" si="26"/>
        <v>225025.87</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f>3497.79</f>
        <v>3497.79</v>
      </c>
      <c r="H401" s="18">
        <f>37.75+7239.86+597631.27</f>
        <v>604908.88</v>
      </c>
      <c r="I401" s="18"/>
      <c r="J401" s="23" t="s">
        <v>288</v>
      </c>
      <c r="K401" s="23" t="s">
        <v>288</v>
      </c>
      <c r="L401" s="13">
        <f t="shared" si="26"/>
        <v>608406.67000000004</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24490.010000000002</v>
      </c>
      <c r="H402" s="38">
        <f>SUM(H396:H401)</f>
        <v>1250815.9500000002</v>
      </c>
      <c r="I402" s="38">
        <f>SUM(I396:I401)</f>
        <v>0</v>
      </c>
      <c r="J402" s="42" t="s">
        <v>288</v>
      </c>
      <c r="K402" s="42" t="s">
        <v>288</v>
      </c>
      <c r="L402" s="38">
        <f>SUM(L396:L401)</f>
        <v>1275305.96</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24490.010000000002</v>
      </c>
      <c r="H409" s="38">
        <f>H394+H402+H408</f>
        <v>1250815.9500000002</v>
      </c>
      <c r="I409" s="38">
        <f>I394+I402+I408</f>
        <v>0</v>
      </c>
      <c r="J409" s="23" t="s">
        <v>288</v>
      </c>
      <c r="K409" s="23" t="s">
        <v>288</v>
      </c>
      <c r="L409" s="38">
        <f>L394+L402+L408</f>
        <v>1275305.96</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f>3000000+870098.06</f>
        <v>3870098.06</v>
      </c>
      <c r="L422" s="13">
        <f t="shared" ref="L422:L427" si="29">SUM(F422:K422)</f>
        <v>3870098.06</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3870098.06</v>
      </c>
      <c r="L428" s="38">
        <f t="shared" si="30"/>
        <v>3870098.06</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3870098.06</v>
      </c>
      <c r="L435" s="38">
        <f t="shared" si="32"/>
        <v>3870098.06</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v>28685108.640000001</v>
      </c>
      <c r="H443" s="18"/>
      <c r="I443" s="13">
        <f t="shared" si="33"/>
        <v>28685108.640000001</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28685108.640000001</v>
      </c>
      <c r="H447" s="13">
        <f>SUM(H440:H446)</f>
        <v>0</v>
      </c>
      <c r="I447" s="13">
        <f>SUM(I440:I446)</f>
        <v>28685108.640000001</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28685108.640000001</v>
      </c>
      <c r="H460" s="18"/>
      <c r="I460" s="13">
        <f t="shared" si="34"/>
        <v>28685108.640000001</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28685108.640000001</v>
      </c>
      <c r="H461" s="65">
        <f>SUM(H455:H460)</f>
        <v>0</v>
      </c>
      <c r="I461" s="65">
        <f>SUM(I455:I460)</f>
        <v>28685108.640000001</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28685108.640000001</v>
      </c>
      <c r="H462" s="39">
        <f>H453+H461</f>
        <v>0</v>
      </c>
      <c r="I462" s="39">
        <f>I453+I461</f>
        <v>28685108.640000001</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1743911.67</v>
      </c>
      <c r="G466" s="18">
        <v>1097465.3899999999</v>
      </c>
      <c r="H466" s="18">
        <v>560686.06000000006</v>
      </c>
      <c r="I466" s="18"/>
      <c r="J466" s="18">
        <v>31279900.739999998</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228567578.81+1822.67</f>
        <v>228569401.47999999</v>
      </c>
      <c r="G469" s="18">
        <f>5509136.24+287387.11+825000</f>
        <v>6621523.3500000006</v>
      </c>
      <c r="H469" s="18">
        <f>254022.58+56141039.15+20264.31+113000+941120.24-287387.11</f>
        <v>57182059.170000002</v>
      </c>
      <c r="I469" s="18"/>
      <c r="J469" s="18">
        <v>1275305.96</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228569401.47999999</v>
      </c>
      <c r="G471" s="19">
        <f>SUM(G469:G470)</f>
        <v>6621523.3500000006</v>
      </c>
      <c r="H471" s="19">
        <f>SUM(H469:H470)</f>
        <v>57182059.170000002</v>
      </c>
      <c r="I471" s="19">
        <f>SUM(I469:I470)</f>
        <v>0</v>
      </c>
      <c r="J471" s="19">
        <f>SUM(J469:J470)</f>
        <v>1275305.96</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219349187.51+0.2+1822.67+825000</f>
        <v>220176010.37999997</v>
      </c>
      <c r="G473" s="18">
        <f>6252754.92+287387.11</f>
        <v>6540142.0300000003</v>
      </c>
      <c r="H473" s="18">
        <f>262702.97+56141039.15+18571.21+113000+980371.13-287387.11</f>
        <v>57228297.350000001</v>
      </c>
      <c r="I473" s="18"/>
      <c r="J473" s="18">
        <v>3870098.06</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220176010.37999997</v>
      </c>
      <c r="G475" s="19">
        <f>SUM(G473:G474)</f>
        <v>6540142.0300000003</v>
      </c>
      <c r="H475" s="19">
        <f>SUM(H473:H474)</f>
        <v>57228297.350000001</v>
      </c>
      <c r="I475" s="19">
        <f>SUM(I473:I474)</f>
        <v>0</v>
      </c>
      <c r="J475" s="19">
        <f>SUM(J473:J474)</f>
        <v>3870098.06</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10137302.770000011</v>
      </c>
      <c r="G477" s="19">
        <f>(G466+G471)- G475</f>
        <v>1178846.71</v>
      </c>
      <c r="H477" s="19">
        <f>(H466+H471)- H475</f>
        <v>514447.88000000268</v>
      </c>
      <c r="I477" s="19">
        <f>(I466+I471)- I475</f>
        <v>0</v>
      </c>
      <c r="J477" s="19">
        <f>(J466+J471)- J475</f>
        <v>28685108.640000001</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v>10387366.09</v>
      </c>
      <c r="G508" s="101">
        <v>3047421.68</v>
      </c>
      <c r="H508" s="101">
        <v>2112488.4</v>
      </c>
      <c r="I508" s="101">
        <f>F508+G508-H508</f>
        <v>11322299.369999999</v>
      </c>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9191451.4000000004</v>
      </c>
      <c r="G522" s="18">
        <v>6147499.5700000003</v>
      </c>
      <c r="H522" s="18">
        <v>6264354</v>
      </c>
      <c r="I522" s="18">
        <v>98476.99</v>
      </c>
      <c r="J522" s="18">
        <v>33836.36</v>
      </c>
      <c r="K522" s="18">
        <v>4790.04</v>
      </c>
      <c r="L522" s="69">
        <f>SUM(F522:K522)</f>
        <v>21740408.359999996</v>
      </c>
      <c r="N522" s="130"/>
    </row>
    <row r="523" spans="1:14" ht="12.2" customHeight="1" x14ac:dyDescent="0.2">
      <c r="A523" s="21" t="s">
        <v>634</v>
      </c>
      <c r="B523" s="22">
        <v>21</v>
      </c>
      <c r="C523" s="22">
        <v>2</v>
      </c>
      <c r="D523" s="2" t="s">
        <v>432</v>
      </c>
      <c r="E523" s="22"/>
      <c r="F523" s="18">
        <v>4778922.9000000004</v>
      </c>
      <c r="G523" s="18">
        <v>2660522.89</v>
      </c>
      <c r="H523" s="18">
        <v>4720490.72</v>
      </c>
      <c r="I523" s="18">
        <v>27695.42</v>
      </c>
      <c r="J523" s="18">
        <v>413.5</v>
      </c>
      <c r="K523" s="18">
        <v>2226</v>
      </c>
      <c r="L523" s="69">
        <f>SUM(F523:K523)</f>
        <v>12190271.430000002</v>
      </c>
      <c r="N523" s="130"/>
    </row>
    <row r="524" spans="1:14" ht="12.2" customHeight="1" thickBot="1" x14ac:dyDescent="0.25">
      <c r="A524" s="21" t="s">
        <v>635</v>
      </c>
      <c r="B524" s="22">
        <v>21</v>
      </c>
      <c r="C524" s="22">
        <v>3</v>
      </c>
      <c r="D524" s="2" t="s">
        <v>432</v>
      </c>
      <c r="E524" s="22"/>
      <c r="F524" s="18">
        <v>3326484.63</v>
      </c>
      <c r="G524" s="18">
        <v>1920782.19</v>
      </c>
      <c r="H524" s="18">
        <v>6143938.7400000002</v>
      </c>
      <c r="I524" s="18">
        <v>36306.29</v>
      </c>
      <c r="J524" s="18">
        <v>1494.37</v>
      </c>
      <c r="K524" s="18">
        <v>2415.71</v>
      </c>
      <c r="L524" s="69">
        <f>SUM(F524:K524)</f>
        <v>11431421.93</v>
      </c>
      <c r="N524" s="130"/>
    </row>
    <row r="525" spans="1:14" ht="12.2" customHeight="1" thickTop="1" x14ac:dyDescent="0.2">
      <c r="A525" s="97" t="s">
        <v>63</v>
      </c>
      <c r="B525" s="41">
        <v>21</v>
      </c>
      <c r="C525" s="41">
        <v>4</v>
      </c>
      <c r="D525" s="115" t="s">
        <v>432</v>
      </c>
      <c r="E525" s="41"/>
      <c r="F525" s="81">
        <f>SUM(F522:F524)</f>
        <v>17296858.93</v>
      </c>
      <c r="G525" s="81">
        <f t="shared" ref="G525:L525" si="36">SUM(G522:G524)</f>
        <v>10728804.65</v>
      </c>
      <c r="H525" s="81">
        <f t="shared" si="36"/>
        <v>17128783.460000001</v>
      </c>
      <c r="I525" s="81">
        <f t="shared" si="36"/>
        <v>162478.70000000001</v>
      </c>
      <c r="J525" s="81">
        <f t="shared" si="36"/>
        <v>35744.230000000003</v>
      </c>
      <c r="K525" s="81">
        <f t="shared" si="36"/>
        <v>9431.75</v>
      </c>
      <c r="L525" s="70">
        <f t="shared" si="36"/>
        <v>45362101.719999999</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2235953.0699999998</v>
      </c>
      <c r="G527" s="18">
        <v>1084842.75</v>
      </c>
      <c r="H527" s="18">
        <v>2268964.19</v>
      </c>
      <c r="I527" s="18">
        <v>0</v>
      </c>
      <c r="J527" s="18">
        <v>0</v>
      </c>
      <c r="K527" s="18">
        <v>743.33</v>
      </c>
      <c r="L527" s="69">
        <f>SUM(F527:K527)</f>
        <v>5590503.3399999999</v>
      </c>
      <c r="M527" s="8"/>
      <c r="N527" s="164"/>
    </row>
    <row r="528" spans="1:14" s="3" customFormat="1" ht="12.2" customHeight="1" x14ac:dyDescent="0.15">
      <c r="A528" s="21" t="s">
        <v>634</v>
      </c>
      <c r="B528" s="22">
        <v>21</v>
      </c>
      <c r="C528" s="22">
        <v>6</v>
      </c>
      <c r="D528" s="2" t="s">
        <v>432</v>
      </c>
      <c r="E528" s="22"/>
      <c r="F528" s="18">
        <v>401969.08</v>
      </c>
      <c r="G528" s="18">
        <v>206955.18</v>
      </c>
      <c r="H528" s="18">
        <v>1386863.63</v>
      </c>
      <c r="I528" s="18">
        <v>0</v>
      </c>
      <c r="J528" s="18">
        <v>0</v>
      </c>
      <c r="K528" s="18">
        <v>412.5</v>
      </c>
      <c r="L528" s="69">
        <f>SUM(F528:K528)</f>
        <v>1996200.39</v>
      </c>
      <c r="M528" s="8"/>
      <c r="N528" s="164"/>
    </row>
    <row r="529" spans="1:14" s="3" customFormat="1" ht="12.2" customHeight="1" thickBot="1" x14ac:dyDescent="0.2">
      <c r="A529" s="21" t="s">
        <v>635</v>
      </c>
      <c r="B529" s="22">
        <v>21</v>
      </c>
      <c r="C529" s="22">
        <v>7</v>
      </c>
      <c r="D529" s="2" t="s">
        <v>432</v>
      </c>
      <c r="E529" s="22"/>
      <c r="F529" s="18">
        <v>281345.96999999997</v>
      </c>
      <c r="G529" s="18">
        <v>157480.06</v>
      </c>
      <c r="H529" s="18">
        <v>1256853.97</v>
      </c>
      <c r="I529" s="18">
        <v>0</v>
      </c>
      <c r="J529" s="18">
        <v>0</v>
      </c>
      <c r="K529" s="18">
        <v>494.18</v>
      </c>
      <c r="L529" s="69">
        <f>SUM(F529:K529)</f>
        <v>1696174.18</v>
      </c>
      <c r="M529" s="8"/>
      <c r="N529" s="164"/>
    </row>
    <row r="530" spans="1:14" s="3" customFormat="1" ht="12.2" customHeight="1" thickTop="1" x14ac:dyDescent="0.15">
      <c r="A530" s="97" t="s">
        <v>65</v>
      </c>
      <c r="B530" s="41">
        <v>21</v>
      </c>
      <c r="C530" s="41">
        <v>8</v>
      </c>
      <c r="D530" s="115" t="s">
        <v>432</v>
      </c>
      <c r="E530" s="41"/>
      <c r="F530" s="70">
        <f>SUM(F527:F529)</f>
        <v>2919268.12</v>
      </c>
      <c r="G530" s="70">
        <f t="shared" ref="G530:L530" si="37">SUM(G527:G529)</f>
        <v>1449277.99</v>
      </c>
      <c r="H530" s="70">
        <f t="shared" si="37"/>
        <v>4912681.79</v>
      </c>
      <c r="I530" s="70">
        <f t="shared" si="37"/>
        <v>0</v>
      </c>
      <c r="J530" s="70">
        <f t="shared" si="37"/>
        <v>0</v>
      </c>
      <c r="K530" s="70">
        <f t="shared" si="37"/>
        <v>1650.01</v>
      </c>
      <c r="L530" s="70">
        <f t="shared" si="37"/>
        <v>9282877.9100000001</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139992.09</v>
      </c>
      <c r="G532" s="18">
        <v>51490.32</v>
      </c>
      <c r="H532" s="18">
        <v>4197.47</v>
      </c>
      <c r="I532" s="18">
        <v>0</v>
      </c>
      <c r="J532" s="18">
        <v>0</v>
      </c>
      <c r="K532" s="18">
        <v>0</v>
      </c>
      <c r="L532" s="69">
        <f>SUM(F532:K532)</f>
        <v>195679.88</v>
      </c>
      <c r="M532" s="8"/>
      <c r="N532" s="164"/>
    </row>
    <row r="533" spans="1:14" s="3" customFormat="1" ht="12.2" customHeight="1" x14ac:dyDescent="0.15">
      <c r="A533" s="21" t="s">
        <v>634</v>
      </c>
      <c r="B533" s="22">
        <v>21</v>
      </c>
      <c r="C533" s="22">
        <v>10</v>
      </c>
      <c r="D533" s="2" t="s">
        <v>432</v>
      </c>
      <c r="E533" s="22"/>
      <c r="F533" s="18">
        <v>77687.070000000007</v>
      </c>
      <c r="G533" s="18">
        <v>28573.99</v>
      </c>
      <c r="H533" s="18">
        <v>2329.34</v>
      </c>
      <c r="I533" s="18">
        <v>0</v>
      </c>
      <c r="J533" s="18">
        <v>0</v>
      </c>
      <c r="K533" s="18">
        <v>0</v>
      </c>
      <c r="L533" s="69">
        <f>SUM(F533:K533)</f>
        <v>108590.40000000001</v>
      </c>
      <c r="M533" s="8"/>
      <c r="N533" s="164"/>
    </row>
    <row r="534" spans="1:14" s="3" customFormat="1" ht="12.2" customHeight="1" thickBot="1" x14ac:dyDescent="0.2">
      <c r="A534" s="21" t="s">
        <v>635</v>
      </c>
      <c r="B534" s="22">
        <v>21</v>
      </c>
      <c r="C534" s="22">
        <v>11</v>
      </c>
      <c r="D534" s="2" t="s">
        <v>432</v>
      </c>
      <c r="E534" s="22"/>
      <c r="F534" s="18">
        <v>93069.1</v>
      </c>
      <c r="G534" s="18">
        <v>34231.629999999997</v>
      </c>
      <c r="H534" s="18">
        <v>2790.55</v>
      </c>
      <c r="I534" s="18">
        <v>0</v>
      </c>
      <c r="J534" s="18">
        <v>0</v>
      </c>
      <c r="K534" s="18">
        <v>0</v>
      </c>
      <c r="L534" s="69">
        <f>SUM(F534:K534)</f>
        <v>130091.28000000001</v>
      </c>
      <c r="M534" s="8"/>
      <c r="N534" s="164"/>
    </row>
    <row r="535" spans="1:14" s="3" customFormat="1" ht="12.2" customHeight="1" thickTop="1" x14ac:dyDescent="0.15">
      <c r="A535" s="97" t="s">
        <v>67</v>
      </c>
      <c r="B535" s="41">
        <v>21</v>
      </c>
      <c r="C535" s="41">
        <v>12</v>
      </c>
      <c r="D535" s="115" t="s">
        <v>432</v>
      </c>
      <c r="E535" s="41"/>
      <c r="F535" s="70">
        <f>SUM(F532:F534)</f>
        <v>310748.26</v>
      </c>
      <c r="G535" s="70">
        <f t="shared" ref="G535:L535" si="38">SUM(G532:G534)</f>
        <v>114295.94</v>
      </c>
      <c r="H535" s="70">
        <f t="shared" si="38"/>
        <v>9317.36</v>
      </c>
      <c r="I535" s="70">
        <f t="shared" si="38"/>
        <v>0</v>
      </c>
      <c r="J535" s="70">
        <f t="shared" si="38"/>
        <v>0</v>
      </c>
      <c r="K535" s="70">
        <f t="shared" si="38"/>
        <v>0</v>
      </c>
      <c r="L535" s="70">
        <f t="shared" si="38"/>
        <v>434361.56000000006</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v>0</v>
      </c>
      <c r="G537" s="18">
        <v>0</v>
      </c>
      <c r="H537" s="18">
        <v>25205.51</v>
      </c>
      <c r="I537" s="18">
        <v>0</v>
      </c>
      <c r="J537" s="18">
        <v>0</v>
      </c>
      <c r="K537" s="18">
        <v>0</v>
      </c>
      <c r="L537" s="69">
        <f>SUM(F537:K537)</f>
        <v>25205.51</v>
      </c>
      <c r="M537" s="8"/>
      <c r="N537" s="164"/>
    </row>
    <row r="538" spans="1:14" s="3" customFormat="1" ht="12.2" customHeight="1" x14ac:dyDescent="0.15">
      <c r="A538" s="21" t="s">
        <v>634</v>
      </c>
      <c r="B538" s="22">
        <v>21</v>
      </c>
      <c r="C538" s="22">
        <v>14</v>
      </c>
      <c r="D538" s="2" t="s">
        <v>432</v>
      </c>
      <c r="E538" s="22"/>
      <c r="F538" s="18">
        <v>0</v>
      </c>
      <c r="G538" s="18">
        <v>0</v>
      </c>
      <c r="H538" s="18">
        <v>13987.52</v>
      </c>
      <c r="I538" s="18">
        <v>0</v>
      </c>
      <c r="J538" s="18">
        <v>0</v>
      </c>
      <c r="K538" s="18">
        <v>0</v>
      </c>
      <c r="L538" s="69">
        <f>SUM(F538:K538)</f>
        <v>13987.52</v>
      </c>
      <c r="M538" s="8"/>
      <c r="N538" s="164"/>
    </row>
    <row r="539" spans="1:14" s="3" customFormat="1" ht="12.2" customHeight="1" thickBot="1" x14ac:dyDescent="0.2">
      <c r="A539" s="21" t="s">
        <v>635</v>
      </c>
      <c r="B539" s="22">
        <v>21</v>
      </c>
      <c r="C539" s="22">
        <v>15</v>
      </c>
      <c r="D539" s="2" t="s">
        <v>432</v>
      </c>
      <c r="E539" s="22"/>
      <c r="F539" s="18">
        <v>0</v>
      </c>
      <c r="G539" s="18">
        <v>0</v>
      </c>
      <c r="H539" s="18">
        <v>16757.05</v>
      </c>
      <c r="I539" s="18">
        <v>0</v>
      </c>
      <c r="J539" s="18">
        <v>0</v>
      </c>
      <c r="K539" s="18">
        <v>0</v>
      </c>
      <c r="L539" s="69">
        <f>SUM(F539:K539)</f>
        <v>16757.05</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55950.080000000002</v>
      </c>
      <c r="I540" s="70">
        <f t="shared" si="39"/>
        <v>0</v>
      </c>
      <c r="J540" s="70">
        <f t="shared" si="39"/>
        <v>0</v>
      </c>
      <c r="K540" s="70">
        <f t="shared" si="39"/>
        <v>0</v>
      </c>
      <c r="L540" s="70">
        <f t="shared" si="39"/>
        <v>55950.080000000002</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32822.080000000002</v>
      </c>
      <c r="G542" s="18">
        <v>13428.99</v>
      </c>
      <c r="H542" s="18">
        <f>4860137.99+1781245.7+461.37-245736.53</f>
        <v>6396108.5300000003</v>
      </c>
      <c r="I542" s="18">
        <v>388.2</v>
      </c>
      <c r="J542" s="18">
        <v>0</v>
      </c>
      <c r="K542" s="18">
        <f>90.71</f>
        <v>90.71</v>
      </c>
      <c r="L542" s="69">
        <f>SUM(F542:K542)</f>
        <v>6442838.5100000007</v>
      </c>
      <c r="M542" s="8"/>
      <c r="N542" s="164"/>
    </row>
    <row r="543" spans="1:14" s="3" customFormat="1" ht="12.2" customHeight="1" x14ac:dyDescent="0.15">
      <c r="A543" s="21" t="s">
        <v>634</v>
      </c>
      <c r="B543" s="22">
        <v>21</v>
      </c>
      <c r="C543" s="22">
        <v>18</v>
      </c>
      <c r="D543" s="2" t="s">
        <v>432</v>
      </c>
      <c r="E543" s="22"/>
      <c r="F543" s="18">
        <v>19896.86</v>
      </c>
      <c r="G543" s="18">
        <v>8140.71</v>
      </c>
      <c r="H543" s="18">
        <f>1872158.46+988482.63+279.69-245736.53</f>
        <v>2615184.25</v>
      </c>
      <c r="I543" s="18">
        <v>0</v>
      </c>
      <c r="J543" s="18">
        <v>0</v>
      </c>
      <c r="K543" s="18">
        <v>54.99</v>
      </c>
      <c r="L543" s="69">
        <f>SUM(F543:K543)</f>
        <v>2643276.81</v>
      </c>
      <c r="M543" s="8"/>
      <c r="N543" s="164"/>
    </row>
    <row r="544" spans="1:14" s="3" customFormat="1" ht="12.2" customHeight="1" thickBot="1" x14ac:dyDescent="0.2">
      <c r="A544" s="21" t="s">
        <v>635</v>
      </c>
      <c r="B544" s="22">
        <v>21</v>
      </c>
      <c r="C544" s="22">
        <v>19</v>
      </c>
      <c r="D544" s="2" t="s">
        <v>432</v>
      </c>
      <c r="E544" s="22"/>
      <c r="F544" s="18">
        <v>19633.18</v>
      </c>
      <c r="G544" s="18">
        <v>8032.82</v>
      </c>
      <c r="H544" s="18">
        <f>2165126.13+1184202.19+20935.93</f>
        <v>3370264.25</v>
      </c>
      <c r="I544" s="18">
        <v>0</v>
      </c>
      <c r="J544" s="18">
        <v>0</v>
      </c>
      <c r="K544" s="18">
        <v>54.26</v>
      </c>
      <c r="L544" s="69">
        <f>SUM(F544:K544)</f>
        <v>3397984.51</v>
      </c>
      <c r="M544" s="8"/>
      <c r="N544" s="164"/>
    </row>
    <row r="545" spans="1:14" s="3" customFormat="1" ht="12.2" customHeight="1" thickTop="1" thickBot="1" x14ac:dyDescent="0.2">
      <c r="A545" s="93" t="s">
        <v>71</v>
      </c>
      <c r="B545" s="63">
        <v>21</v>
      </c>
      <c r="C545" s="63">
        <v>20</v>
      </c>
      <c r="D545" s="139" t="s">
        <v>432</v>
      </c>
      <c r="E545" s="63"/>
      <c r="F545" s="140">
        <f>SUM(F542:F544)</f>
        <v>72352.12</v>
      </c>
      <c r="G545" s="140">
        <f t="shared" ref="G545:L545" si="40">SUM(G542:G544)</f>
        <v>29602.52</v>
      </c>
      <c r="H545" s="140">
        <f t="shared" si="40"/>
        <v>12381557.030000001</v>
      </c>
      <c r="I545" s="140">
        <f t="shared" si="40"/>
        <v>388.2</v>
      </c>
      <c r="J545" s="140">
        <f t="shared" si="40"/>
        <v>0</v>
      </c>
      <c r="K545" s="140">
        <f t="shared" si="40"/>
        <v>199.95999999999998</v>
      </c>
      <c r="L545" s="140">
        <f t="shared" si="40"/>
        <v>12484099.83</v>
      </c>
      <c r="M545" s="8"/>
      <c r="N545" s="164"/>
    </row>
    <row r="546" spans="1:14" s="3" customFormat="1" ht="12.2" customHeight="1" thickTop="1" x14ac:dyDescent="0.15">
      <c r="A546" s="75" t="s">
        <v>72</v>
      </c>
      <c r="B546" s="41">
        <v>21</v>
      </c>
      <c r="C546" s="41">
        <v>21</v>
      </c>
      <c r="D546" s="115" t="s">
        <v>432</v>
      </c>
      <c r="E546" s="41"/>
      <c r="F546" s="70">
        <f>F525+F530+F535+F540+F545</f>
        <v>20599227.430000003</v>
      </c>
      <c r="G546" s="70">
        <f t="shared" ref="G546:L546" si="41">G525+G530+G535+G540+G545</f>
        <v>12321981.1</v>
      </c>
      <c r="H546" s="70">
        <f t="shared" si="41"/>
        <v>34488289.719999999</v>
      </c>
      <c r="I546" s="70">
        <f t="shared" si="41"/>
        <v>162866.90000000002</v>
      </c>
      <c r="J546" s="70">
        <f t="shared" si="41"/>
        <v>35744.230000000003</v>
      </c>
      <c r="K546" s="70">
        <f t="shared" si="41"/>
        <v>11281.72</v>
      </c>
      <c r="L546" s="70">
        <f t="shared" si="41"/>
        <v>67619391.099999994</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21740408.359999996</v>
      </c>
      <c r="G550" s="69">
        <f>L527</f>
        <v>5590503.3399999999</v>
      </c>
      <c r="H550" s="69">
        <f>L532</f>
        <v>195679.88</v>
      </c>
      <c r="I550" s="69">
        <f>L537</f>
        <v>25205.51</v>
      </c>
      <c r="J550" s="69">
        <f>L542</f>
        <v>6442838.5100000007</v>
      </c>
      <c r="K550" s="69">
        <f>SUM(F550:J550)</f>
        <v>33994635.599999994</v>
      </c>
      <c r="L550" s="23" t="s">
        <v>288</v>
      </c>
      <c r="M550" s="8"/>
      <c r="N550" s="164"/>
    </row>
    <row r="551" spans="1:14" s="3" customFormat="1" ht="12.2" customHeight="1" x14ac:dyDescent="0.15">
      <c r="A551" s="21" t="s">
        <v>634</v>
      </c>
      <c r="B551" s="22">
        <v>21</v>
      </c>
      <c r="C551" s="22">
        <v>23</v>
      </c>
      <c r="D551" s="2" t="s">
        <v>432</v>
      </c>
      <c r="E551" s="22"/>
      <c r="F551" s="69">
        <f>L523</f>
        <v>12190271.430000002</v>
      </c>
      <c r="G551" s="69">
        <f>L528</f>
        <v>1996200.39</v>
      </c>
      <c r="H551" s="69">
        <f>L533</f>
        <v>108590.40000000001</v>
      </c>
      <c r="I551" s="69">
        <f>L538</f>
        <v>13987.52</v>
      </c>
      <c r="J551" s="69">
        <f>L543</f>
        <v>2643276.81</v>
      </c>
      <c r="K551" s="69">
        <f>SUM(F551:J551)</f>
        <v>16952326.550000001</v>
      </c>
      <c r="L551" s="23" t="s">
        <v>288</v>
      </c>
      <c r="M551" s="8"/>
      <c r="N551" s="164"/>
    </row>
    <row r="552" spans="1:14" s="3" customFormat="1" ht="12.2" customHeight="1" thickBot="1" x14ac:dyDescent="0.2">
      <c r="A552" s="21" t="s">
        <v>635</v>
      </c>
      <c r="B552" s="22">
        <v>21</v>
      </c>
      <c r="C552" s="22">
        <v>24</v>
      </c>
      <c r="D552" s="2" t="s">
        <v>432</v>
      </c>
      <c r="E552" s="22"/>
      <c r="F552" s="69">
        <f>L524</f>
        <v>11431421.93</v>
      </c>
      <c r="G552" s="69">
        <f>L529</f>
        <v>1696174.18</v>
      </c>
      <c r="H552" s="69">
        <f>L534</f>
        <v>130091.28000000001</v>
      </c>
      <c r="I552" s="69">
        <f>L539</f>
        <v>16757.05</v>
      </c>
      <c r="J552" s="69">
        <f>L544</f>
        <v>3397984.51</v>
      </c>
      <c r="K552" s="69">
        <f>SUM(F552:J552)</f>
        <v>16672428.949999999</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45362101.719999999</v>
      </c>
      <c r="G553" s="70">
        <f t="shared" si="42"/>
        <v>9282877.9100000001</v>
      </c>
      <c r="H553" s="70">
        <f t="shared" si="42"/>
        <v>434361.56000000006</v>
      </c>
      <c r="I553" s="70">
        <f t="shared" si="42"/>
        <v>55950.080000000002</v>
      </c>
      <c r="J553" s="70">
        <f t="shared" si="42"/>
        <v>12484099.83</v>
      </c>
      <c r="K553" s="70">
        <f t="shared" si="42"/>
        <v>67619391.099999994</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f>197137.09+1970654.16</f>
        <v>2167791.25</v>
      </c>
      <c r="G563" s="18">
        <f>102665.68+1082684.29</f>
        <v>1185349.97</v>
      </c>
      <c r="H563" s="18">
        <f>11694.18+33127.25</f>
        <v>44821.43</v>
      </c>
      <c r="I563" s="18">
        <f>83903.36</f>
        <v>83903.360000000001</v>
      </c>
      <c r="J563" s="18">
        <f>10043.32</f>
        <v>10043.32</v>
      </c>
      <c r="K563" s="18">
        <f>3443.76</f>
        <v>3443.76</v>
      </c>
      <c r="L563" s="69">
        <f>SUM(F563:K563)</f>
        <v>3495353.0899999994</v>
      </c>
      <c r="M563" s="8"/>
      <c r="N563" s="164"/>
    </row>
    <row r="564" spans="1:14" s="3" customFormat="1" ht="12.2" customHeight="1" x14ac:dyDescent="0.15">
      <c r="A564" s="21" t="s">
        <v>634</v>
      </c>
      <c r="B564" s="22">
        <v>22</v>
      </c>
      <c r="C564" s="22">
        <v>6</v>
      </c>
      <c r="D564" s="2" t="s">
        <v>432</v>
      </c>
      <c r="E564" s="22"/>
      <c r="F564" s="18">
        <f>109427.33+1237497.37</f>
        <v>1346924.7000000002</v>
      </c>
      <c r="G564" s="18">
        <f>56987.91+611395.76</f>
        <v>668383.67000000004</v>
      </c>
      <c r="H564" s="18">
        <f>6491.24+8291.51</f>
        <v>14782.75</v>
      </c>
      <c r="I564" s="18">
        <f>46573.28</f>
        <v>46573.279999999999</v>
      </c>
      <c r="J564" s="18">
        <f>5574.87</f>
        <v>5574.87</v>
      </c>
      <c r="K564" s="18">
        <f>1911.57</f>
        <v>1911.57</v>
      </c>
      <c r="L564" s="69">
        <f>SUM(F564:K564)</f>
        <v>2084150.8400000003</v>
      </c>
      <c r="M564" s="8"/>
      <c r="N564" s="164"/>
    </row>
    <row r="565" spans="1:14" s="3" customFormat="1" ht="12.2" customHeight="1" thickBot="1" x14ac:dyDescent="0.2">
      <c r="A565" s="21" t="s">
        <v>635</v>
      </c>
      <c r="B565" s="22">
        <v>22</v>
      </c>
      <c r="C565" s="22">
        <v>7</v>
      </c>
      <c r="D565" s="2" t="s">
        <v>432</v>
      </c>
      <c r="E565" s="22"/>
      <c r="F565" s="18">
        <f>131071.9+1035330.44</f>
        <v>1166402.3399999999</v>
      </c>
      <c r="G565" s="18">
        <f>68260.04+533638.09</f>
        <v>601898.13</v>
      </c>
      <c r="H565" s="18">
        <f>7775.19+5890.43</f>
        <v>13665.619999999999</v>
      </c>
      <c r="I565" s="18">
        <f>55785.4</f>
        <v>55785.4</v>
      </c>
      <c r="J565" s="18">
        <f>6677.57</f>
        <v>6677.57</v>
      </c>
      <c r="K565" s="18">
        <f>2289.67</f>
        <v>2289.67</v>
      </c>
      <c r="L565" s="69">
        <f>SUM(F565:K565)</f>
        <v>1846718.7299999997</v>
      </c>
      <c r="M565" s="8"/>
      <c r="N565" s="164"/>
    </row>
    <row r="566" spans="1:14" s="3" customFormat="1" ht="12.2" customHeight="1" thickTop="1" x14ac:dyDescent="0.15">
      <c r="A566" s="97" t="s">
        <v>65</v>
      </c>
      <c r="B566" s="41">
        <v>22</v>
      </c>
      <c r="C566" s="41">
        <v>8</v>
      </c>
      <c r="D566" s="115" t="s">
        <v>432</v>
      </c>
      <c r="E566" s="41"/>
      <c r="F566" s="70">
        <f t="shared" ref="F566:L566" si="44">SUM(F563:F565)</f>
        <v>4681118.29</v>
      </c>
      <c r="G566" s="70">
        <f t="shared" si="44"/>
        <v>2455631.77</v>
      </c>
      <c r="H566" s="70">
        <f t="shared" si="44"/>
        <v>73269.8</v>
      </c>
      <c r="I566" s="70">
        <f t="shared" si="44"/>
        <v>186262.04</v>
      </c>
      <c r="J566" s="70">
        <f t="shared" si="44"/>
        <v>22295.759999999998</v>
      </c>
      <c r="K566" s="70">
        <f t="shared" si="44"/>
        <v>7645</v>
      </c>
      <c r="L566" s="70">
        <f t="shared" si="44"/>
        <v>7426222.6599999992</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4681118.29</v>
      </c>
      <c r="G572" s="70">
        <f t="shared" ref="G572:L572" si="46">G561+G566+G571</f>
        <v>2455631.77</v>
      </c>
      <c r="H572" s="70">
        <f t="shared" si="46"/>
        <v>73269.8</v>
      </c>
      <c r="I572" s="70">
        <f t="shared" si="46"/>
        <v>186262.04</v>
      </c>
      <c r="J572" s="70">
        <f t="shared" si="46"/>
        <v>22295.759999999998</v>
      </c>
      <c r="K572" s="70">
        <f t="shared" si="46"/>
        <v>7645</v>
      </c>
      <c r="L572" s="70">
        <f t="shared" si="46"/>
        <v>7426222.6599999992</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f>145180.92+5974.8</f>
        <v>151155.72</v>
      </c>
      <c r="G580" s="18"/>
      <c r="H580" s="18">
        <v>14875.55</v>
      </c>
      <c r="I580" s="69">
        <f t="shared" si="47"/>
        <v>166031.26999999999</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17504.54</v>
      </c>
      <c r="G581" s="18"/>
      <c r="H581" s="18">
        <v>23193.06</v>
      </c>
      <c r="I581" s="69">
        <f t="shared" si="47"/>
        <v>40697.600000000006</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f>1122420.08+99476</f>
        <v>1221896.08</v>
      </c>
      <c r="G583" s="18">
        <f>1215071.35+662199.69</f>
        <v>1877271.04</v>
      </c>
      <c r="H583" s="18">
        <f>2532852.4+12000+435242.88</f>
        <v>2980095.28</v>
      </c>
      <c r="I583" s="69">
        <f t="shared" si="47"/>
        <v>6079262.4000000004</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1390556.34</v>
      </c>
      <c r="G589" s="79">
        <f t="shared" ref="G589:I589" si="48">SUM(G576:G588)</f>
        <v>1877271.04</v>
      </c>
      <c r="H589" s="79">
        <f t="shared" si="48"/>
        <v>3018163.8899999997</v>
      </c>
      <c r="I589" s="79">
        <f t="shared" si="48"/>
        <v>6285991.2700000005</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491263.22</v>
      </c>
      <c r="I592" s="18">
        <v>762035.03</v>
      </c>
      <c r="J592" s="18">
        <f>1110273.35-42500</f>
        <v>1067773.3500000001</v>
      </c>
      <c r="K592" s="80">
        <f t="shared" ref="K592:K598" si="49">SUM(H592:J592)</f>
        <v>2321071.6</v>
      </c>
      <c r="L592" s="23" t="s">
        <v>288</v>
      </c>
      <c r="M592" s="8"/>
      <c r="N592" s="164"/>
    </row>
    <row r="593" spans="1:14" s="3" customFormat="1" ht="12.2" customHeight="1" x14ac:dyDescent="0.15">
      <c r="A593" s="3" t="s">
        <v>638</v>
      </c>
      <c r="B593" s="22">
        <v>23</v>
      </c>
      <c r="C593" s="22">
        <v>2</v>
      </c>
      <c r="D593" s="2" t="s">
        <v>432</v>
      </c>
      <c r="E593" s="22"/>
      <c r="F593" s="78">
        <v>2722</v>
      </c>
      <c r="G593" s="79" t="s">
        <v>97</v>
      </c>
      <c r="H593" s="18">
        <v>4661592.8099999996</v>
      </c>
      <c r="I593" s="18">
        <v>1654794.18</v>
      </c>
      <c r="J593" s="18">
        <v>2213782.3199999998</v>
      </c>
      <c r="K593" s="80">
        <f t="shared" si="49"/>
        <v>8530169.3099999987</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42500</v>
      </c>
      <c r="K594" s="80">
        <f t="shared" si="49"/>
        <v>42500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33481.160000000003</v>
      </c>
      <c r="J595" s="18">
        <v>137641.96</v>
      </c>
      <c r="K595" s="80">
        <f t="shared" si="49"/>
        <v>171123.12</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v>8795</v>
      </c>
      <c r="K596" s="80">
        <f t="shared" si="49"/>
        <v>8795</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5152856.0299999993</v>
      </c>
      <c r="I599" s="81">
        <f>SUM(I592:I598)</f>
        <v>2450310.37</v>
      </c>
      <c r="J599" s="81">
        <f>SUM(J592:J598)</f>
        <v>3470492.63</v>
      </c>
      <c r="K599" s="81">
        <f>SUM(K592:K598)</f>
        <v>11073659.029999997</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f>780+5958907.3</f>
        <v>5959687.2999999998</v>
      </c>
      <c r="I604" s="18">
        <f>3751885.8</f>
        <v>3751885.8</v>
      </c>
      <c r="J604" s="18">
        <f>3593701.6</f>
        <v>3593701.6</v>
      </c>
      <c r="K604" s="80">
        <f>SUM(H604:J604)</f>
        <v>13305274.699999999</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1776+13230+304383.24+56081.79+0.01+140089.51</f>
        <v>515560.55</v>
      </c>
      <c r="I605" s="18">
        <f>3528+131621.27+97763.58</f>
        <v>232912.84999999998</v>
      </c>
      <c r="J605" s="18">
        <f>11466+405105.61+3600+193295.62</f>
        <v>613467.23</v>
      </c>
      <c r="K605" s="80">
        <f>SUM(H605:J605)</f>
        <v>1361940.63</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6475247.8499999996</v>
      </c>
      <c r="I606" s="81">
        <f>SUM(I603:I605)</f>
        <v>3984798.65</v>
      </c>
      <c r="J606" s="81">
        <f>SUM(J603:J605)</f>
        <v>4207168.83</v>
      </c>
      <c r="K606" s="81">
        <f>SUM(K603:K605)</f>
        <v>14667215.329999998</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190799.08</v>
      </c>
      <c r="G612" s="18">
        <v>46695.19</v>
      </c>
      <c r="H612" s="18">
        <v>551472.55000000005</v>
      </c>
      <c r="I612" s="18">
        <v>169.87</v>
      </c>
      <c r="J612" s="18"/>
      <c r="K612" s="18"/>
      <c r="L612" s="69">
        <f>SUM(F612:K612)</f>
        <v>789136.69000000006</v>
      </c>
      <c r="M612" s="8"/>
      <c r="N612" s="164"/>
    </row>
    <row r="613" spans="1:14" s="3" customFormat="1" ht="12.2" customHeight="1" x14ac:dyDescent="0.15">
      <c r="A613" s="21" t="s">
        <v>634</v>
      </c>
      <c r="B613" s="22">
        <v>23</v>
      </c>
      <c r="C613" s="22">
        <v>14</v>
      </c>
      <c r="D613" s="2" t="s">
        <v>432</v>
      </c>
      <c r="E613" s="22"/>
      <c r="F613" s="18"/>
      <c r="G613" s="18"/>
      <c r="H613" s="18">
        <v>232586.8</v>
      </c>
      <c r="I613" s="18">
        <v>94.27</v>
      </c>
      <c r="J613" s="18"/>
      <c r="K613" s="18"/>
      <c r="L613" s="69">
        <f>SUM(F613:K613)</f>
        <v>232681.06999999998</v>
      </c>
      <c r="M613" s="8"/>
      <c r="N613" s="164"/>
    </row>
    <row r="614" spans="1:14" s="3" customFormat="1" ht="12.2" customHeight="1" thickBot="1" x14ac:dyDescent="0.2">
      <c r="A614" s="21" t="s">
        <v>645</v>
      </c>
      <c r="B614" s="22">
        <v>23</v>
      </c>
      <c r="C614" s="22">
        <v>15</v>
      </c>
      <c r="D614" s="2" t="s">
        <v>432</v>
      </c>
      <c r="E614" s="22"/>
      <c r="F614" s="18">
        <v>76641.820000000007</v>
      </c>
      <c r="G614" s="18">
        <v>21984.75</v>
      </c>
      <c r="H614" s="18">
        <v>391147.74</v>
      </c>
      <c r="I614" s="18">
        <v>112.93</v>
      </c>
      <c r="J614" s="18"/>
      <c r="K614" s="18"/>
      <c r="L614" s="69">
        <f>SUM(F614:K614)</f>
        <v>489887.24</v>
      </c>
      <c r="M614" s="8"/>
      <c r="N614" s="164"/>
    </row>
    <row r="615" spans="1:14" s="3" customFormat="1" ht="12.2" customHeight="1" thickTop="1" x14ac:dyDescent="0.15">
      <c r="A615" s="75" t="s">
        <v>340</v>
      </c>
      <c r="B615" s="41">
        <v>23</v>
      </c>
      <c r="C615" s="41">
        <v>16</v>
      </c>
      <c r="D615" s="36" t="s">
        <v>432</v>
      </c>
      <c r="E615" s="41"/>
      <c r="F615" s="81">
        <f t="shared" ref="F615:L615" si="50">SUM(F612:F614)</f>
        <v>267440.90000000002</v>
      </c>
      <c r="G615" s="81">
        <f t="shared" si="50"/>
        <v>68679.94</v>
      </c>
      <c r="H615" s="81">
        <f t="shared" si="50"/>
        <v>1175207.0900000001</v>
      </c>
      <c r="I615" s="81">
        <f t="shared" si="50"/>
        <v>377.07</v>
      </c>
      <c r="J615" s="81">
        <f t="shared" si="50"/>
        <v>0</v>
      </c>
      <c r="K615" s="81">
        <f t="shared" si="50"/>
        <v>0</v>
      </c>
      <c r="L615" s="70">
        <f t="shared" si="50"/>
        <v>1511705</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82511715.060000017</v>
      </c>
      <c r="H618" s="80">
        <f>SUM(F52)</f>
        <v>82511715.059999987</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1771417.95</v>
      </c>
      <c r="H619" s="80">
        <f>SUM(G52)</f>
        <v>1771417.9500000002</v>
      </c>
      <c r="I619" s="87" t="s">
        <v>872</v>
      </c>
      <c r="J619" s="80">
        <f>G619-H619</f>
        <v>0</v>
      </c>
      <c r="K619" s="80"/>
      <c r="L619" s="80"/>
      <c r="M619" s="8"/>
    </row>
    <row r="620" spans="1:14" s="3" customFormat="1" ht="12.2" customHeight="1" x14ac:dyDescent="0.15">
      <c r="A620" s="74"/>
      <c r="B620" s="22"/>
      <c r="C620" s="22"/>
      <c r="D620" s="22"/>
      <c r="E620" s="22"/>
      <c r="F620" s="87" t="s">
        <v>685</v>
      </c>
      <c r="G620" s="80">
        <f>SUM(H19)</f>
        <v>25110231.900000002</v>
      </c>
      <c r="H620" s="80">
        <f>SUM(H52)</f>
        <v>25110231.899999995</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28685108.640000001</v>
      </c>
      <c r="H622" s="80">
        <f>SUM(J52)</f>
        <v>28685108.640000001</v>
      </c>
      <c r="I622" s="87" t="s">
        <v>875</v>
      </c>
      <c r="J622" s="80">
        <f>G622-H622</f>
        <v>0</v>
      </c>
      <c r="K622" s="80"/>
      <c r="L622" s="80"/>
      <c r="M622" s="8"/>
    </row>
    <row r="623" spans="1:14" s="3" customFormat="1" ht="12.2" customHeight="1" x14ac:dyDescent="0.15">
      <c r="A623" s="74"/>
      <c r="B623" s="22"/>
      <c r="C623" s="22"/>
      <c r="D623" s="22"/>
      <c r="E623" s="22"/>
      <c r="F623" s="87" t="s">
        <v>861</v>
      </c>
      <c r="G623" s="80">
        <f>F51</f>
        <v>10137302.77</v>
      </c>
      <c r="H623" s="80">
        <f>F477</f>
        <v>10137302.770000011</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1178846.71</v>
      </c>
      <c r="H624" s="80">
        <f>G477</f>
        <v>1178846.71</v>
      </c>
      <c r="I624" s="87" t="s">
        <v>102</v>
      </c>
      <c r="J624" s="80">
        <f t="shared" si="51"/>
        <v>0</v>
      </c>
      <c r="K624" s="80"/>
      <c r="L624" s="80"/>
      <c r="M624" s="8"/>
    </row>
    <row r="625" spans="1:13" s="3" customFormat="1" ht="12.2" customHeight="1" x14ac:dyDescent="0.15">
      <c r="A625" s="74"/>
      <c r="B625" s="22"/>
      <c r="C625" s="22"/>
      <c r="D625" s="22"/>
      <c r="E625" s="22"/>
      <c r="F625" s="86" t="s">
        <v>863</v>
      </c>
      <c r="G625" s="80">
        <f>H51</f>
        <v>514447.88</v>
      </c>
      <c r="H625" s="80">
        <f>H477</f>
        <v>514447.88000000268</v>
      </c>
      <c r="I625" s="87" t="s">
        <v>103</v>
      </c>
      <c r="J625" s="80">
        <f t="shared" si="51"/>
        <v>-2.6775524020195007E-9</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28685108.640000001</v>
      </c>
      <c r="H627" s="80">
        <f>J477</f>
        <v>28685108.640000001</v>
      </c>
      <c r="I627" s="87" t="s">
        <v>105</v>
      </c>
      <c r="J627" s="80">
        <f t="shared" si="51"/>
        <v>0</v>
      </c>
      <c r="K627" s="67"/>
      <c r="L627" s="69"/>
      <c r="M627" s="8"/>
    </row>
    <row r="628" spans="1:13" s="3" customFormat="1" ht="12.2" customHeight="1" x14ac:dyDescent="0.15">
      <c r="A628" s="21"/>
      <c r="B628" s="22"/>
      <c r="C628" s="22"/>
      <c r="D628" s="22"/>
      <c r="E628" s="22"/>
      <c r="F628" s="86" t="s">
        <v>658</v>
      </c>
      <c r="G628" s="80">
        <f>F194</f>
        <v>228569401.47999999</v>
      </c>
      <c r="H628" s="80">
        <f>SUM(F469)</f>
        <v>228569401.47999999</v>
      </c>
      <c r="I628" s="87" t="s">
        <v>106</v>
      </c>
      <c r="J628" s="80">
        <f>G628-H628</f>
        <v>0</v>
      </c>
      <c r="K628" s="67"/>
      <c r="L628" s="69"/>
      <c r="M628" s="8"/>
    </row>
    <row r="629" spans="1:13" s="3" customFormat="1" ht="12.2" customHeight="1" x14ac:dyDescent="0.15">
      <c r="A629" s="21"/>
      <c r="B629" s="22"/>
      <c r="C629" s="22"/>
      <c r="D629" s="22"/>
      <c r="E629" s="22"/>
      <c r="F629" s="86" t="s">
        <v>659</v>
      </c>
      <c r="G629" s="80">
        <f>G194</f>
        <v>6621523.3499999987</v>
      </c>
      <c r="H629" s="80">
        <f>SUM(G469)</f>
        <v>6621523.3500000006</v>
      </c>
      <c r="I629" s="87" t="s">
        <v>107</v>
      </c>
      <c r="J629" s="80">
        <f>G629-H629</f>
        <v>0</v>
      </c>
      <c r="K629" s="67"/>
      <c r="L629" s="69"/>
      <c r="M629" s="8"/>
    </row>
    <row r="630" spans="1:13" s="3" customFormat="1" ht="12.2" customHeight="1" x14ac:dyDescent="0.15">
      <c r="A630" s="21"/>
      <c r="B630" s="22"/>
      <c r="C630" s="22"/>
      <c r="D630" s="22"/>
      <c r="E630" s="22"/>
      <c r="F630" s="86" t="s">
        <v>660</v>
      </c>
      <c r="G630" s="80">
        <f>H194</f>
        <v>57182059.170000002</v>
      </c>
      <c r="H630" s="80">
        <f>SUM(H469)</f>
        <v>57182059.170000002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1275305.96</v>
      </c>
      <c r="H632" s="80">
        <f>SUM(J469)</f>
        <v>1275305.96</v>
      </c>
      <c r="I632" s="87" t="s">
        <v>110</v>
      </c>
      <c r="J632" s="80">
        <f>G632-H632</f>
        <v>0</v>
      </c>
      <c r="K632" s="67"/>
      <c r="L632" s="69"/>
      <c r="M632" s="8"/>
    </row>
    <row r="633" spans="1:13" s="3" customFormat="1" ht="12.2" customHeight="1" x14ac:dyDescent="0.15">
      <c r="A633" s="21"/>
      <c r="B633" s="22"/>
      <c r="C633" s="22"/>
      <c r="D633" s="22"/>
      <c r="E633" s="22"/>
      <c r="F633" s="86" t="s">
        <v>394</v>
      </c>
      <c r="G633" s="80">
        <f>SUM(L272)</f>
        <v>220176010.38</v>
      </c>
      <c r="H633" s="80">
        <f>SUM(F473)</f>
        <v>220176010.37999997</v>
      </c>
      <c r="I633" s="87" t="s">
        <v>111</v>
      </c>
      <c r="J633" s="80">
        <f t="shared" si="51"/>
        <v>0</v>
      </c>
      <c r="K633" s="67"/>
      <c r="L633" s="69"/>
      <c r="M633" s="8"/>
    </row>
    <row r="634" spans="1:13" s="3" customFormat="1" ht="12.2" customHeight="1" x14ac:dyDescent="0.15">
      <c r="A634" s="21"/>
      <c r="B634" s="22"/>
      <c r="C634" s="22"/>
      <c r="D634" s="22"/>
      <c r="E634" s="22"/>
      <c r="F634" s="86" t="s">
        <v>395</v>
      </c>
      <c r="G634" s="80">
        <f>SUM(L353)</f>
        <v>57228297.350000009</v>
      </c>
      <c r="H634" s="80">
        <f>SUM(H473)</f>
        <v>57228297.350000001</v>
      </c>
      <c r="I634" s="87" t="s">
        <v>112</v>
      </c>
      <c r="J634" s="80">
        <f>G634-H634</f>
        <v>0</v>
      </c>
      <c r="K634" s="67"/>
      <c r="L634" s="69"/>
      <c r="M634" s="8"/>
    </row>
    <row r="635" spans="1:13" s="124" customFormat="1" ht="12.2" customHeight="1" x14ac:dyDescent="0.15">
      <c r="A635" s="21"/>
      <c r="B635" s="22"/>
      <c r="C635" s="22"/>
      <c r="D635" s="22"/>
      <c r="E635" s="22"/>
      <c r="F635" s="99" t="s">
        <v>247</v>
      </c>
      <c r="G635" s="80">
        <f>I363</f>
        <v>2717605.5700000003</v>
      </c>
      <c r="H635" s="80">
        <f>I370</f>
        <v>2717605.57</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6540142.0299999993</v>
      </c>
      <c r="H636" s="80">
        <f>SUM(G473)</f>
        <v>6540142.0300000003</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1275305.96</v>
      </c>
      <c r="H638" s="108">
        <f>SUM(J469)</f>
        <v>1275305.96</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3870098.06</v>
      </c>
      <c r="H639" s="108">
        <f>SUM(J473)</f>
        <v>3870098.06</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28685108.640000001</v>
      </c>
      <c r="H641" s="80">
        <f>SUM(G462)</f>
        <v>28685108.640000001</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28685108.640000001</v>
      </c>
      <c r="H643" s="80">
        <f>SUM(I462)</f>
        <v>28685108.640000001</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1250815.95</v>
      </c>
      <c r="H645" s="80">
        <f>H409</f>
        <v>1250815.9500000002</v>
      </c>
      <c r="I645" s="87" t="s">
        <v>480</v>
      </c>
      <c r="J645" s="80">
        <f t="shared" si="51"/>
        <v>0</v>
      </c>
      <c r="K645" s="67"/>
      <c r="L645" s="69"/>
      <c r="M645" s="8"/>
    </row>
    <row r="646" spans="1:13" s="3" customFormat="1" ht="12.2" customHeight="1" x14ac:dyDescent="0.15">
      <c r="A646" s="21"/>
      <c r="B646" s="22"/>
      <c r="C646" s="22"/>
      <c r="D646" s="22"/>
      <c r="E646" s="22"/>
      <c r="F646" s="86" t="s">
        <v>664</v>
      </c>
      <c r="G646" s="80">
        <f>J184</f>
        <v>24490.01</v>
      </c>
      <c r="H646" s="80">
        <f>G409</f>
        <v>24490.010000000002</v>
      </c>
      <c r="I646" s="87" t="s">
        <v>481</v>
      </c>
      <c r="J646" s="80">
        <f t="shared" si="51"/>
        <v>0</v>
      </c>
      <c r="K646" s="67"/>
      <c r="L646" s="69"/>
      <c r="M646" s="8"/>
    </row>
    <row r="647" spans="1:13" s="3" customFormat="1" ht="12.2" customHeight="1" x14ac:dyDescent="0.15">
      <c r="A647" s="21"/>
      <c r="B647" s="22"/>
      <c r="C647" s="22"/>
      <c r="D647" s="22"/>
      <c r="E647" s="22"/>
      <c r="F647" s="86" t="s">
        <v>662</v>
      </c>
      <c r="G647" s="80">
        <f>J194</f>
        <v>1275305.96</v>
      </c>
      <c r="H647" s="80">
        <f>L409</f>
        <v>1275305.96</v>
      </c>
      <c r="I647" s="87" t="s">
        <v>477</v>
      </c>
      <c r="J647" s="80">
        <f t="shared" si="51"/>
        <v>0</v>
      </c>
      <c r="K647" s="67"/>
      <c r="L647" s="69"/>
      <c r="M647" s="8"/>
    </row>
    <row r="648" spans="1:13" s="3" customFormat="1" ht="12.2" customHeight="1" x14ac:dyDescent="0.15">
      <c r="A648" s="21"/>
      <c r="B648" s="22"/>
      <c r="C648" s="22"/>
      <c r="D648" s="22"/>
      <c r="E648" s="22"/>
      <c r="F648" s="86" t="s">
        <v>51</v>
      </c>
      <c r="G648" s="80">
        <f>K599</f>
        <v>11073659.029999997</v>
      </c>
      <c r="H648" s="80">
        <f>L209+L227+L245</f>
        <v>11073659.030000001</v>
      </c>
      <c r="I648" s="87" t="s">
        <v>396</v>
      </c>
      <c r="J648" s="80">
        <f t="shared" si="51"/>
        <v>0</v>
      </c>
      <c r="K648" s="67"/>
      <c r="L648" s="69"/>
      <c r="M648" s="8"/>
    </row>
    <row r="649" spans="1:13" s="3" customFormat="1" ht="12.2" customHeight="1" x14ac:dyDescent="0.15">
      <c r="A649" s="21"/>
      <c r="B649" s="22"/>
      <c r="C649" s="22"/>
      <c r="D649" s="22"/>
      <c r="E649" s="22"/>
      <c r="F649" s="86" t="s">
        <v>52</v>
      </c>
      <c r="G649" s="80">
        <f>K606</f>
        <v>14667215.329999998</v>
      </c>
      <c r="H649" s="80">
        <f>(J258+J339)-(J256+J337)</f>
        <v>14667215.329999998</v>
      </c>
      <c r="I649" s="87" t="s">
        <v>699</v>
      </c>
      <c r="J649" s="80">
        <f t="shared" si="51"/>
        <v>0</v>
      </c>
      <c r="K649" s="67"/>
      <c r="L649" s="69"/>
      <c r="M649" s="8"/>
    </row>
    <row r="650" spans="1:13" s="3" customFormat="1" ht="12.2" customHeight="1" x14ac:dyDescent="0.15">
      <c r="A650" s="21"/>
      <c r="B650" s="22"/>
      <c r="C650" s="22"/>
      <c r="D650" s="22"/>
      <c r="E650" s="22"/>
      <c r="F650" s="86" t="s">
        <v>387</v>
      </c>
      <c r="G650" s="80">
        <f>L209</f>
        <v>5152856.03</v>
      </c>
      <c r="H650" s="80">
        <f>H599</f>
        <v>5152856.0299999993</v>
      </c>
      <c r="I650" s="87" t="s">
        <v>388</v>
      </c>
      <c r="J650" s="80">
        <f t="shared" si="51"/>
        <v>0</v>
      </c>
      <c r="K650" s="67"/>
      <c r="L650" s="69"/>
      <c r="M650" s="8"/>
    </row>
    <row r="651" spans="1:13" s="3" customFormat="1" ht="12.2" customHeight="1" x14ac:dyDescent="0.15">
      <c r="A651" s="21"/>
      <c r="B651" s="22"/>
      <c r="C651" s="22"/>
      <c r="D651" s="22"/>
      <c r="E651" s="22"/>
      <c r="F651" s="86" t="s">
        <v>392</v>
      </c>
      <c r="G651" s="80">
        <f>L227</f>
        <v>2450310.37</v>
      </c>
      <c r="H651" s="80">
        <f>I599</f>
        <v>2450310.37</v>
      </c>
      <c r="I651" s="87" t="s">
        <v>389</v>
      </c>
      <c r="J651" s="80">
        <f t="shared" si="51"/>
        <v>0</v>
      </c>
      <c r="K651" s="67"/>
      <c r="L651" s="69"/>
      <c r="M651" s="8"/>
    </row>
    <row r="652" spans="1:13" s="3" customFormat="1" ht="12.2" customHeight="1" x14ac:dyDescent="0.15">
      <c r="A652" s="21"/>
      <c r="B652" s="22"/>
      <c r="C652" s="22"/>
      <c r="D652" s="22"/>
      <c r="E652" s="22"/>
      <c r="F652" s="86" t="s">
        <v>393</v>
      </c>
      <c r="G652" s="80">
        <f>L245</f>
        <v>3470492.63</v>
      </c>
      <c r="H652" s="80">
        <f>J599</f>
        <v>3470492.63</v>
      </c>
      <c r="I652" s="87" t="s">
        <v>390</v>
      </c>
      <c r="J652" s="80">
        <f t="shared" si="51"/>
        <v>0</v>
      </c>
      <c r="K652" s="67"/>
      <c r="L652" s="69"/>
      <c r="M652" s="8"/>
    </row>
    <row r="653" spans="1:13" s="3" customFormat="1" ht="12.2" customHeight="1" x14ac:dyDescent="0.15">
      <c r="A653" s="21"/>
      <c r="B653" s="22"/>
      <c r="C653" s="22"/>
      <c r="D653" s="22"/>
      <c r="E653" s="22"/>
      <c r="F653" s="86" t="s">
        <v>665</v>
      </c>
      <c r="G653" s="80">
        <f>G180+G182</f>
        <v>825000</v>
      </c>
      <c r="H653" s="80">
        <f>K264+K346</f>
        <v>825000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24490.01</v>
      </c>
      <c r="H656" s="80">
        <f>K267+K348</f>
        <v>24490.01</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107306991.42</v>
      </c>
      <c r="G661" s="13">
        <f>(L230+L310+L360)</f>
        <v>65238438.36999999</v>
      </c>
      <c r="H661" s="13">
        <f>(L248+L329+L361)</f>
        <v>75368550.489999995</v>
      </c>
      <c r="I661" s="13">
        <f>SUM(F661:H661)</f>
        <v>247913980.27999997</v>
      </c>
      <c r="J661" s="13"/>
      <c r="K661" s="13"/>
      <c r="L661" s="13"/>
      <c r="M661" s="9"/>
    </row>
    <row r="662" spans="1:13" s="3" customFormat="1" ht="12.2" customHeight="1" x14ac:dyDescent="0.2">
      <c r="A662" s="1" t="s">
        <v>127</v>
      </c>
      <c r="F662" s="13">
        <f>(L359/IF(SUM(L359:L361)=0,1,SUM(L359:L361))*(SUM(G97:G110)))</f>
        <v>547627.13978711702</v>
      </c>
      <c r="G662" s="13">
        <f>(L360/IF(SUM(L359:L361)=0,1,SUM(L359:L361))*(SUM(G97:G110)))</f>
        <v>388165.69647477492</v>
      </c>
      <c r="H662" s="13">
        <f>(L361/IF(SUM(L359:L361)=0,1,SUM(L359:L361))*(SUM(G97:G110)))</f>
        <v>297240.88373810815</v>
      </c>
      <c r="I662" s="13">
        <f>SUM(F662:H662)</f>
        <v>1233033.7200000002</v>
      </c>
      <c r="J662"/>
      <c r="K662" s="13"/>
      <c r="L662" s="13"/>
      <c r="M662" s="8"/>
    </row>
    <row r="663" spans="1:13" s="3" customFormat="1" ht="12.2" customHeight="1" x14ac:dyDescent="0.2">
      <c r="A663" s="1" t="s">
        <v>128</v>
      </c>
      <c r="F663" s="13">
        <f>(L209+L288)-(J209+J288)</f>
        <v>7315142.5600000005</v>
      </c>
      <c r="G663" s="13">
        <f>(L227+L307)-(J227+J307)</f>
        <v>4301568.6400000006</v>
      </c>
      <c r="H663" s="13">
        <f>(L245+L326)-(J245+J326)</f>
        <v>4977750.9800000004</v>
      </c>
      <c r="I663" s="13">
        <f>SUM(F663:H663)</f>
        <v>16594462.180000002</v>
      </c>
      <c r="J663"/>
      <c r="K663" s="13"/>
      <c r="L663" s="13"/>
      <c r="M663" s="9"/>
    </row>
    <row r="664" spans="1:13" s="3" customFormat="1" ht="12.2" customHeight="1" x14ac:dyDescent="0.15">
      <c r="A664" s="141" t="s">
        <v>129</v>
      </c>
      <c r="B664" s="124"/>
      <c r="C664" s="124"/>
      <c r="D664" s="124"/>
      <c r="E664" s="124"/>
      <c r="F664" s="142">
        <f>SUM(F576:F588)+SUM(H603:H605)+SUM(L612)</f>
        <v>8654940.879999999</v>
      </c>
      <c r="G664" s="142">
        <f>SUM(G576:G588)+SUM(I603:I605)+L613</f>
        <v>6094750.7599999998</v>
      </c>
      <c r="H664" s="142">
        <f>SUM(H576:H588)+SUM(J603:J605)+L614</f>
        <v>7715219.96</v>
      </c>
      <c r="I664" s="13">
        <f>SUM(F664:H664)</f>
        <v>22464911.599999998</v>
      </c>
      <c r="J664" s="13"/>
      <c r="K664" s="13"/>
      <c r="L664" s="13"/>
      <c r="M664" s="9"/>
    </row>
    <row r="665" spans="1:13" s="3" customFormat="1" ht="12.2" customHeight="1" x14ac:dyDescent="0.15">
      <c r="A665" s="1" t="s">
        <v>130</v>
      </c>
      <c r="F665" s="13">
        <f>F661-SUM(F662:F664)</f>
        <v>90789280.840212882</v>
      </c>
      <c r="G665" s="13">
        <f>G661-SUM(G662:G664)</f>
        <v>54453953.273525216</v>
      </c>
      <c r="H665" s="13">
        <f>H661-SUM(H662:H664)</f>
        <v>62378338.666261882</v>
      </c>
      <c r="I665" s="13">
        <f>I661-SUM(I662:I664)</f>
        <v>207621572.77999997</v>
      </c>
      <c r="J665" s="13"/>
      <c r="K665" s="13"/>
      <c r="L665" s="13"/>
      <c r="M665" s="8"/>
    </row>
    <row r="666" spans="1:13" s="3" customFormat="1" ht="12.2" customHeight="1" x14ac:dyDescent="0.2">
      <c r="A666" s="1" t="s">
        <v>131</v>
      </c>
      <c r="F666" s="182">
        <v>5239.74</v>
      </c>
      <c r="G666" s="183">
        <v>2994.14</v>
      </c>
      <c r="H666" s="183">
        <v>3411.02</v>
      </c>
      <c r="I666" s="13">
        <f>SUM(F666:H666)</f>
        <v>11644.9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17327.060000000001</v>
      </c>
      <c r="G668" s="13">
        <f>ROUND(G665/G666,2)</f>
        <v>18186.84</v>
      </c>
      <c r="H668" s="13">
        <f>ROUND(H665/H666,2)</f>
        <v>18287.3</v>
      </c>
      <c r="I668" s="13">
        <f>ROUND(I665/I666,2)</f>
        <v>17829.400000000001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62.78</v>
      </c>
      <c r="I671" s="13">
        <f>SUM(F671:H671)</f>
        <v>62.78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17327.060000000001</v>
      </c>
      <c r="G673" s="13">
        <f>ROUND((G665+G670)/(G666+G671),2)</f>
        <v>18186.84</v>
      </c>
      <c r="H673" s="13">
        <f>ROUND((H665+H670)/(H666+H671),2)</f>
        <v>17956.8</v>
      </c>
      <c r="I673" s="13">
        <f>ROUND((I665+I670)/(I666+I671),2)</f>
        <v>17733.79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horizontalDpi="4294967295" verticalDpi="4294967295"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C1" zoomScaleNormal="100" workbookViewId="0">
      <selection activeCell="E7" sqref="E7"/>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3941232.17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1340253.24</v>
      </c>
      <c r="F9" s="271" t="s">
        <v>1612</v>
      </c>
    </row>
    <row r="10" spans="2:8" x14ac:dyDescent="0.25">
      <c r="B10" s="270"/>
      <c r="C10" s="270"/>
      <c r="D10" s="270"/>
      <c r="E10" s="270"/>
      <c r="F10" s="270"/>
    </row>
    <row r="11" spans="2:8" x14ac:dyDescent="0.25">
      <c r="B11" s="270"/>
      <c r="C11" s="274" t="s">
        <v>1616</v>
      </c>
      <c r="D11" s="271" t="s">
        <v>1619</v>
      </c>
      <c r="E11" s="259">
        <v>364538.5</v>
      </c>
      <c r="F11" s="271" t="s">
        <v>1613</v>
      </c>
    </row>
    <row r="12" spans="2:8" x14ac:dyDescent="0.25">
      <c r="B12" s="270"/>
      <c r="C12" s="270"/>
      <c r="D12" s="271"/>
      <c r="E12" s="270"/>
      <c r="F12" s="270"/>
    </row>
    <row r="13" spans="2:8" x14ac:dyDescent="0.25">
      <c r="B13" s="270"/>
      <c r="C13" s="271" t="s">
        <v>1606</v>
      </c>
      <c r="D13" s="271" t="s">
        <v>1620</v>
      </c>
      <c r="E13" s="259">
        <v>658005.06000000006</v>
      </c>
      <c r="F13" s="271" t="s">
        <v>1614</v>
      </c>
    </row>
    <row r="14" spans="2:8" x14ac:dyDescent="0.25">
      <c r="B14" s="270"/>
      <c r="C14" s="270"/>
      <c r="D14" s="271"/>
      <c r="E14" s="270"/>
      <c r="F14" s="270"/>
    </row>
    <row r="15" spans="2:8" x14ac:dyDescent="0.25">
      <c r="B15" s="270"/>
      <c r="C15" s="271" t="s">
        <v>1608</v>
      </c>
      <c r="D15" s="271" t="s">
        <v>1621</v>
      </c>
      <c r="E15" s="259">
        <v>1578435.37</v>
      </c>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52" orientation="landscape" horizontalDpi="4294967295" verticalDpi="4294967295"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Manchester</v>
      </c>
      <c r="C5" s="321"/>
      <c r="D5" s="321"/>
      <c r="E5" s="321"/>
      <c r="F5" s="321"/>
    </row>
    <row r="8" spans="1:9" ht="18" x14ac:dyDescent="0.25">
      <c r="A8" s="239" t="s">
        <v>1548</v>
      </c>
      <c r="F8" s="246" t="s">
        <v>1566</v>
      </c>
    </row>
    <row r="9" spans="1:9" ht="15" x14ac:dyDescent="0.2">
      <c r="A9" s="237" t="s">
        <v>1549</v>
      </c>
      <c r="B9" s="240">
        <f>'DOE25'!G97</f>
        <v>1233033.72</v>
      </c>
      <c r="F9" s="237" t="s">
        <v>1562</v>
      </c>
    </row>
    <row r="10" spans="1:9" ht="15" x14ac:dyDescent="0.2">
      <c r="A10" s="237" t="s">
        <v>1550</v>
      </c>
      <c r="B10" s="240">
        <f>'DOE25'!G112-'DOE25'!G97</f>
        <v>33098.770000000019</v>
      </c>
      <c r="F10" s="237" t="s">
        <v>1563</v>
      </c>
    </row>
    <row r="11" spans="1:9" ht="15" x14ac:dyDescent="0.2">
      <c r="A11" s="237" t="s">
        <v>1551</v>
      </c>
      <c r="B11" s="240">
        <f>'DOE25'!G140</f>
        <v>74233.649999999994</v>
      </c>
      <c r="F11" s="237" t="s">
        <v>1564</v>
      </c>
    </row>
    <row r="12" spans="1:9" ht="15" x14ac:dyDescent="0.2">
      <c r="A12" s="237" t="s">
        <v>1552</v>
      </c>
      <c r="B12" s="240">
        <f>'DOE25'!G170</f>
        <v>4456157.209999999</v>
      </c>
      <c r="F12" s="237" t="s">
        <v>1565</v>
      </c>
    </row>
    <row r="13" spans="1:9" ht="15" x14ac:dyDescent="0.2">
      <c r="A13" s="237" t="s">
        <v>1553</v>
      </c>
      <c r="B13" s="240">
        <f>'DOE25'!G193-'DOE25'!G180</f>
        <v>0</v>
      </c>
      <c r="F13" s="237" t="s">
        <v>1575</v>
      </c>
    </row>
    <row r="14" spans="1:9" ht="18" x14ac:dyDescent="0.25">
      <c r="A14" s="239" t="s">
        <v>732</v>
      </c>
      <c r="B14" s="241">
        <f>SUM(B9:B13)</f>
        <v>5796523.3499999987</v>
      </c>
    </row>
    <row r="16" spans="1:9" ht="18" x14ac:dyDescent="0.25">
      <c r="A16" s="239" t="s">
        <v>783</v>
      </c>
      <c r="F16" s="246" t="s">
        <v>1567</v>
      </c>
    </row>
    <row r="17" spans="1:6" ht="15" x14ac:dyDescent="0.2">
      <c r="A17" s="237" t="s">
        <v>1554</v>
      </c>
      <c r="B17" s="240">
        <f>'DOE25'!L363-'DOE25'!L362</f>
        <v>6540142.0299999993</v>
      </c>
      <c r="F17" s="237" t="s">
        <v>1568</v>
      </c>
    </row>
    <row r="18" spans="1:6" ht="15" x14ac:dyDescent="0.2">
      <c r="A18" s="237" t="s">
        <v>1555</v>
      </c>
      <c r="B18" s="250"/>
      <c r="F18" s="246" t="s">
        <v>1592</v>
      </c>
    </row>
    <row r="19" spans="1:6" ht="18" x14ac:dyDescent="0.25">
      <c r="A19" s="239" t="s">
        <v>725</v>
      </c>
      <c r="B19" s="241">
        <f>SUM(B17:B18)</f>
        <v>6540142.0299999993</v>
      </c>
    </row>
    <row r="21" spans="1:6" ht="18.75" thickBot="1" x14ac:dyDescent="0.3">
      <c r="A21" s="239" t="s">
        <v>1556</v>
      </c>
    </row>
    <row r="22" spans="1:6" ht="18.75" thickTop="1" x14ac:dyDescent="0.25">
      <c r="A22" s="239" t="s">
        <v>1557</v>
      </c>
      <c r="B22" s="245">
        <f>B14-B19</f>
        <v>-743618.68000000063</v>
      </c>
      <c r="F22" s="237" t="s">
        <v>1569</v>
      </c>
    </row>
    <row r="26" spans="1:6" ht="18" x14ac:dyDescent="0.25">
      <c r="A26" s="239" t="s">
        <v>186</v>
      </c>
    </row>
    <row r="27" spans="1:6" ht="15" x14ac:dyDescent="0.2">
      <c r="A27" s="237" t="s">
        <v>1558</v>
      </c>
      <c r="B27" s="240">
        <f>'DOE25'!G180</f>
        <v>825000</v>
      </c>
      <c r="F27" s="237" t="s">
        <v>1570</v>
      </c>
    </row>
    <row r="28" spans="1:6" ht="15" x14ac:dyDescent="0.2">
      <c r="A28" s="237" t="s">
        <v>1560</v>
      </c>
      <c r="B28" s="240">
        <f>'DOE25'!L362</f>
        <v>0</v>
      </c>
      <c r="F28" s="237" t="s">
        <v>1571</v>
      </c>
    </row>
    <row r="31" spans="1:6" ht="15" x14ac:dyDescent="0.2">
      <c r="A31" s="237" t="s">
        <v>1789</v>
      </c>
      <c r="B31" s="240">
        <f>'DOE25'!G466</f>
        <v>1097465.3899999999</v>
      </c>
      <c r="F31" s="237" t="s">
        <v>1572</v>
      </c>
    </row>
    <row r="33" spans="1:6" ht="15" x14ac:dyDescent="0.2">
      <c r="A33" s="237" t="s">
        <v>1790</v>
      </c>
      <c r="B33" s="240">
        <f>'DOE25'!G477</f>
        <v>1178846.71</v>
      </c>
      <c r="F33" s="237" t="s">
        <v>1573</v>
      </c>
    </row>
    <row r="36" spans="1:6" ht="15" x14ac:dyDescent="0.2">
      <c r="A36" s="237" t="s">
        <v>1559</v>
      </c>
      <c r="B36" s="251">
        <v>272075.75</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Manchester</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56566129.75</v>
      </c>
      <c r="C9" s="166">
        <f>'DOE25'!G198+'DOE25'!G216+'DOE25'!G234+'DOE25'!G277+'DOE25'!G296+'DOE25'!G315</f>
        <v>29830702.649999999</v>
      </c>
    </row>
    <row r="10" spans="1:3" x14ac:dyDescent="0.2">
      <c r="A10" t="s">
        <v>772</v>
      </c>
      <c r="B10" s="176">
        <v>54344506.840000004</v>
      </c>
      <c r="C10" s="176">
        <v>28652903.870000001</v>
      </c>
    </row>
    <row r="11" spans="1:3" x14ac:dyDescent="0.2">
      <c r="A11" t="s">
        <v>773</v>
      </c>
      <c r="B11" s="176">
        <v>15543.85</v>
      </c>
      <c r="C11" s="176">
        <v>14401.38</v>
      </c>
    </row>
    <row r="12" spans="1:3" x14ac:dyDescent="0.2">
      <c r="A12" t="s">
        <v>774</v>
      </c>
      <c r="B12" s="176">
        <v>2206079.06</v>
      </c>
      <c r="C12" s="176">
        <v>1163397.3999999999</v>
      </c>
    </row>
    <row r="13" spans="1:3" x14ac:dyDescent="0.2">
      <c r="A13" t="str">
        <f>IF(B9=B13,IF(C9=C13,"Check Total OK","Check Total Error"),"Check Total Error")</f>
        <v>Check Total OK</v>
      </c>
      <c r="B13" s="168">
        <f>SUM(B10:B12)</f>
        <v>56566129.750000007</v>
      </c>
      <c r="C13" s="168">
        <f>SUM(C10:C12)</f>
        <v>29830702.649999999</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22281788.120000001</v>
      </c>
      <c r="C18" s="166">
        <f>'DOE25'!G199+'DOE25'!G217+'DOE25'!G235+'DOE25'!G278+'DOE25'!G297+'DOE25'!G316</f>
        <v>13352257.590000002</v>
      </c>
    </row>
    <row r="19" spans="1:3" x14ac:dyDescent="0.2">
      <c r="A19" t="s">
        <v>772</v>
      </c>
      <c r="B19" s="176">
        <v>17659544.690000001</v>
      </c>
      <c r="C19" s="176">
        <v>9179126.3399999999</v>
      </c>
    </row>
    <row r="20" spans="1:3" x14ac:dyDescent="0.2">
      <c r="A20" t="s">
        <v>773</v>
      </c>
      <c r="B20" s="176">
        <v>4288016.6100000003</v>
      </c>
      <c r="C20" s="176">
        <v>3972847.39</v>
      </c>
    </row>
    <row r="21" spans="1:3" x14ac:dyDescent="0.2">
      <c r="A21" t="s">
        <v>774</v>
      </c>
      <c r="B21" s="176">
        <v>334226.82</v>
      </c>
      <c r="C21" s="176">
        <v>200283.86</v>
      </c>
    </row>
    <row r="22" spans="1:3" x14ac:dyDescent="0.2">
      <c r="A22" t="str">
        <f>IF(B18=B22,IF(C18=C22,"Check Total OK","Check Total Error"),"Check Total Error")</f>
        <v>Check Total OK</v>
      </c>
      <c r="B22" s="168">
        <f>SUM(B19:B21)</f>
        <v>22281788.120000001</v>
      </c>
      <c r="C22" s="168">
        <f>SUM(C19:C21)</f>
        <v>13352257.59</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1805155.49</v>
      </c>
      <c r="C27" s="171">
        <f>'DOE25'!G200+'DOE25'!G218+'DOE25'!G236+'DOE25'!G279+'DOE25'!G298+'DOE25'!G317</f>
        <v>904178.73999999987</v>
      </c>
    </row>
    <row r="28" spans="1:3" x14ac:dyDescent="0.2">
      <c r="A28" t="s">
        <v>772</v>
      </c>
      <c r="B28" s="176">
        <v>1805155.49</v>
      </c>
      <c r="C28" s="176">
        <v>904178.74</v>
      </c>
    </row>
    <row r="29" spans="1:3" x14ac:dyDescent="0.2">
      <c r="A29" t="s">
        <v>773</v>
      </c>
      <c r="B29" s="176">
        <v>0</v>
      </c>
      <c r="C29" s="176">
        <v>0</v>
      </c>
    </row>
    <row r="30" spans="1:3" x14ac:dyDescent="0.2">
      <c r="A30" t="s">
        <v>774</v>
      </c>
      <c r="B30" s="176">
        <v>0</v>
      </c>
      <c r="C30" s="176">
        <v>0</v>
      </c>
    </row>
    <row r="31" spans="1:3" x14ac:dyDescent="0.2">
      <c r="A31" t="str">
        <f>IF(B27=B31,IF(C27=C31,"Check Total OK","Check Total Error"),"Check Total Error")</f>
        <v>Check Total OK</v>
      </c>
      <c r="B31" s="168">
        <f>SUM(B28:B30)</f>
        <v>1805155.49</v>
      </c>
      <c r="C31" s="168">
        <f>SUM(C28:C30)</f>
        <v>904178.74</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2669809.5099999998</v>
      </c>
      <c r="C36" s="172">
        <f>'DOE25'!G201+'DOE25'!G219+'DOE25'!G237+'DOE25'!G280+'DOE25'!G299+'DOE25'!G318</f>
        <v>768113.72000000009</v>
      </c>
    </row>
    <row r="37" spans="1:3" x14ac:dyDescent="0.2">
      <c r="A37" t="s">
        <v>772</v>
      </c>
      <c r="B37" s="176">
        <v>0</v>
      </c>
      <c r="C37" s="176">
        <v>0</v>
      </c>
    </row>
    <row r="38" spans="1:3" x14ac:dyDescent="0.2">
      <c r="A38" t="s">
        <v>773</v>
      </c>
      <c r="B38" s="176">
        <v>0</v>
      </c>
      <c r="C38" s="176">
        <v>0</v>
      </c>
    </row>
    <row r="39" spans="1:3" x14ac:dyDescent="0.2">
      <c r="A39" t="s">
        <v>774</v>
      </c>
      <c r="B39" s="176">
        <v>2669809.5099999998</v>
      </c>
      <c r="C39" s="176">
        <v>768113.72</v>
      </c>
    </row>
    <row r="40" spans="1:3" x14ac:dyDescent="0.2">
      <c r="A40" t="str">
        <f>IF(B36=B40,IF(C36=C40,"Check Total OK","Check Total Error"),"Check Total Error")</f>
        <v>Check Total OK</v>
      </c>
      <c r="B40" s="168">
        <f>SUM(B37:B39)</f>
        <v>2669809.5099999998</v>
      </c>
      <c r="C40" s="168">
        <f>SUM(C37:C39)</f>
        <v>768113.72</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C22" sqref="C2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Manchester</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122347582.3</v>
      </c>
      <c r="D5" s="19">
        <f>SUM('DOE25'!L198:L201)+SUM('DOE25'!L216:L219)+SUM('DOE25'!L234:L237)-F5-G5-H5</f>
        <v>114861105.08</v>
      </c>
      <c r="E5" s="179"/>
      <c r="F5" s="180">
        <f>10000+11410209.15+1328.75+26376.19+1056883.19-5171915.6</f>
        <v>7332881.6799999997</v>
      </c>
      <c r="G5" s="19">
        <f>SUM('DOE25'!J198:J201)+SUM('DOE25'!J216:J219)+SUM('DOE25'!J234:J237)</f>
        <v>59993.979999999996</v>
      </c>
      <c r="H5" s="19">
        <f>SUM('DOE25'!K198:K201)+SUM('DOE25'!K216:K219)+SUM('DOE25'!K234:K237)</f>
        <v>93601.56</v>
      </c>
      <c r="I5" s="191"/>
    </row>
    <row r="6" spans="1:9" x14ac:dyDescent="0.2">
      <c r="A6" s="31">
        <v>2100</v>
      </c>
      <c r="B6" t="s">
        <v>793</v>
      </c>
      <c r="C6" s="205">
        <f t="shared" si="0"/>
        <v>17079561.500000004</v>
      </c>
      <c r="D6" s="19">
        <f>'DOE25'!L203+'DOE25'!L221+'DOE25'!L239-F6-G6-H6</f>
        <v>14218452.99</v>
      </c>
      <c r="E6" s="179"/>
      <c r="F6" s="180">
        <f>146185.65+1390571.41+328880.11+851923.43+107495+26399.74</f>
        <v>2851455.3400000003</v>
      </c>
      <c r="G6" s="19">
        <f>'DOE25'!J203+'DOE25'!J221+'DOE25'!J239</f>
        <v>9653.17</v>
      </c>
      <c r="H6" s="19">
        <f>'DOE25'!K203+'DOE25'!K221+'DOE25'!K239</f>
        <v>0</v>
      </c>
      <c r="I6" s="191"/>
    </row>
    <row r="7" spans="1:9" x14ac:dyDescent="0.2">
      <c r="A7" s="31">
        <v>2200</v>
      </c>
      <c r="B7" t="s">
        <v>817</v>
      </c>
      <c r="C7" s="205">
        <f t="shared" si="0"/>
        <v>2570349.7199999997</v>
      </c>
      <c r="D7" s="19">
        <f>'DOE25'!L204+'DOE25'!L222+'DOE25'!L240-F7-G7-H7</f>
        <v>2570349.7199999997</v>
      </c>
      <c r="E7" s="179"/>
      <c r="F7" s="180"/>
      <c r="G7" s="19">
        <f>'DOE25'!J204+'DOE25'!J222+'DOE25'!J240</f>
        <v>0</v>
      </c>
      <c r="H7" s="19">
        <f>'DOE25'!K204+'DOE25'!K222+'DOE25'!K240</f>
        <v>0</v>
      </c>
      <c r="I7" s="191"/>
    </row>
    <row r="8" spans="1:9" x14ac:dyDescent="0.2">
      <c r="A8" s="31">
        <v>2300</v>
      </c>
      <c r="B8" t="s">
        <v>794</v>
      </c>
      <c r="C8" s="205">
        <f t="shared" si="0"/>
        <v>656206.80999999994</v>
      </c>
      <c r="D8" s="179"/>
      <c r="E8" s="19">
        <f>'DOE25'!L205+'DOE25'!L223+'DOE25'!L241-F8-G8-H8-D9-D11</f>
        <v>645397.46</v>
      </c>
      <c r="F8" s="180"/>
      <c r="G8" s="19">
        <f>'DOE25'!J205+'DOE25'!J223+'DOE25'!J241</f>
        <v>0</v>
      </c>
      <c r="H8" s="19">
        <f>'DOE25'!K205+'DOE25'!K223+'DOE25'!K241</f>
        <v>10809.35</v>
      </c>
      <c r="I8" s="191"/>
    </row>
    <row r="9" spans="1:9" ht="14.25" x14ac:dyDescent="0.2">
      <c r="A9" s="31">
        <v>2310</v>
      </c>
      <c r="B9" s="71" t="s">
        <v>884</v>
      </c>
      <c r="C9" s="205">
        <f t="shared" si="0"/>
        <v>226161.56</v>
      </c>
      <c r="D9" s="180">
        <v>226161.56</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1751635.08</v>
      </c>
      <c r="D11" s="180">
        <v>1751635.08</v>
      </c>
      <c r="E11" s="179"/>
      <c r="F11" s="179"/>
      <c r="G11" s="179"/>
      <c r="H11" s="179"/>
      <c r="I11" s="191"/>
    </row>
    <row r="12" spans="1:9" x14ac:dyDescent="0.2">
      <c r="A12" s="31">
        <v>2400</v>
      </c>
      <c r="B12" t="s">
        <v>711</v>
      </c>
      <c r="C12" s="205">
        <f t="shared" si="0"/>
        <v>11605027.850000001</v>
      </c>
      <c r="D12" s="19">
        <f>'DOE25'!L206+'DOE25'!L224+'DOE25'!L242-F12-G12-H12</f>
        <v>11560354.530000001</v>
      </c>
      <c r="E12" s="179"/>
      <c r="F12" s="180">
        <f>20176.1</f>
        <v>20176.099999999999</v>
      </c>
      <c r="G12" s="19">
        <f>'DOE25'!J206+'DOE25'!J224+'DOE25'!J242</f>
        <v>0</v>
      </c>
      <c r="H12" s="19">
        <f>'DOE25'!K206+'DOE25'!K224+'DOE25'!K242</f>
        <v>24497.22</v>
      </c>
      <c r="I12" s="191"/>
    </row>
    <row r="13" spans="1:9" x14ac:dyDescent="0.2">
      <c r="A13" s="31">
        <v>2500</v>
      </c>
      <c r="B13" t="s">
        <v>795</v>
      </c>
      <c r="C13" s="205">
        <f t="shared" si="0"/>
        <v>1908271.12</v>
      </c>
      <c r="D13" s="179"/>
      <c r="E13" s="19">
        <f>'DOE25'!L207+'DOE25'!L225+'DOE25'!L243-F13-G13-H13</f>
        <v>1901002.1300000001</v>
      </c>
      <c r="F13" s="180"/>
      <c r="G13" s="19">
        <f>'DOE25'!J207+'DOE25'!J225+'DOE25'!J243</f>
        <v>6948.99</v>
      </c>
      <c r="H13" s="19">
        <f>'DOE25'!K207+'DOE25'!K225+'DOE25'!K243</f>
        <v>320</v>
      </c>
      <c r="I13" s="191"/>
    </row>
    <row r="14" spans="1:9" x14ac:dyDescent="0.2">
      <c r="A14" s="31">
        <v>2600</v>
      </c>
      <c r="B14" t="s">
        <v>815</v>
      </c>
      <c r="C14" s="205">
        <f t="shared" si="0"/>
        <v>13472772.77</v>
      </c>
      <c r="D14" s="19">
        <f>'DOE25'!L208+'DOE25'!L226+'DOE25'!L244-F14-G14-H14</f>
        <v>13402070.9</v>
      </c>
      <c r="E14" s="179"/>
      <c r="F14" s="180">
        <f>2158.9+51492.97</f>
        <v>53651.87</v>
      </c>
      <c r="G14" s="19">
        <f>'DOE25'!J208+'DOE25'!J226+'DOE25'!J244</f>
        <v>16730</v>
      </c>
      <c r="H14" s="19">
        <f>'DOE25'!K208+'DOE25'!K226+'DOE25'!K244</f>
        <v>320</v>
      </c>
      <c r="I14" s="191"/>
    </row>
    <row r="15" spans="1:9" x14ac:dyDescent="0.2">
      <c r="A15" s="31">
        <v>2700</v>
      </c>
      <c r="B15" t="s">
        <v>796</v>
      </c>
      <c r="C15" s="205">
        <f t="shared" si="0"/>
        <v>11073659.030000001</v>
      </c>
      <c r="D15" s="19">
        <f>'DOE25'!L209+'DOE25'!L227+'DOE25'!L245-F15-G15-H15</f>
        <v>683891.08000000194</v>
      </c>
      <c r="E15" s="179"/>
      <c r="F15" s="180">
        <f>1927496.22+14328736.01-5866732.28</f>
        <v>10389499.949999999</v>
      </c>
      <c r="G15" s="19">
        <f>'DOE25'!J209+'DOE25'!J227+'DOE25'!J245</f>
        <v>0</v>
      </c>
      <c r="H15" s="19">
        <f>'DOE25'!K209+'DOE25'!K227+'DOE25'!K245</f>
        <v>268</v>
      </c>
      <c r="I15" s="191"/>
    </row>
    <row r="16" spans="1:9" x14ac:dyDescent="0.2">
      <c r="A16" s="31">
        <v>2800</v>
      </c>
      <c r="B16" t="s">
        <v>797</v>
      </c>
      <c r="C16" s="205">
        <f t="shared" si="0"/>
        <v>2939019.2399999998</v>
      </c>
      <c r="D16" s="179"/>
      <c r="E16" s="19">
        <f>'DOE25'!L210+'DOE25'!L228+'DOE25'!L246-F16-G16-H16</f>
        <v>2417323.4899999998</v>
      </c>
      <c r="F16" s="180">
        <f>172274.18</f>
        <v>172274.18</v>
      </c>
      <c r="G16" s="19">
        <f>'DOE25'!J210+'DOE25'!J228+'DOE25'!J246</f>
        <v>337822.57</v>
      </c>
      <c r="H16" s="19">
        <f>'DOE25'!K210+'DOE25'!K228+'DOE25'!K246</f>
        <v>11599</v>
      </c>
      <c r="I16" s="191"/>
    </row>
    <row r="17" spans="1:9" x14ac:dyDescent="0.2">
      <c r="A17" s="31">
        <v>1600</v>
      </c>
      <c r="B17" t="s">
        <v>798</v>
      </c>
      <c r="C17" s="205">
        <f t="shared" si="0"/>
        <v>143192.76000000004</v>
      </c>
      <c r="D17" s="19">
        <f>'DOE25'!L252-F17-G17-H17</f>
        <v>143192.76000000004</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20000000</v>
      </c>
      <c r="D22" s="179"/>
      <c r="E22" s="179"/>
      <c r="F22" s="179"/>
      <c r="G22" s="19">
        <f>'DOE25'!L256+'DOE25'!L337</f>
        <v>20000000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11470852.950000001</v>
      </c>
      <c r="D25" s="179"/>
      <c r="E25" s="179"/>
      <c r="F25" s="190"/>
      <c r="G25" s="179"/>
      <c r="H25" s="179"/>
      <c r="I25" s="189">
        <f>'DOE25'!L261+'DOE25'!L262+'DOE25'!L342+'DOE25'!L343</f>
        <v>11470852.950000001</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3975194.3199999994</v>
      </c>
      <c r="D29" s="211">
        <f>'DOE25'!L359+'DOE25'!L360+'DOE25'!L361-'DOE25'!I368-F29-G29-H29-F39</f>
        <v>3927061.7399999993</v>
      </c>
      <c r="E29" s="179"/>
      <c r="F29" s="179"/>
      <c r="G29" s="19">
        <f>'DOE25'!J359+'DOE25'!J360+'DOE25'!J361</f>
        <v>48132.579999999994</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55950829.330000006</v>
      </c>
      <c r="D31" s="19">
        <f>'DOE25'!L291+'DOE25'!L310+'DOE25'!L329+'DOE25'!L334+'DOE25'!L335+'DOE25'!L336-F31-G31-H31</f>
        <v>40430312.220000006</v>
      </c>
      <c r="E31" s="179"/>
      <c r="F31" s="180">
        <v>1129548.46</v>
      </c>
      <c r="G31" s="19">
        <f>'DOE25'!J291+'DOE25'!J310+'DOE25'!J329+'DOE25'!J334+'DOE25'!J335+'DOE25'!J336</f>
        <v>14179984.829999998</v>
      </c>
      <c r="H31" s="19">
        <f>'DOE25'!K291+'DOE25'!K310+'DOE25'!K329+'DOE25'!K334+'DOE25'!K335+'DOE25'!K336</f>
        <v>210983.82</v>
      </c>
      <c r="I31" s="191"/>
    </row>
    <row r="32" spans="1:9" ht="12" thickBot="1" x14ac:dyDescent="0.25">
      <c r="C32" s="206"/>
      <c r="G32" s="187"/>
      <c r="H32" s="187"/>
      <c r="I32" s="193"/>
    </row>
    <row r="33" spans="1:9" ht="12" thickTop="1" x14ac:dyDescent="0.2">
      <c r="B33" t="s">
        <v>806</v>
      </c>
      <c r="D33" s="181">
        <f t="shared" ref="D33:I33" si="1">SUM(D5:D31)</f>
        <v>203774587.66</v>
      </c>
      <c r="E33" s="181">
        <f t="shared" si="1"/>
        <v>4963723.08</v>
      </c>
      <c r="F33" s="181">
        <f t="shared" si="1"/>
        <v>21949487.579999998</v>
      </c>
      <c r="G33" s="181">
        <f t="shared" si="1"/>
        <v>34659266.119999997</v>
      </c>
      <c r="H33" s="181">
        <f t="shared" si="1"/>
        <v>352398.95</v>
      </c>
      <c r="I33" s="181">
        <f t="shared" si="1"/>
        <v>11470852.950000001</v>
      </c>
    </row>
    <row r="34" spans="1:9" ht="12" thickBot="1" x14ac:dyDescent="0.25"/>
    <row r="35" spans="1:9" ht="12" thickBot="1" x14ac:dyDescent="0.25">
      <c r="B35" s="187" t="s">
        <v>827</v>
      </c>
      <c r="D35" s="188">
        <f>E33</f>
        <v>4963723.08</v>
      </c>
      <c r="E35" s="184"/>
      <c r="F35" s="294" t="s">
        <v>1596</v>
      </c>
      <c r="G35" s="295"/>
      <c r="H35" s="295"/>
      <c r="I35" s="296"/>
    </row>
    <row r="36" spans="1:9" ht="12" thickTop="1" x14ac:dyDescent="0.2">
      <c r="B36" t="s">
        <v>807</v>
      </c>
      <c r="D36" s="19">
        <f>D33</f>
        <v>203774587.66</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horizontalDpi="4294967295" verticalDpi="4294967295"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G1" zoomScaleNormal="100" workbookViewId="0">
      <selection activeCell="T12" sqref="T12"/>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Manchester</v>
      </c>
      <c r="B2">
        <f>'DOE25'!B2</f>
        <v>335</v>
      </c>
      <c r="J2" s="223" t="s">
        <v>1799</v>
      </c>
      <c r="K2" s="308">
        <f>SUM('DOE25'!L198:L201)+SUM('DOE25'!L277:L280)</f>
        <v>66613048.110000007</v>
      </c>
      <c r="L2" s="308">
        <f>'DOE25'!L203+'DOE25'!L282</f>
        <v>8660761.8599999994</v>
      </c>
      <c r="M2" s="308">
        <f>'DOE25'!L204+'DOE25'!L283</f>
        <v>3359402.6999999993</v>
      </c>
      <c r="N2" s="308">
        <f>'DOE25'!L206+'DOE25'!L285</f>
        <v>5253320.87</v>
      </c>
      <c r="O2" s="316">
        <f>'Salaries-Benefits'!B10+'Salaries-Benefits'!B12+'Salaries-Benefits'!B19+'Salaries-Benefits'!B21+'Salaries-Benefits'!B28+'Salaries-Benefits'!B30+'Salaries-Benefits'!B37+'Salaries-Benefits'!B39</f>
        <v>79019322.409999996</v>
      </c>
      <c r="P2" s="316">
        <f>'Salaries-Benefits'!B11+'Salaries-Benefits'!B20+'Salaries-Benefits'!B29+'Salaries-Benefits'!B38</f>
        <v>4303560.46</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104402318.81</v>
      </c>
      <c r="G4" s="228">
        <f>'DOE25'!L212+'DOE25'!L291</f>
        <v>104402318.81</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1390556.34</v>
      </c>
      <c r="E5" s="219">
        <v>0</v>
      </c>
      <c r="F5" s="231">
        <f>D5+E5</f>
        <v>1390556.34</v>
      </c>
      <c r="G5" s="222"/>
      <c r="H5" s="222"/>
      <c r="J5" s="71" t="s">
        <v>1840</v>
      </c>
      <c r="K5" s="20">
        <v>1390556.34</v>
      </c>
      <c r="L5" s="20"/>
      <c r="M5" s="20"/>
      <c r="N5" s="20"/>
      <c r="O5" s="20"/>
      <c r="P5" s="20"/>
      <c r="Q5" s="20"/>
    </row>
    <row r="6" spans="1:22" x14ac:dyDescent="0.2">
      <c r="A6" t="str" cm="1">
        <f t="array" ref="A6">IFERROR(INDEX('School Tables'!$A$4:$G$365,'School Tables'!$J4,3),"")</f>
        <v>Bakersville School</v>
      </c>
      <c r="B6" s="229">
        <f>IFERROR(VLOOKUP(A6,'School Tables'!$C$3:$D$365,2,FALSE),"")</f>
        <v>21545</v>
      </c>
      <c r="C6" s="222" t="str">
        <f>IFERROR(INDEX('School Tables'!$B$3:$B$365,MATCH('School Level Expenditures'!B6,'School Tables'!$D$3:$D$365,0)),"")</f>
        <v>Manchester</v>
      </c>
      <c r="D6" s="219">
        <v>4961363.1399999997</v>
      </c>
      <c r="E6" s="219">
        <f>1911186.65-0.01</f>
        <v>1911186.64</v>
      </c>
      <c r="F6" s="231">
        <f t="shared" ref="F6:F20" si="2">D6+E6</f>
        <v>6872549.7799999993</v>
      </c>
      <c r="G6" s="222"/>
      <c r="H6" s="222"/>
      <c r="J6" t="str">
        <f t="shared" ref="J6:J20" si="3">A6</f>
        <v>Bakersville School</v>
      </c>
      <c r="K6" s="20">
        <f>4661466.33+0.01</f>
        <v>4661466.34</v>
      </c>
      <c r="L6" s="20">
        <f>611258.59-0.01</f>
        <v>611258.57999999996</v>
      </c>
      <c r="M6" s="307">
        <f>246468.87-0.01</f>
        <v>246468.86</v>
      </c>
      <c r="N6" s="20">
        <v>360331.02</v>
      </c>
      <c r="O6" s="20">
        <f>2614279.92-0.01</f>
        <v>2614279.91</v>
      </c>
      <c r="P6" s="20">
        <f>146554.9+0.01</f>
        <v>146554.91</v>
      </c>
      <c r="Q6" s="20">
        <v>71210.64</v>
      </c>
    </row>
    <row r="7" spans="1:22" x14ac:dyDescent="0.2">
      <c r="A7" t="str" cm="1">
        <f t="array" ref="A7">IFERROR(INDEX('School Tables'!$A$4:$G$365,'School Tables'!$J5,3),"")</f>
        <v>Beech Street School</v>
      </c>
      <c r="B7" s="229">
        <f>IFERROR(VLOOKUP(A7,'School Tables'!$C$3:$D$365,2,FALSE),"")</f>
        <v>21600</v>
      </c>
      <c r="C7" s="222" t="str">
        <f>IFERROR(INDEX('School Tables'!$B$3:$B$365,MATCH('School Level Expenditures'!B7,'School Tables'!$D$3:$D$365,0)),"")</f>
        <v>Manchester</v>
      </c>
      <c r="D7" s="219">
        <v>6420976.3200000003</v>
      </c>
      <c r="E7" s="219">
        <v>2443785.84</v>
      </c>
      <c r="F7" s="231">
        <f t="shared" si="2"/>
        <v>8864762.1600000001</v>
      </c>
      <c r="G7" s="222"/>
      <c r="H7" s="222"/>
      <c r="J7" t="str">
        <f t="shared" si="3"/>
        <v>Beech Street School</v>
      </c>
      <c r="K7" s="20">
        <v>5996176.5199999996</v>
      </c>
      <c r="L7" s="20">
        <v>774276.24</v>
      </c>
      <c r="M7" s="307">
        <v>290048.59000000003</v>
      </c>
      <c r="N7" s="20">
        <v>462678.47</v>
      </c>
      <c r="O7" s="20">
        <v>3400364.34</v>
      </c>
      <c r="P7" s="20">
        <v>134826.99</v>
      </c>
      <c r="Q7" s="20">
        <v>81722.3</v>
      </c>
    </row>
    <row r="8" spans="1:22" x14ac:dyDescent="0.2">
      <c r="A8" t="str" cm="1">
        <f t="array" ref="A8">IFERROR(INDEX('School Tables'!$A$4:$G$365,'School Tables'!$J6,3),"")</f>
        <v>Gossler Park School</v>
      </c>
      <c r="B8" s="229">
        <f>IFERROR(VLOOKUP(A8,'School Tables'!$C$3:$D$365,2,FALSE),"")</f>
        <v>21530</v>
      </c>
      <c r="C8" s="222" t="str">
        <f>IFERROR(INDEX('School Tables'!$B$3:$B$365,MATCH('School Level Expenditures'!B8,'School Tables'!$D$3:$D$365,0)),"")</f>
        <v>Manchester</v>
      </c>
      <c r="D8" s="219">
        <v>4940096.8600000003</v>
      </c>
      <c r="E8" s="219">
        <v>1382120.41</v>
      </c>
      <c r="F8" s="231">
        <f t="shared" si="2"/>
        <v>6322217.2700000005</v>
      </c>
      <c r="G8" s="222"/>
      <c r="H8" s="222"/>
      <c r="J8" t="str">
        <f t="shared" si="3"/>
        <v>Gossler Park School</v>
      </c>
      <c r="K8" s="20">
        <v>4198528.74</v>
      </c>
      <c r="L8" s="20">
        <v>575905.57999999996</v>
      </c>
      <c r="M8" s="307">
        <v>235821.19</v>
      </c>
      <c r="N8" s="20">
        <v>361949.53</v>
      </c>
      <c r="O8" s="20">
        <v>2225101.79</v>
      </c>
      <c r="P8" s="20">
        <v>226516.63</v>
      </c>
      <c r="Q8" s="20">
        <v>67977.570000000007</v>
      </c>
    </row>
    <row r="9" spans="1:22" x14ac:dyDescent="0.2">
      <c r="A9" t="str" cm="1">
        <f t="array" ref="A9">IFERROR(INDEX('School Tables'!$A$4:$G$365,'School Tables'!$J7,3),"")</f>
        <v>Green Acres School</v>
      </c>
      <c r="B9" s="229">
        <f>IFERROR(VLOOKUP(A9,'School Tables'!$C$3:$D$365,2,FALSE),"")</f>
        <v>21610</v>
      </c>
      <c r="C9" s="222" t="str">
        <f>IFERROR(INDEX('School Tables'!$B$3:$B$365,MATCH('School Level Expenditures'!B9,'School Tables'!$D$3:$D$365,0)),"")</f>
        <v>Manchester</v>
      </c>
      <c r="D9" s="219">
        <v>5938370.5499999998</v>
      </c>
      <c r="E9" s="219">
        <v>1670031.37</v>
      </c>
      <c r="F9" s="231">
        <f t="shared" si="2"/>
        <v>7608401.9199999999</v>
      </c>
      <c r="G9" s="222"/>
      <c r="H9" s="222"/>
      <c r="J9" t="str">
        <f t="shared" si="3"/>
        <v>Green Acres School</v>
      </c>
      <c r="K9" s="20">
        <v>4450389.66</v>
      </c>
      <c r="L9" s="20">
        <v>703234.61</v>
      </c>
      <c r="M9" s="307">
        <v>287780.36</v>
      </c>
      <c r="N9" s="20">
        <v>416713.94</v>
      </c>
      <c r="O9" s="20">
        <v>2333782.2400000002</v>
      </c>
      <c r="P9" s="20">
        <v>229608.6</v>
      </c>
      <c r="Q9" s="20">
        <v>67347.95</v>
      </c>
    </row>
    <row r="10" spans="1:22" x14ac:dyDescent="0.2">
      <c r="A10" t="str" cm="1">
        <f t="array" ref="A10">IFERROR(INDEX('School Tables'!$A$4:$G$365,'School Tables'!$J8,3),"")</f>
        <v>Henry Wilson Elementary School</v>
      </c>
      <c r="B10" s="229">
        <f>IFERROR(VLOOKUP(A10,'School Tables'!$C$3:$D$365,2,FALSE),"")</f>
        <v>21640</v>
      </c>
      <c r="C10" s="222" t="str">
        <f>IFERROR(INDEX('School Tables'!$B$3:$B$365,MATCH('School Level Expenditures'!B10,'School Tables'!$D$3:$D$365,0)),"")</f>
        <v>Manchester</v>
      </c>
      <c r="D10" s="219">
        <v>4700150.1900000004</v>
      </c>
      <c r="E10" s="219">
        <v>1812571.91</v>
      </c>
      <c r="F10" s="231">
        <f t="shared" si="2"/>
        <v>6512722.1000000006</v>
      </c>
      <c r="G10" s="222"/>
      <c r="H10" s="222"/>
      <c r="J10" t="str">
        <f t="shared" si="3"/>
        <v>Henry Wilson Elementary School</v>
      </c>
      <c r="K10" s="20">
        <v>4381847.3899999997</v>
      </c>
      <c r="L10" s="20">
        <v>564188.06999999995</v>
      </c>
      <c r="M10" s="20">
        <v>174982.01</v>
      </c>
      <c r="N10" s="20">
        <v>360560.2</v>
      </c>
      <c r="O10" s="20">
        <v>2414506.4900000002</v>
      </c>
      <c r="P10" s="20">
        <v>21107.42</v>
      </c>
      <c r="Q10" s="20">
        <v>75269.27</v>
      </c>
    </row>
    <row r="11" spans="1:22" x14ac:dyDescent="0.2">
      <c r="A11" t="str" cm="1">
        <f t="array" ref="A11">IFERROR(INDEX('School Tables'!$A$4:$G$365,'School Tables'!$J9,3),"")</f>
        <v>Highland-Goffes Falls School</v>
      </c>
      <c r="B11" s="229">
        <f>IFERROR(VLOOKUP(A11,'School Tables'!$C$3:$D$365,2,FALSE),"")</f>
        <v>21560</v>
      </c>
      <c r="C11" s="222" t="str">
        <f>IFERROR(INDEX('School Tables'!$B$3:$B$365,MATCH('School Level Expenditures'!B11,'School Tables'!$D$3:$D$365,0)),"")</f>
        <v>Manchester</v>
      </c>
      <c r="D11" s="219">
        <v>5283463.91</v>
      </c>
      <c r="E11" s="219">
        <v>2196935.2999999998</v>
      </c>
      <c r="F11" s="231">
        <f t="shared" si="2"/>
        <v>7480399.21</v>
      </c>
      <c r="G11" s="222"/>
      <c r="H11" s="222"/>
      <c r="J11" t="str">
        <f t="shared" si="3"/>
        <v>Highland-Goffes Falls School</v>
      </c>
      <c r="K11" s="20">
        <v>4615664.63</v>
      </c>
      <c r="L11" s="20">
        <v>575056.43000000005</v>
      </c>
      <c r="M11" s="20">
        <v>268379.99</v>
      </c>
      <c r="N11" s="20">
        <v>406017.33</v>
      </c>
      <c r="O11" s="20">
        <v>2333119.75</v>
      </c>
      <c r="P11" s="20">
        <v>369432.01</v>
      </c>
      <c r="Q11" s="20">
        <v>63446.22</v>
      </c>
    </row>
    <row r="12" spans="1:22" x14ac:dyDescent="0.2">
      <c r="A12" t="str" cm="1">
        <f t="array" ref="A12">IFERROR(INDEX('School Tables'!$A$4:$G$365,'School Tables'!$J10,3),"")</f>
        <v>Jewett School</v>
      </c>
      <c r="B12" s="229">
        <f>IFERROR(VLOOKUP(A12,'School Tables'!$C$3:$D$365,2,FALSE),"")</f>
        <v>21590</v>
      </c>
      <c r="C12" s="222" t="str">
        <f>IFERROR(INDEX('School Tables'!$B$3:$B$365,MATCH('School Level Expenditures'!B12,'School Tables'!$D$3:$D$365,0)),"")</f>
        <v>Manchester</v>
      </c>
      <c r="D12" s="219">
        <v>6329881.6600000001</v>
      </c>
      <c r="E12" s="219">
        <v>1707186.96</v>
      </c>
      <c r="F12" s="231">
        <f t="shared" si="2"/>
        <v>8037068.6200000001</v>
      </c>
      <c r="G12" s="222"/>
      <c r="H12" s="222"/>
      <c r="J12" t="str">
        <f t="shared" si="3"/>
        <v>Jewett School</v>
      </c>
      <c r="K12" s="20">
        <v>5253406.45</v>
      </c>
      <c r="L12" s="20">
        <v>775100.71</v>
      </c>
      <c r="M12" s="20">
        <v>260481.23</v>
      </c>
      <c r="N12" s="20">
        <v>431236.82</v>
      </c>
      <c r="O12" s="20">
        <v>2858875.65</v>
      </c>
      <c r="P12" s="20">
        <v>263763.33</v>
      </c>
      <c r="Q12" s="20">
        <v>73487.100000000006</v>
      </c>
    </row>
    <row r="13" spans="1:22" x14ac:dyDescent="0.2">
      <c r="A13" t="str" cm="1">
        <f t="array" ref="A13">IFERROR(INDEX('School Tables'!$A$4:$G$365,'School Tables'!$J11,3),"")</f>
        <v>McDonough School</v>
      </c>
      <c r="B13" s="229">
        <f>IFERROR(VLOOKUP(A13,'School Tables'!$C$3:$D$365,2,FALSE),"")</f>
        <v>21565</v>
      </c>
      <c r="C13" s="222" t="str">
        <f>IFERROR(INDEX('School Tables'!$B$3:$B$365,MATCH('School Level Expenditures'!B13,'School Tables'!$D$3:$D$365,0)),"")</f>
        <v>Manchester</v>
      </c>
      <c r="D13" s="219">
        <v>6753982</v>
      </c>
      <c r="E13" s="219">
        <v>3125919.74</v>
      </c>
      <c r="F13" s="231">
        <f t="shared" si="2"/>
        <v>9879901.7400000002</v>
      </c>
      <c r="G13" s="222"/>
      <c r="H13" s="222"/>
      <c r="J13" t="str">
        <f t="shared" si="3"/>
        <v>McDonough School</v>
      </c>
      <c r="K13" s="20">
        <v>6145781.3300000001</v>
      </c>
      <c r="L13" s="20">
        <v>712553.36</v>
      </c>
      <c r="M13" s="20">
        <v>295074.73</v>
      </c>
      <c r="N13" s="20">
        <v>401005.41</v>
      </c>
      <c r="O13" s="20">
        <v>3295305.9</v>
      </c>
      <c r="P13" s="20">
        <v>286604.32</v>
      </c>
      <c r="Q13" s="20">
        <v>91379.44</v>
      </c>
    </row>
    <row r="14" spans="1:22" x14ac:dyDescent="0.2">
      <c r="A14" t="str" cm="1">
        <f t="array" ref="A14">IFERROR(INDEX('School Tables'!$A$4:$G$365,'School Tables'!$J12,3),"")</f>
        <v>Northwest Elementary School</v>
      </c>
      <c r="B14" s="229">
        <f>IFERROR(VLOOKUP(A14,'School Tables'!$C$3:$D$365,2,FALSE),"")</f>
        <v>26435</v>
      </c>
      <c r="C14" s="222" t="str">
        <f>IFERROR(INDEX('School Tables'!$B$3:$B$365,MATCH('School Level Expenditures'!B14,'School Tables'!$D$3:$D$365,0)),"")</f>
        <v>Manchester</v>
      </c>
      <c r="D14" s="219">
        <v>6389164.5800000001</v>
      </c>
      <c r="E14" s="219">
        <v>2886934.29</v>
      </c>
      <c r="F14" s="231">
        <f t="shared" si="2"/>
        <v>9276098.870000001</v>
      </c>
      <c r="G14" s="222"/>
      <c r="H14" s="222"/>
      <c r="J14" t="str">
        <f t="shared" si="3"/>
        <v>Northwest Elementary School</v>
      </c>
      <c r="K14" s="20">
        <v>6049685.0999999996</v>
      </c>
      <c r="L14" s="20">
        <v>654962.86</v>
      </c>
      <c r="M14" s="20">
        <v>270092.58</v>
      </c>
      <c r="N14" s="20">
        <v>417421.54</v>
      </c>
      <c r="O14" s="20">
        <v>3461517.62</v>
      </c>
      <c r="P14" s="20">
        <v>129372.94</v>
      </c>
      <c r="Q14" s="20">
        <v>118900</v>
      </c>
    </row>
    <row r="15" spans="1:22" x14ac:dyDescent="0.2">
      <c r="A15" t="str" cm="1">
        <f t="array" ref="A15">IFERROR(INDEX('School Tables'!$A$4:$G$365,'School Tables'!$J13,3),"")</f>
        <v>Parker-Varney School</v>
      </c>
      <c r="B15" s="229">
        <f>IFERROR(VLOOKUP(A15,'School Tables'!$C$3:$D$365,2,FALSE),"")</f>
        <v>21540</v>
      </c>
      <c r="C15" s="222" t="str">
        <f>IFERROR(INDEX('School Tables'!$B$3:$B$365,MATCH('School Level Expenditures'!B15,'School Tables'!$D$3:$D$365,0)),"")</f>
        <v>Manchester</v>
      </c>
      <c r="D15" s="219">
        <v>5328992.2699999996</v>
      </c>
      <c r="E15" s="219">
        <v>2414962.1</v>
      </c>
      <c r="F15" s="231">
        <f t="shared" si="2"/>
        <v>7743954.3699999992</v>
      </c>
      <c r="G15" s="222"/>
      <c r="H15" s="222"/>
      <c r="J15" t="str">
        <f t="shared" si="3"/>
        <v>Parker-Varney School</v>
      </c>
      <c r="K15" s="20">
        <v>4622408.53</v>
      </c>
      <c r="L15" s="20">
        <v>544022.6</v>
      </c>
      <c r="M15" s="20">
        <v>259320.07</v>
      </c>
      <c r="N15" s="20">
        <v>507604.11</v>
      </c>
      <c r="O15" s="20">
        <v>2349553.34</v>
      </c>
      <c r="P15" s="20">
        <v>308174.78000000003</v>
      </c>
      <c r="Q15" s="20">
        <v>70950.179999999993</v>
      </c>
    </row>
    <row r="16" spans="1:22" x14ac:dyDescent="0.2">
      <c r="A16" t="str" cm="1">
        <f t="array" ref="A16">IFERROR(INDEX('School Tables'!$A$4:$G$365,'School Tables'!$J14,3),"")</f>
        <v>Smyth Road School</v>
      </c>
      <c r="B16" s="229">
        <f>IFERROR(VLOOKUP(A16,'School Tables'!$C$3:$D$365,2,FALSE),"")</f>
        <v>21605</v>
      </c>
      <c r="C16" s="222" t="str">
        <f>IFERROR(INDEX('School Tables'!$B$3:$B$365,MATCH('School Level Expenditures'!B16,'School Tables'!$D$3:$D$365,0)),"")</f>
        <v>Manchester</v>
      </c>
      <c r="D16" s="219">
        <v>5521421.7599999998</v>
      </c>
      <c r="E16" s="219">
        <v>1514086.89</v>
      </c>
      <c r="F16" s="231">
        <f t="shared" si="2"/>
        <v>7035508.6499999994</v>
      </c>
      <c r="G16" s="222"/>
      <c r="H16" s="222"/>
      <c r="J16" t="str">
        <f t="shared" si="3"/>
        <v>Smyth Road School</v>
      </c>
      <c r="K16" s="20">
        <v>4580302.8499999996</v>
      </c>
      <c r="L16" s="20">
        <v>664012.55000000005</v>
      </c>
      <c r="M16" s="20">
        <v>231643.7</v>
      </c>
      <c r="N16" s="20">
        <v>367882.18</v>
      </c>
      <c r="O16" s="20">
        <v>2480714.4500000002</v>
      </c>
      <c r="P16" s="20">
        <v>164448.74</v>
      </c>
      <c r="Q16" s="20">
        <v>63916.07</v>
      </c>
    </row>
    <row r="17" spans="1:17" x14ac:dyDescent="0.2">
      <c r="A17" t="str" cm="1">
        <f t="array" ref="A17">IFERROR(INDEX('School Tables'!$A$4:$G$365,'School Tables'!$J15,3),"")</f>
        <v>Webster School</v>
      </c>
      <c r="B17" s="229">
        <f>IFERROR(VLOOKUP(A17,'School Tables'!$C$3:$D$365,2,FALSE),"")</f>
        <v>21635</v>
      </c>
      <c r="C17" s="222" t="str">
        <f>IFERROR(INDEX('School Tables'!$B$3:$B$365,MATCH('School Level Expenditures'!B17,'School Tables'!$D$3:$D$365,0)),"")</f>
        <v>Manchester</v>
      </c>
      <c r="D17" s="219">
        <v>5021647.63</v>
      </c>
      <c r="E17" s="219">
        <v>2419086.7200000002</v>
      </c>
      <c r="F17" s="231">
        <f t="shared" si="2"/>
        <v>7440734.3499999996</v>
      </c>
      <c r="G17" s="222"/>
      <c r="H17" s="222"/>
      <c r="J17" t="str">
        <f t="shared" si="3"/>
        <v>Webster School</v>
      </c>
      <c r="K17" s="20">
        <v>4555375.17</v>
      </c>
      <c r="L17" s="20">
        <v>494022.37</v>
      </c>
      <c r="M17" s="20">
        <v>268639.15000000002</v>
      </c>
      <c r="N17" s="20">
        <v>290197.2</v>
      </c>
      <c r="O17" s="20">
        <v>2536997.0099999998</v>
      </c>
      <c r="P17" s="20">
        <v>181229</v>
      </c>
      <c r="Q17" s="20">
        <v>62087.59</v>
      </c>
    </row>
    <row r="18" spans="1:17" x14ac:dyDescent="0.2">
      <c r="A18" t="str" cm="1">
        <f t="array" ref="A18">IFERROR(INDEX('School Tables'!$A$4:$G$365,'School Tables'!$J16,3),"")</f>
        <v>Weston Elementary School</v>
      </c>
      <c r="B18" s="229">
        <f>IFERROR(VLOOKUP(A18,'School Tables'!$C$3:$D$365,2,FALSE),"")</f>
        <v>21515</v>
      </c>
      <c r="C18" s="222" t="str">
        <f>IFERROR(INDEX('School Tables'!$B$3:$B$365,MATCH('School Level Expenditures'!B18,'School Tables'!$D$3:$D$365,0)),"")</f>
        <v>Manchester</v>
      </c>
      <c r="D18" s="219">
        <v>6870104.0700000003</v>
      </c>
      <c r="E18" s="219">
        <v>3067339.36</v>
      </c>
      <c r="F18" s="231">
        <f t="shared" si="2"/>
        <v>9937443.4299999997</v>
      </c>
      <c r="G18" s="222"/>
      <c r="H18" s="222"/>
      <c r="J18" t="str">
        <f t="shared" si="3"/>
        <v>Weston Elementary School</v>
      </c>
      <c r="K18" s="20">
        <v>5711459.0599999996</v>
      </c>
      <c r="L18" s="20">
        <v>1012167.9</v>
      </c>
      <c r="M18" s="20">
        <v>270670.24</v>
      </c>
      <c r="N18" s="20">
        <v>469723.12</v>
      </c>
      <c r="O18" s="20">
        <v>2967060.21</v>
      </c>
      <c r="P18" s="20">
        <v>350309.05</v>
      </c>
      <c r="Q18" s="20">
        <v>90108.67</v>
      </c>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75850171.280000001</v>
      </c>
      <c r="E21" s="261">
        <f>SUM(E5:E20)</f>
        <v>28552147.530000001</v>
      </c>
      <c r="F21" s="216"/>
      <c r="G21" s="216"/>
      <c r="H21" s="216"/>
      <c r="K21" s="262">
        <f t="shared" ref="K21:Q21" si="4">SUM(K5:K20)</f>
        <v>66613048.110000007</v>
      </c>
      <c r="L21" s="262">
        <f t="shared" si="4"/>
        <v>8660761.8599999994</v>
      </c>
      <c r="M21" s="262">
        <f t="shared" si="4"/>
        <v>3359402.7</v>
      </c>
      <c r="N21" s="262">
        <f t="shared" si="4"/>
        <v>5253320.87</v>
      </c>
      <c r="O21" s="262">
        <f t="shared" si="4"/>
        <v>35271178.700000003</v>
      </c>
      <c r="P21" s="262">
        <f t="shared" si="4"/>
        <v>2811948.7199999997</v>
      </c>
      <c r="Q21" s="262">
        <f t="shared" si="4"/>
        <v>997802.99999999988</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41096450.119999997</v>
      </c>
      <c r="L23" s="19">
        <f>'DOE25'!L221+'DOE25'!L301</f>
        <v>4659153.8900000006</v>
      </c>
      <c r="M23" s="19">
        <f>'DOE25'!L222+'DOE25'!L302</f>
        <v>1557819.67</v>
      </c>
      <c r="N23" s="19">
        <f>'DOE25'!L224+'DOE25'!L304</f>
        <v>2714682.39</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63179566.219999999</v>
      </c>
      <c r="G25" s="228">
        <f>'DOE25'!L230+'DOE25'!L310</f>
        <v>63179566.219999991</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1877271.04</v>
      </c>
      <c r="E26" s="219">
        <v>0</v>
      </c>
      <c r="F26" s="231">
        <f>D26+E26</f>
        <v>1877271.04</v>
      </c>
      <c r="G26" s="222"/>
      <c r="H26" s="222"/>
      <c r="J26" s="71" t="s">
        <v>1840</v>
      </c>
      <c r="K26" s="315">
        <v>1877271.04</v>
      </c>
      <c r="L26" s="315"/>
      <c r="M26" s="315"/>
      <c r="N26" s="315"/>
      <c r="O26" s="315"/>
      <c r="P26" s="315"/>
      <c r="Q26" s="315"/>
    </row>
    <row r="27" spans="1:17" x14ac:dyDescent="0.2">
      <c r="A27" t="str" cm="1">
        <f t="array" ref="A27">IFERROR(INDEX('School Tables'!$L$4:$R$100,'School Tables'!$U4,3),"")</f>
        <v>Henry J. McLaughlin Jr. Middle School</v>
      </c>
      <c r="B27" s="229">
        <f>IFERROR(VLOOKUP(A27,'School Tables'!$N$4:$O$100,2,FALSE),"")</f>
        <v>27595</v>
      </c>
      <c r="C27" s="222" t="str">
        <f>IFERROR(INDEX('School Tables'!$M$4:$M$100,MATCH('School Level Expenditures'!A27,'School Tables'!$N$4:$N$100,0)),"")</f>
        <v>Manchester</v>
      </c>
      <c r="D27" s="219">
        <v>10464547.16</v>
      </c>
      <c r="E27" s="219">
        <f>3842763.1+0.01</f>
        <v>3842763.11</v>
      </c>
      <c r="F27" s="231">
        <f t="shared" ref="F27:F33" si="6">D27+E27</f>
        <v>14307310.27</v>
      </c>
      <c r="G27" s="222"/>
      <c r="H27" s="222"/>
      <c r="J27" t="str">
        <f t="shared" ref="J27:J33" si="7">A27</f>
        <v>Henry J. McLaughlin Jr. Middle School</v>
      </c>
      <c r="K27" s="20">
        <f>8864658.27-0.01</f>
        <v>8864658.2599999998</v>
      </c>
      <c r="L27" s="20">
        <v>1165702.94</v>
      </c>
      <c r="M27" s="307">
        <v>372691.42</v>
      </c>
      <c r="N27" s="20">
        <v>692071.72</v>
      </c>
      <c r="O27" s="20">
        <v>5047549.8899999997</v>
      </c>
      <c r="P27" s="20">
        <v>179566.27</v>
      </c>
      <c r="Q27" s="20">
        <v>75575.490000000005</v>
      </c>
    </row>
    <row r="28" spans="1:17" x14ac:dyDescent="0.2">
      <c r="A28" t="str" cm="1">
        <f t="array" ref="A28">IFERROR(INDEX('School Tables'!$L$4:$R$100,'School Tables'!$U5,3),"")</f>
        <v>Hillside Middle School</v>
      </c>
      <c r="B28" s="229">
        <f>IFERROR(VLOOKUP(A28,'School Tables'!$N$4:$O$100,2,FALSE),"")</f>
        <v>21520</v>
      </c>
      <c r="C28" s="222" t="str">
        <f>IFERROR(INDEX('School Tables'!$M$4:$M$100,MATCH('School Level Expenditures'!A28,'School Tables'!$N$4:$N$100,0)),"")</f>
        <v>Manchester</v>
      </c>
      <c r="D28" s="219">
        <v>12038277.57</v>
      </c>
      <c r="E28" s="219">
        <v>3372424.06</v>
      </c>
      <c r="F28" s="231">
        <f t="shared" si="6"/>
        <v>15410701.630000001</v>
      </c>
      <c r="G28" s="222"/>
      <c r="H28" s="222"/>
      <c r="J28" t="str">
        <f t="shared" si="7"/>
        <v>Hillside Middle School</v>
      </c>
      <c r="K28" s="20">
        <v>9809612.3100000005</v>
      </c>
      <c r="L28" s="20">
        <v>1082795.1599999999</v>
      </c>
      <c r="M28" s="20">
        <v>418197.6</v>
      </c>
      <c r="N28" s="20">
        <v>699523.19</v>
      </c>
      <c r="O28" s="20">
        <v>5224663.2300000004</v>
      </c>
      <c r="P28" s="20">
        <v>232690.55</v>
      </c>
      <c r="Q28" s="20">
        <v>91736.52</v>
      </c>
    </row>
    <row r="29" spans="1:17" x14ac:dyDescent="0.2">
      <c r="A29" t="str" cm="1">
        <f t="array" ref="A29">IFERROR(INDEX('School Tables'!$L$4:$R$100,'School Tables'!$U6,3),"")</f>
        <v>Middle School At Parkside</v>
      </c>
      <c r="B29" s="229">
        <f>IFERROR(VLOOKUP(A29,'School Tables'!$N$4:$O$100,2,FALSE),"")</f>
        <v>21525</v>
      </c>
      <c r="C29" s="222" t="str">
        <f>IFERROR(INDEX('School Tables'!$M$4:$M$100,MATCH('School Level Expenditures'!A29,'School Tables'!$N$4:$N$100,0)),"")</f>
        <v>Manchester</v>
      </c>
      <c r="D29" s="219">
        <v>12517043.9</v>
      </c>
      <c r="E29" s="219">
        <v>3492270.69</v>
      </c>
      <c r="F29" s="231">
        <f t="shared" si="6"/>
        <v>16009314.59</v>
      </c>
      <c r="G29" s="222"/>
      <c r="H29" s="222"/>
      <c r="J29" t="str">
        <f t="shared" si="7"/>
        <v>Middle School At Parkside</v>
      </c>
      <c r="K29" s="20">
        <v>10444115.52</v>
      </c>
      <c r="L29" s="20">
        <v>1220134.1100000001</v>
      </c>
      <c r="M29" s="20">
        <v>397130.16</v>
      </c>
      <c r="N29" s="20">
        <v>647366.84</v>
      </c>
      <c r="O29" s="20">
        <v>5900960.5300000003</v>
      </c>
      <c r="P29" s="20">
        <v>258137.74</v>
      </c>
      <c r="Q29" s="20">
        <v>97255.2</v>
      </c>
    </row>
    <row r="30" spans="1:17" x14ac:dyDescent="0.2">
      <c r="A30" t="str" cm="1">
        <f t="array" ref="A30">IFERROR(INDEX('School Tables'!$L$4:$R$100,'School Tables'!$U7,3),"")</f>
        <v>Southside Middle School</v>
      </c>
      <c r="B30" s="229">
        <f>IFERROR(VLOOKUP(A30,'School Tables'!$N$4:$O$100,2,FALSE),"")</f>
        <v>21575</v>
      </c>
      <c r="C30" s="222" t="str">
        <f>IFERROR(INDEX('School Tables'!$M$4:$M$100,MATCH('School Level Expenditures'!A30,'School Tables'!$N$4:$N$100,0)),"")</f>
        <v>Manchester</v>
      </c>
      <c r="D30" s="219">
        <v>12177161.119999999</v>
      </c>
      <c r="E30" s="219">
        <v>3397807.57</v>
      </c>
      <c r="F30" s="231">
        <f t="shared" si="6"/>
        <v>15574968.689999999</v>
      </c>
      <c r="G30" s="222"/>
      <c r="H30" s="222"/>
      <c r="J30" t="str">
        <f t="shared" si="7"/>
        <v>Southside Middle School</v>
      </c>
      <c r="K30" s="20">
        <v>10100792.99</v>
      </c>
      <c r="L30" s="20">
        <v>1190521.68</v>
      </c>
      <c r="M30" s="20">
        <v>369800.49</v>
      </c>
      <c r="N30" s="20">
        <v>675720.64</v>
      </c>
      <c r="O30" s="20">
        <v>5935866.5499999998</v>
      </c>
      <c r="P30" s="20">
        <v>162404.4</v>
      </c>
      <c r="Q30" s="20">
        <v>89583.28</v>
      </c>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49074300.789999999</v>
      </c>
      <c r="E34" s="261">
        <f>SUM(E26:E33)</f>
        <v>14105265.43</v>
      </c>
      <c r="F34" s="216"/>
      <c r="G34" s="216"/>
      <c r="H34" s="216"/>
      <c r="K34" s="262">
        <f t="shared" ref="K34:Q34" si="8">SUM(K26:K33)</f>
        <v>41096450.119999997</v>
      </c>
      <c r="L34" s="262">
        <f t="shared" si="8"/>
        <v>4659153.8899999997</v>
      </c>
      <c r="M34" s="262">
        <f t="shared" si="8"/>
        <v>1557819.67</v>
      </c>
      <c r="N34" s="262">
        <f t="shared" si="8"/>
        <v>2714682.39</v>
      </c>
      <c r="O34" s="262">
        <f t="shared" si="8"/>
        <v>22109040.200000003</v>
      </c>
      <c r="P34" s="262">
        <f t="shared" si="8"/>
        <v>832798.96</v>
      </c>
      <c r="Q34" s="262">
        <f t="shared" si="8"/>
        <v>354150.49</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43658200.759999998</v>
      </c>
      <c r="L36" s="19">
        <f>'DOE25'!L239+'DOE25'!L320</f>
        <v>5288292.2799999993</v>
      </c>
      <c r="M36" s="19">
        <f>'DOE25'!L240+'DOE25'!L321</f>
        <v>1314228.4300000002</v>
      </c>
      <c r="N36" s="19">
        <f>'DOE25'!L242+'DOE25'!L323</f>
        <v>4003066.8900000006</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73791953.219999999</v>
      </c>
      <c r="G38" s="228">
        <f>'DOE25'!L248+'DOE25'!L329</f>
        <v>73791953.219999999</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3011221.39</v>
      </c>
      <c r="E39" s="219">
        <v>6942.5</v>
      </c>
      <c r="F39" s="231">
        <f t="shared" ref="F39:F44" si="10">D39+E39</f>
        <v>3018163.89</v>
      </c>
      <c r="G39" s="222"/>
      <c r="H39" s="222"/>
      <c r="J39" s="71" t="s">
        <v>1840</v>
      </c>
      <c r="K39" s="315">
        <f>3011221.39+6942.5</f>
        <v>3018163.89</v>
      </c>
      <c r="L39" s="315"/>
      <c r="M39" s="315"/>
      <c r="N39" s="315"/>
      <c r="O39" s="315"/>
      <c r="P39" s="315"/>
      <c r="Q39" s="315"/>
    </row>
    <row r="40" spans="1:17" x14ac:dyDescent="0.2">
      <c r="A40" t="str" cm="1">
        <f t="array" ref="A40">IFERROR(INDEX('School Tables'!$W$4:$AC$120,'School Tables'!$AF4,3),"")</f>
        <v>Manchester Central High School</v>
      </c>
      <c r="B40" s="229">
        <f>IFERROR(VLOOKUP(A40,'School Tables'!$Y$4:$Z$120,2,FALSE),"")</f>
        <v>21510</v>
      </c>
      <c r="C40" s="222" t="str">
        <f>IFERROR(INDEX('School Tables'!$X$4:$X$120,MATCH('School Level Expenditures'!A40,'School Tables'!$Y$4:$Y$120,0)),"")</f>
        <v>Manchester</v>
      </c>
      <c r="D40" s="219">
        <v>18348451.140000001</v>
      </c>
      <c r="E40" s="219">
        <f>5365716.32-0.01</f>
        <v>5365716.3100000005</v>
      </c>
      <c r="F40" s="231">
        <f t="shared" si="10"/>
        <v>23714167.450000003</v>
      </c>
      <c r="G40" s="222"/>
      <c r="H40" s="222"/>
      <c r="J40" t="str">
        <f>A40</f>
        <v>Manchester Central High School</v>
      </c>
      <c r="K40" s="20">
        <v>12661997.58</v>
      </c>
      <c r="L40" s="20">
        <f>1570749.24+0.01</f>
        <v>1570749.25</v>
      </c>
      <c r="M40" s="307">
        <f>428619.61-0.01</f>
        <v>428619.6</v>
      </c>
      <c r="N40" s="20">
        <v>1199512.5</v>
      </c>
      <c r="O40" s="20">
        <v>6830312.8700000001</v>
      </c>
      <c r="P40" s="20">
        <v>146060.22</v>
      </c>
      <c r="Q40" s="20">
        <v>304961.21000000002</v>
      </c>
    </row>
    <row r="41" spans="1:17" x14ac:dyDescent="0.2">
      <c r="A41" t="str" cm="1">
        <f t="array" ref="A41">IFERROR(INDEX('School Tables'!$W$4:$AC$120,'School Tables'!$AF5,3),"")</f>
        <v>Manchester Memorial High School</v>
      </c>
      <c r="B41" s="229">
        <f>IFERROR(VLOOKUP(A41,'School Tables'!$Y$4:$Z$120,2,FALSE),"")</f>
        <v>21505</v>
      </c>
      <c r="C41" s="222" t="str">
        <f>IFERROR(INDEX('School Tables'!$X$4:$X$120,MATCH('School Level Expenditures'!A41,'School Tables'!$Y$4:$Y$120,0)),"")</f>
        <v>Manchester</v>
      </c>
      <c r="D41" s="219">
        <v>19097067.300000001</v>
      </c>
      <c r="E41" s="219">
        <v>3725815.38</v>
      </c>
      <c r="F41" s="231">
        <f t="shared" si="10"/>
        <v>22822882.68</v>
      </c>
      <c r="G41" s="222"/>
      <c r="H41" s="222"/>
      <c r="J41" t="str">
        <f>A41</f>
        <v>Manchester Memorial High School</v>
      </c>
      <c r="K41" s="20">
        <v>13296023.199999999</v>
      </c>
      <c r="L41" s="20">
        <v>1968058.5</v>
      </c>
      <c r="M41" s="20">
        <v>552509.27</v>
      </c>
      <c r="N41" s="20">
        <v>1188193.57</v>
      </c>
      <c r="O41" s="20">
        <v>7083408.8899999997</v>
      </c>
      <c r="P41" s="20">
        <v>257736.23</v>
      </c>
      <c r="Q41" s="20">
        <v>322894.34000000003</v>
      </c>
    </row>
    <row r="42" spans="1:17" x14ac:dyDescent="0.2">
      <c r="A42" t="str" cm="1">
        <f t="array" ref="A42">IFERROR(INDEX('School Tables'!$W$4:$AC$120,'School Tables'!$AF6,3),"")</f>
        <v>Manchester School of Technology (High School)</v>
      </c>
      <c r="B42" s="229">
        <f>IFERROR(VLOOKUP(A42,'School Tables'!$Y$4:$Z$120,2,FALSE),"")</f>
        <v>29085</v>
      </c>
      <c r="C42" s="222" t="str">
        <f>IFERROR(INDEX('School Tables'!$X$4:$X$120,MATCH('School Level Expenditures'!A42,'School Tables'!$Y$4:$Y$120,0)),"")</f>
        <v>Manchester</v>
      </c>
      <c r="D42" s="219">
        <v>7164122.2199999997</v>
      </c>
      <c r="E42" s="219">
        <v>1610478.85</v>
      </c>
      <c r="F42" s="231">
        <f t="shared" si="10"/>
        <v>8774601.0700000003</v>
      </c>
      <c r="G42" s="222"/>
      <c r="H42" s="222"/>
      <c r="J42" t="str">
        <f>A42</f>
        <v>Manchester School of Technology (High School)</v>
      </c>
      <c r="K42" s="20">
        <v>5662712.0499999998</v>
      </c>
      <c r="L42" s="20">
        <v>571957.78</v>
      </c>
      <c r="M42" s="20">
        <v>95049.87</v>
      </c>
      <c r="N42" s="20">
        <v>723379.56</v>
      </c>
      <c r="O42" s="20">
        <v>2949045.19</v>
      </c>
      <c r="P42" s="20">
        <v>56728.92</v>
      </c>
      <c r="Q42" s="20">
        <v>48080.43</v>
      </c>
    </row>
    <row r="43" spans="1:17" x14ac:dyDescent="0.2">
      <c r="A43" t="str" cm="1">
        <f t="array" ref="A43">IFERROR(INDEX('School Tables'!$W$4:$AC$120,'School Tables'!$AF7,3),"")</f>
        <v>Manchester West High School</v>
      </c>
      <c r="B43" s="229">
        <f>IFERROR(VLOOKUP(A43,'School Tables'!$Y$4:$Z$120,2,FALSE),"")</f>
        <v>21555</v>
      </c>
      <c r="C43" s="222" t="str">
        <f>IFERROR(INDEX('School Tables'!$X$4:$X$120,MATCH('School Level Expenditures'!A43,'School Tables'!$Y$4:$Y$120,0)),"")</f>
        <v>Manchester</v>
      </c>
      <c r="D43" s="20">
        <v>13084912.859999999</v>
      </c>
      <c r="E43" s="20">
        <v>2377225.27</v>
      </c>
      <c r="F43" s="231">
        <f t="shared" si="10"/>
        <v>15462138.129999999</v>
      </c>
      <c r="G43" s="222"/>
      <c r="H43" s="222"/>
      <c r="J43" t="str">
        <f>A43</f>
        <v>Manchester West High School</v>
      </c>
      <c r="K43" s="20">
        <v>9019304.0399999991</v>
      </c>
      <c r="L43" s="20">
        <v>1177526.75</v>
      </c>
      <c r="M43" s="20">
        <v>238049.69</v>
      </c>
      <c r="N43" s="20">
        <v>891981.26</v>
      </c>
      <c r="O43" s="20">
        <v>4776336.5599999996</v>
      </c>
      <c r="P43" s="20">
        <v>198287.41</v>
      </c>
      <c r="Q43" s="20">
        <v>114165.99</v>
      </c>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60705774.909999996</v>
      </c>
      <c r="E45" s="262">
        <f>SUM(E39:E44)</f>
        <v>13086178.310000001</v>
      </c>
      <c r="K45" s="262">
        <f t="shared" ref="K45:Q45" si="11">SUM(K39:K44)</f>
        <v>43658200.759999998</v>
      </c>
      <c r="L45" s="262">
        <f t="shared" si="11"/>
        <v>5288292.28</v>
      </c>
      <c r="M45" s="262">
        <f t="shared" si="11"/>
        <v>1314228.43</v>
      </c>
      <c r="N45" s="262">
        <f t="shared" si="11"/>
        <v>4003066.8900000006</v>
      </c>
      <c r="O45" s="262">
        <f t="shared" si="11"/>
        <v>21639103.509999998</v>
      </c>
      <c r="P45" s="262">
        <f t="shared" si="11"/>
        <v>658812.78</v>
      </c>
      <c r="Q45" s="262">
        <f t="shared" si="11"/>
        <v>790101.97000000009</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row r="358" customFormat="1" x14ac:dyDescent="0.2"/>
    <row r="359" customFormat="1" x14ac:dyDescent="0.2"/>
    <row r="360" customFormat="1" x14ac:dyDescent="0.2"/>
    <row r="361" customFormat="1" x14ac:dyDescent="0.2"/>
    <row r="362" customFormat="1" x14ac:dyDescent="0.2"/>
    <row r="363" customFormat="1" x14ac:dyDescent="0.2"/>
    <row r="364" customFormat="1" x14ac:dyDescent="0.2"/>
    <row r="365" customFormat="1" x14ac:dyDescent="0.2"/>
    <row r="366" customFormat="1" x14ac:dyDescent="0.2"/>
    <row r="367" customFormat="1" x14ac:dyDescent="0.2"/>
    <row r="368" customFormat="1" x14ac:dyDescent="0.2"/>
    <row r="369" customFormat="1" x14ac:dyDescent="0.2"/>
    <row r="370" customFormat="1" x14ac:dyDescent="0.2"/>
    <row r="371" customFormat="1" x14ac:dyDescent="0.2"/>
    <row r="372" customFormat="1" x14ac:dyDescent="0.2"/>
    <row r="373" customFormat="1" x14ac:dyDescent="0.2"/>
    <row r="374" customFormat="1" x14ac:dyDescent="0.2"/>
    <row r="375" customFormat="1" x14ac:dyDescent="0.2"/>
    <row r="376" customFormat="1" x14ac:dyDescent="0.2"/>
    <row r="377" customFormat="1" x14ac:dyDescent="0.2"/>
    <row r="378" customFormat="1" x14ac:dyDescent="0.2"/>
    <row r="379" customFormat="1" x14ac:dyDescent="0.2"/>
    <row r="380" customFormat="1" x14ac:dyDescent="0.2"/>
    <row r="381" customFormat="1" x14ac:dyDescent="0.2"/>
    <row r="382" customFormat="1" x14ac:dyDescent="0.2"/>
    <row r="383" customFormat="1" x14ac:dyDescent="0.2"/>
    <row r="384" customFormat="1" x14ac:dyDescent="0.2"/>
    <row r="385" customFormat="1" x14ac:dyDescent="0.2"/>
    <row r="386" customFormat="1" x14ac:dyDescent="0.2"/>
    <row r="387" customFormat="1" x14ac:dyDescent="0.2"/>
    <row r="388" customFormat="1" x14ac:dyDescent="0.2"/>
    <row r="389" customFormat="1" x14ac:dyDescent="0.2"/>
    <row r="390" customFormat="1" x14ac:dyDescent="0.2"/>
    <row r="391" customFormat="1" x14ac:dyDescent="0.2"/>
    <row r="392" customFormat="1" x14ac:dyDescent="0.2"/>
    <row r="393" customFormat="1" x14ac:dyDescent="0.2"/>
    <row r="394" customFormat="1" x14ac:dyDescent="0.2"/>
    <row r="395" customFormat="1" x14ac:dyDescent="0.2"/>
    <row r="396" customFormat="1" x14ac:dyDescent="0.2"/>
    <row r="397" customFormat="1" x14ac:dyDescent="0.2"/>
    <row r="398" customFormat="1" x14ac:dyDescent="0.2"/>
    <row r="399" customFormat="1" x14ac:dyDescent="0.2"/>
    <row r="400" customFormat="1" x14ac:dyDescent="0.2"/>
    <row r="401" customFormat="1" x14ac:dyDescent="0.2"/>
    <row r="402" customFormat="1" x14ac:dyDescent="0.2"/>
    <row r="403" customFormat="1" x14ac:dyDescent="0.2"/>
    <row r="404" customFormat="1" x14ac:dyDescent="0.2"/>
    <row r="405" customFormat="1" x14ac:dyDescent="0.2"/>
    <row r="406" customFormat="1" x14ac:dyDescent="0.2"/>
    <row r="407" customFormat="1" x14ac:dyDescent="0.2"/>
    <row r="408" customFormat="1" x14ac:dyDescent="0.2"/>
    <row r="409" customFormat="1" x14ac:dyDescent="0.2"/>
    <row r="410" customFormat="1" x14ac:dyDescent="0.2"/>
    <row r="411" customFormat="1" x14ac:dyDescent="0.2"/>
    <row r="412" customFormat="1" x14ac:dyDescent="0.2"/>
    <row r="413" customFormat="1" x14ac:dyDescent="0.2"/>
    <row r="414" customFormat="1" x14ac:dyDescent="0.2"/>
    <row r="415" customFormat="1" x14ac:dyDescent="0.2"/>
    <row r="416" customFormat="1" x14ac:dyDescent="0.2"/>
    <row r="417" customFormat="1" x14ac:dyDescent="0.2"/>
    <row r="418" customFormat="1" x14ac:dyDescent="0.2"/>
    <row r="419" customFormat="1" x14ac:dyDescent="0.2"/>
    <row r="420" customFormat="1" x14ac:dyDescent="0.2"/>
    <row r="421" customFormat="1" x14ac:dyDescent="0.2"/>
    <row r="422" customFormat="1" x14ac:dyDescent="0.2"/>
    <row r="423" customFormat="1" x14ac:dyDescent="0.2"/>
    <row r="424" customFormat="1" x14ac:dyDescent="0.2"/>
    <row r="425" customFormat="1" x14ac:dyDescent="0.2"/>
    <row r="426" customFormat="1" x14ac:dyDescent="0.2"/>
    <row r="427" customFormat="1" x14ac:dyDescent="0.2"/>
    <row r="428" customFormat="1" x14ac:dyDescent="0.2"/>
    <row r="429" customFormat="1" x14ac:dyDescent="0.2"/>
    <row r="430" customFormat="1" x14ac:dyDescent="0.2"/>
    <row r="431" customFormat="1" x14ac:dyDescent="0.2"/>
    <row r="432" customFormat="1" x14ac:dyDescent="0.2"/>
    <row r="433" customFormat="1" x14ac:dyDescent="0.2"/>
    <row r="434" customFormat="1" x14ac:dyDescent="0.2"/>
    <row r="435" customFormat="1" x14ac:dyDescent="0.2"/>
    <row r="436" customFormat="1" x14ac:dyDescent="0.2"/>
    <row r="437" customFormat="1" x14ac:dyDescent="0.2"/>
    <row r="438" customFormat="1" x14ac:dyDescent="0.2"/>
    <row r="439" customFormat="1" x14ac:dyDescent="0.2"/>
    <row r="440" customFormat="1" x14ac:dyDescent="0.2"/>
    <row r="441" customFormat="1" x14ac:dyDescent="0.2"/>
    <row r="442" customFormat="1" x14ac:dyDescent="0.2"/>
    <row r="443" customFormat="1" x14ac:dyDescent="0.2"/>
    <row r="444" customFormat="1" x14ac:dyDescent="0.2"/>
    <row r="445" customFormat="1" x14ac:dyDescent="0.2"/>
    <row r="446" customFormat="1" x14ac:dyDescent="0.2"/>
    <row r="447" customFormat="1" x14ac:dyDescent="0.2"/>
    <row r="448" customFormat="1" x14ac:dyDescent="0.2"/>
    <row r="449" customFormat="1" x14ac:dyDescent="0.2"/>
    <row r="450" customFormat="1" x14ac:dyDescent="0.2"/>
    <row r="451" customFormat="1" x14ac:dyDescent="0.2"/>
    <row r="452" customFormat="1" x14ac:dyDescent="0.2"/>
    <row r="453" customFormat="1" x14ac:dyDescent="0.2"/>
    <row r="454" customFormat="1" x14ac:dyDescent="0.2"/>
    <row r="455" customFormat="1" x14ac:dyDescent="0.2"/>
    <row r="456" customFormat="1" x14ac:dyDescent="0.2"/>
    <row r="457" customFormat="1" x14ac:dyDescent="0.2"/>
    <row r="458" customFormat="1" x14ac:dyDescent="0.2"/>
    <row r="459" customFormat="1" x14ac:dyDescent="0.2"/>
    <row r="460" customFormat="1" x14ac:dyDescent="0.2"/>
    <row r="461" customFormat="1" x14ac:dyDescent="0.2"/>
    <row r="462" customFormat="1" x14ac:dyDescent="0.2"/>
    <row r="463" customFormat="1" x14ac:dyDescent="0.2"/>
    <row r="464" customFormat="1" x14ac:dyDescent="0.2"/>
    <row r="465" customFormat="1" x14ac:dyDescent="0.2"/>
    <row r="466" customFormat="1" x14ac:dyDescent="0.2"/>
    <row r="467" customFormat="1" x14ac:dyDescent="0.2"/>
    <row r="468" customFormat="1" x14ac:dyDescent="0.2"/>
    <row r="469" customFormat="1" x14ac:dyDescent="0.2"/>
    <row r="470" customFormat="1" x14ac:dyDescent="0.2"/>
    <row r="471" customFormat="1" x14ac:dyDescent="0.2"/>
    <row r="472" customFormat="1" x14ac:dyDescent="0.2"/>
    <row r="473" customFormat="1" x14ac:dyDescent="0.2"/>
    <row r="474" customFormat="1" x14ac:dyDescent="0.2"/>
    <row r="475" customFormat="1" x14ac:dyDescent="0.2"/>
    <row r="476" customFormat="1" x14ac:dyDescent="0.2"/>
    <row r="477" customFormat="1" x14ac:dyDescent="0.2"/>
    <row r="478" customFormat="1" x14ac:dyDescent="0.2"/>
    <row r="479" customFormat="1" x14ac:dyDescent="0.2"/>
    <row r="480" customFormat="1" x14ac:dyDescent="0.2"/>
    <row r="481" customFormat="1" x14ac:dyDescent="0.2"/>
    <row r="482" customFormat="1" x14ac:dyDescent="0.2"/>
    <row r="483" customFormat="1" x14ac:dyDescent="0.2"/>
    <row r="484" customFormat="1" x14ac:dyDescent="0.2"/>
    <row r="485" customFormat="1" x14ac:dyDescent="0.2"/>
    <row r="486" customFormat="1" x14ac:dyDescent="0.2"/>
    <row r="487" customFormat="1" x14ac:dyDescent="0.2"/>
    <row r="488" customFormat="1" x14ac:dyDescent="0.2"/>
    <row r="489" customFormat="1" x14ac:dyDescent="0.2"/>
    <row r="490" customFormat="1" x14ac:dyDescent="0.2"/>
    <row r="491" customFormat="1" x14ac:dyDescent="0.2"/>
    <row r="492" customFormat="1" x14ac:dyDescent="0.2"/>
    <row r="493" customFormat="1" x14ac:dyDescent="0.2"/>
    <row r="494" customFormat="1" x14ac:dyDescent="0.2"/>
    <row r="495" customFormat="1" x14ac:dyDescent="0.2"/>
    <row r="496" customFormat="1" x14ac:dyDescent="0.2"/>
    <row r="497" customFormat="1" x14ac:dyDescent="0.2"/>
    <row r="498" customFormat="1" x14ac:dyDescent="0.2"/>
    <row r="499" customFormat="1" x14ac:dyDescent="0.2"/>
    <row r="500" customFormat="1" x14ac:dyDescent="0.2"/>
    <row r="501" customFormat="1" x14ac:dyDescent="0.2"/>
    <row r="502" customFormat="1" x14ac:dyDescent="0.2"/>
    <row r="503" customFormat="1" x14ac:dyDescent="0.2"/>
    <row r="504" customFormat="1" x14ac:dyDescent="0.2"/>
    <row r="505" customFormat="1" x14ac:dyDescent="0.2"/>
    <row r="506" customFormat="1" x14ac:dyDescent="0.2"/>
    <row r="507" customFormat="1" x14ac:dyDescent="0.2"/>
    <row r="508" customFormat="1" x14ac:dyDescent="0.2"/>
    <row r="509" customFormat="1" x14ac:dyDescent="0.2"/>
    <row r="510" customFormat="1" x14ac:dyDescent="0.2"/>
    <row r="511" customFormat="1" x14ac:dyDescent="0.2"/>
    <row r="512" customFormat="1" x14ac:dyDescent="0.2"/>
    <row r="513" customFormat="1" x14ac:dyDescent="0.2"/>
    <row r="514" customFormat="1" x14ac:dyDescent="0.2"/>
    <row r="515" customFormat="1" x14ac:dyDescent="0.2"/>
    <row r="516" customFormat="1" x14ac:dyDescent="0.2"/>
    <row r="517" customFormat="1" x14ac:dyDescent="0.2"/>
    <row r="518" customFormat="1" x14ac:dyDescent="0.2"/>
    <row r="519" customFormat="1" x14ac:dyDescent="0.2"/>
    <row r="520" customFormat="1" x14ac:dyDescent="0.2"/>
    <row r="521" customFormat="1" x14ac:dyDescent="0.2"/>
    <row r="522" customFormat="1" x14ac:dyDescent="0.2"/>
    <row r="523" customFormat="1" x14ac:dyDescent="0.2"/>
    <row r="524" customFormat="1" x14ac:dyDescent="0.2"/>
    <row r="525" customFormat="1" x14ac:dyDescent="0.2"/>
    <row r="526" customFormat="1" x14ac:dyDescent="0.2"/>
    <row r="527" customFormat="1" x14ac:dyDescent="0.2"/>
    <row r="528" customFormat="1" x14ac:dyDescent="0.2"/>
    <row r="529" customFormat="1" x14ac:dyDescent="0.2"/>
    <row r="530" customFormat="1" x14ac:dyDescent="0.2"/>
    <row r="531" customFormat="1" x14ac:dyDescent="0.2"/>
    <row r="532" customFormat="1" x14ac:dyDescent="0.2"/>
    <row r="533" customFormat="1" x14ac:dyDescent="0.2"/>
    <row r="534" customFormat="1" x14ac:dyDescent="0.2"/>
    <row r="535" customFormat="1" x14ac:dyDescent="0.2"/>
    <row r="536" customFormat="1" x14ac:dyDescent="0.2"/>
    <row r="537" customFormat="1" x14ac:dyDescent="0.2"/>
    <row r="538" customFormat="1" x14ac:dyDescent="0.2"/>
    <row r="539" customFormat="1" x14ac:dyDescent="0.2"/>
    <row r="540" customFormat="1" x14ac:dyDescent="0.2"/>
    <row r="541" customFormat="1" x14ac:dyDescent="0.2"/>
    <row r="542" customFormat="1" x14ac:dyDescent="0.2"/>
    <row r="543" customFormat="1" x14ac:dyDescent="0.2"/>
    <row r="544" customFormat="1" x14ac:dyDescent="0.2"/>
    <row r="545" customFormat="1" x14ac:dyDescent="0.2"/>
    <row r="546" customFormat="1" x14ac:dyDescent="0.2"/>
    <row r="547" customFormat="1" x14ac:dyDescent="0.2"/>
    <row r="548" customFormat="1" x14ac:dyDescent="0.2"/>
    <row r="549" customFormat="1" x14ac:dyDescent="0.2"/>
    <row r="550" customFormat="1" x14ac:dyDescent="0.2"/>
    <row r="551" customFormat="1" x14ac:dyDescent="0.2"/>
    <row r="552" customFormat="1" x14ac:dyDescent="0.2"/>
    <row r="553" customFormat="1" x14ac:dyDescent="0.2"/>
    <row r="554" customFormat="1" x14ac:dyDescent="0.2"/>
    <row r="555" customFormat="1" x14ac:dyDescent="0.2"/>
    <row r="556" customFormat="1" x14ac:dyDescent="0.2"/>
    <row r="557" customFormat="1" x14ac:dyDescent="0.2"/>
    <row r="558" customFormat="1" x14ac:dyDescent="0.2"/>
    <row r="559" customFormat="1" x14ac:dyDescent="0.2"/>
    <row r="560" customFormat="1" x14ac:dyDescent="0.2"/>
    <row r="561" customFormat="1" x14ac:dyDescent="0.2"/>
    <row r="562" customFormat="1" x14ac:dyDescent="0.2"/>
    <row r="563" customFormat="1" x14ac:dyDescent="0.2"/>
    <row r="564" customFormat="1" x14ac:dyDescent="0.2"/>
    <row r="565" customFormat="1" x14ac:dyDescent="0.2"/>
    <row r="566" customFormat="1" x14ac:dyDescent="0.2"/>
    <row r="567" customFormat="1" x14ac:dyDescent="0.2"/>
    <row r="568" customFormat="1" x14ac:dyDescent="0.2"/>
    <row r="569" customFormat="1" x14ac:dyDescent="0.2"/>
    <row r="570" customFormat="1" x14ac:dyDescent="0.2"/>
    <row r="571" customFormat="1" x14ac:dyDescent="0.2"/>
    <row r="572" customFormat="1" x14ac:dyDescent="0.2"/>
    <row r="573" customFormat="1" x14ac:dyDescent="0.2"/>
    <row r="574" customFormat="1" x14ac:dyDescent="0.2"/>
    <row r="575" customFormat="1" x14ac:dyDescent="0.2"/>
    <row r="576" customFormat="1" x14ac:dyDescent="0.2"/>
    <row r="577" customFormat="1" x14ac:dyDescent="0.2"/>
    <row r="578" customFormat="1" x14ac:dyDescent="0.2"/>
    <row r="579" customFormat="1" x14ac:dyDescent="0.2"/>
    <row r="580" customFormat="1" x14ac:dyDescent="0.2"/>
    <row r="581" customFormat="1" x14ac:dyDescent="0.2"/>
    <row r="582" customFormat="1" x14ac:dyDescent="0.2"/>
    <row r="583" customFormat="1" x14ac:dyDescent="0.2"/>
    <row r="584" customFormat="1" x14ac:dyDescent="0.2"/>
    <row r="585" customFormat="1" x14ac:dyDescent="0.2"/>
    <row r="586" customFormat="1" x14ac:dyDescent="0.2"/>
    <row r="587" customFormat="1" x14ac:dyDescent="0.2"/>
    <row r="588" customFormat="1" x14ac:dyDescent="0.2"/>
    <row r="589" customFormat="1" x14ac:dyDescent="0.2"/>
    <row r="590" customFormat="1" x14ac:dyDescent="0.2"/>
    <row r="591" customFormat="1" x14ac:dyDescent="0.2"/>
    <row r="592" customFormat="1" x14ac:dyDescent="0.2"/>
    <row r="593" customFormat="1" x14ac:dyDescent="0.2"/>
    <row r="594" customFormat="1" x14ac:dyDescent="0.2"/>
    <row r="595" customFormat="1" x14ac:dyDescent="0.2"/>
    <row r="596" customFormat="1" x14ac:dyDescent="0.2"/>
    <row r="597" customFormat="1" x14ac:dyDescent="0.2"/>
    <row r="598" customFormat="1" x14ac:dyDescent="0.2"/>
    <row r="599" customFormat="1" x14ac:dyDescent="0.2"/>
    <row r="600" customFormat="1" x14ac:dyDescent="0.2"/>
    <row r="601" customFormat="1" x14ac:dyDescent="0.2"/>
    <row r="602" customFormat="1" x14ac:dyDescent="0.2"/>
    <row r="603" customFormat="1" x14ac:dyDescent="0.2"/>
    <row r="604" customFormat="1" x14ac:dyDescent="0.2"/>
    <row r="605" customFormat="1" x14ac:dyDescent="0.2"/>
    <row r="606" customFormat="1" x14ac:dyDescent="0.2"/>
    <row r="607" customFormat="1" x14ac:dyDescent="0.2"/>
    <row r="608" customFormat="1" x14ac:dyDescent="0.2"/>
    <row r="609" customFormat="1" x14ac:dyDescent="0.2"/>
    <row r="610" customFormat="1" x14ac:dyDescent="0.2"/>
    <row r="611" customFormat="1" x14ac:dyDescent="0.2"/>
    <row r="612" customFormat="1" x14ac:dyDescent="0.2"/>
    <row r="613" customFormat="1" x14ac:dyDescent="0.2"/>
    <row r="614" customFormat="1" x14ac:dyDescent="0.2"/>
    <row r="615" customFormat="1" x14ac:dyDescent="0.2"/>
    <row r="616" customFormat="1" x14ac:dyDescent="0.2"/>
    <row r="617" customFormat="1" x14ac:dyDescent="0.2"/>
    <row r="618" customFormat="1" x14ac:dyDescent="0.2"/>
    <row r="619" customFormat="1" x14ac:dyDescent="0.2"/>
    <row r="620" customFormat="1" x14ac:dyDescent="0.2"/>
    <row r="621" customFormat="1" x14ac:dyDescent="0.2"/>
    <row r="622" customFormat="1" x14ac:dyDescent="0.2"/>
    <row r="623" customFormat="1" x14ac:dyDescent="0.2"/>
    <row r="624" customFormat="1" x14ac:dyDescent="0.2"/>
    <row r="625" customFormat="1" x14ac:dyDescent="0.2"/>
    <row r="626" customFormat="1" x14ac:dyDescent="0.2"/>
    <row r="627" customFormat="1" x14ac:dyDescent="0.2"/>
    <row r="628" customFormat="1" x14ac:dyDescent="0.2"/>
    <row r="629" customFormat="1" x14ac:dyDescent="0.2"/>
    <row r="630" customFormat="1" x14ac:dyDescent="0.2"/>
    <row r="631" customFormat="1" x14ac:dyDescent="0.2"/>
    <row r="632" customFormat="1" x14ac:dyDescent="0.2"/>
    <row r="633" customFormat="1" x14ac:dyDescent="0.2"/>
    <row r="634" customFormat="1" x14ac:dyDescent="0.2"/>
    <row r="635" customFormat="1" x14ac:dyDescent="0.2"/>
    <row r="636" customFormat="1" x14ac:dyDescent="0.2"/>
    <row r="637" customFormat="1" x14ac:dyDescent="0.2"/>
    <row r="638" customFormat="1" x14ac:dyDescent="0.2"/>
    <row r="639" customFormat="1" x14ac:dyDescent="0.2"/>
    <row r="640" customFormat="1" x14ac:dyDescent="0.2"/>
    <row r="641" customFormat="1" x14ac:dyDescent="0.2"/>
    <row r="642" customFormat="1" x14ac:dyDescent="0.2"/>
    <row r="643" customFormat="1" x14ac:dyDescent="0.2"/>
    <row r="644" customFormat="1" x14ac:dyDescent="0.2"/>
    <row r="645" customFormat="1" x14ac:dyDescent="0.2"/>
    <row r="646" customFormat="1" x14ac:dyDescent="0.2"/>
    <row r="647" customFormat="1" x14ac:dyDescent="0.2"/>
    <row r="648" customFormat="1" x14ac:dyDescent="0.2"/>
    <row r="649" customFormat="1" x14ac:dyDescent="0.2"/>
    <row r="650" customFormat="1" x14ac:dyDescent="0.2"/>
    <row r="651" customFormat="1" x14ac:dyDescent="0.2"/>
    <row r="652" customFormat="1" x14ac:dyDescent="0.2"/>
    <row r="653" customFormat="1" x14ac:dyDescent="0.2"/>
    <row r="654" customFormat="1" x14ac:dyDescent="0.2"/>
    <row r="655" customFormat="1" x14ac:dyDescent="0.2"/>
    <row r="656" customFormat="1" x14ac:dyDescent="0.2"/>
    <row r="657" customFormat="1" x14ac:dyDescent="0.2"/>
    <row r="658" customFormat="1" x14ac:dyDescent="0.2"/>
    <row r="659" customFormat="1" x14ac:dyDescent="0.2"/>
    <row r="660" customFormat="1" x14ac:dyDescent="0.2"/>
    <row r="661" customFormat="1" x14ac:dyDescent="0.2"/>
    <row r="662" customFormat="1" x14ac:dyDescent="0.2"/>
    <row r="663" customFormat="1" x14ac:dyDescent="0.2"/>
    <row r="664" customFormat="1" x14ac:dyDescent="0.2"/>
    <row r="665" customFormat="1" x14ac:dyDescent="0.2"/>
    <row r="666" customFormat="1" x14ac:dyDescent="0.2"/>
    <row r="667" customFormat="1" x14ac:dyDescent="0.2"/>
    <row r="668" customFormat="1" x14ac:dyDescent="0.2"/>
    <row r="669" customFormat="1" x14ac:dyDescent="0.2"/>
    <row r="670" customFormat="1" x14ac:dyDescent="0.2"/>
    <row r="671" customFormat="1" x14ac:dyDescent="0.2"/>
    <row r="672" customFormat="1" x14ac:dyDescent="0.2"/>
    <row r="673" customFormat="1" x14ac:dyDescent="0.2"/>
    <row r="674" customFormat="1" x14ac:dyDescent="0.2"/>
    <row r="675" customFormat="1" x14ac:dyDescent="0.2"/>
    <row r="676" customFormat="1" x14ac:dyDescent="0.2"/>
    <row r="677" customFormat="1" x14ac:dyDescent="0.2"/>
    <row r="678" customFormat="1" x14ac:dyDescent="0.2"/>
    <row r="679" customFormat="1" x14ac:dyDescent="0.2"/>
    <row r="680" customFormat="1" x14ac:dyDescent="0.2"/>
    <row r="681" customFormat="1" x14ac:dyDescent="0.2"/>
    <row r="682" customFormat="1" x14ac:dyDescent="0.2"/>
    <row r="683" customFormat="1" x14ac:dyDescent="0.2"/>
    <row r="684" customFormat="1" x14ac:dyDescent="0.2"/>
    <row r="685" customFormat="1" x14ac:dyDescent="0.2"/>
    <row r="686" customFormat="1" x14ac:dyDescent="0.2"/>
    <row r="687" customFormat="1" x14ac:dyDescent="0.2"/>
    <row r="688" customFormat="1" x14ac:dyDescent="0.2"/>
    <row r="689" customFormat="1" x14ac:dyDescent="0.2"/>
    <row r="690" customFormat="1" x14ac:dyDescent="0.2"/>
    <row r="691" customFormat="1" x14ac:dyDescent="0.2"/>
    <row r="692" customFormat="1" x14ac:dyDescent="0.2"/>
    <row r="693" customFormat="1" x14ac:dyDescent="0.2"/>
    <row r="694" customFormat="1" x14ac:dyDescent="0.2"/>
    <row r="695" customFormat="1" x14ac:dyDescent="0.2"/>
    <row r="696" customFormat="1" x14ac:dyDescent="0.2"/>
    <row r="697" customFormat="1" x14ac:dyDescent="0.2"/>
    <row r="698" customFormat="1" x14ac:dyDescent="0.2"/>
    <row r="699" customFormat="1" x14ac:dyDescent="0.2"/>
    <row r="700" customFormat="1" x14ac:dyDescent="0.2"/>
    <row r="701" customFormat="1" x14ac:dyDescent="0.2"/>
    <row r="702" customFormat="1" x14ac:dyDescent="0.2"/>
    <row r="703" customFormat="1" x14ac:dyDescent="0.2"/>
    <row r="704" customFormat="1" x14ac:dyDescent="0.2"/>
    <row r="705" customFormat="1" x14ac:dyDescent="0.2"/>
    <row r="706" customFormat="1" x14ac:dyDescent="0.2"/>
    <row r="707" customFormat="1" x14ac:dyDescent="0.2"/>
    <row r="708" customFormat="1" x14ac:dyDescent="0.2"/>
    <row r="709" customFormat="1" x14ac:dyDescent="0.2"/>
    <row r="710" customFormat="1" x14ac:dyDescent="0.2"/>
    <row r="711" customFormat="1" x14ac:dyDescent="0.2"/>
    <row r="712" customFormat="1" x14ac:dyDescent="0.2"/>
    <row r="713" customFormat="1" x14ac:dyDescent="0.2"/>
    <row r="714" customFormat="1" x14ac:dyDescent="0.2"/>
    <row r="715" customFormat="1" x14ac:dyDescent="0.2"/>
    <row r="716" customFormat="1" x14ac:dyDescent="0.2"/>
    <row r="717" customFormat="1" x14ac:dyDescent="0.2"/>
    <row r="718" customFormat="1" x14ac:dyDescent="0.2"/>
    <row r="719" customFormat="1" x14ac:dyDescent="0.2"/>
    <row r="720" customFormat="1" x14ac:dyDescent="0.2"/>
    <row r="721" customFormat="1" x14ac:dyDescent="0.2"/>
    <row r="722" customFormat="1" x14ac:dyDescent="0.2"/>
    <row r="723" customFormat="1" x14ac:dyDescent="0.2"/>
    <row r="724" customFormat="1" x14ac:dyDescent="0.2"/>
    <row r="725" customFormat="1" x14ac:dyDescent="0.2"/>
    <row r="726" customFormat="1" x14ac:dyDescent="0.2"/>
    <row r="727" customFormat="1" x14ac:dyDescent="0.2"/>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G134" sqref="G13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Manchester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11783031.369999999</v>
      </c>
      <c r="D8" s="73">
        <f>'DOE25'!G9</f>
        <v>1017556.2</v>
      </c>
      <c r="E8" s="73">
        <f>'DOE25'!H9</f>
        <v>840</v>
      </c>
      <c r="F8" s="73">
        <f>'DOE25'!I9</f>
        <v>0</v>
      </c>
      <c r="G8" s="73">
        <f>'DOE25'!J9</f>
        <v>0</v>
      </c>
      <c r="H8" s="13">
        <f>SUM(C8:G8)</f>
        <v>12801427.569999998</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20914457.629999999</v>
      </c>
      <c r="D11" s="73">
        <f>'DOE25'!G12</f>
        <v>0</v>
      </c>
      <c r="E11" s="73">
        <f>'DOE25'!H12</f>
        <v>0</v>
      </c>
      <c r="F11" s="73">
        <f>'DOE25'!I12</f>
        <v>0</v>
      </c>
      <c r="G11" s="73">
        <f>'DOE25'!J12</f>
        <v>0</v>
      </c>
      <c r="H11" s="13">
        <f t="shared" si="0"/>
        <v>20914457.629999999</v>
      </c>
      <c r="I11" s="90"/>
    </row>
    <row r="12" spans="1:9" x14ac:dyDescent="0.2">
      <c r="A12" s="1" t="s">
        <v>143</v>
      </c>
      <c r="B12" s="6">
        <v>140</v>
      </c>
      <c r="C12" s="73">
        <f>'DOE25'!F13</f>
        <v>47973909.770000003</v>
      </c>
      <c r="D12" s="73">
        <f>'DOE25'!G13</f>
        <v>684884.72</v>
      </c>
      <c r="E12" s="73">
        <f>'DOE25'!H13</f>
        <v>0</v>
      </c>
      <c r="F12" s="73">
        <f>'DOE25'!I13</f>
        <v>0</v>
      </c>
      <c r="G12" s="73">
        <f>'DOE25'!J13</f>
        <v>28685108.640000001</v>
      </c>
      <c r="H12" s="13">
        <f t="shared" si="0"/>
        <v>77343903.129999995</v>
      </c>
      <c r="I12" s="90"/>
    </row>
    <row r="13" spans="1:9" x14ac:dyDescent="0.2">
      <c r="A13" s="1" t="s">
        <v>144</v>
      </c>
      <c r="B13" s="6">
        <v>150</v>
      </c>
      <c r="C13" s="73">
        <f>'DOE25'!F14</f>
        <v>1820624.03</v>
      </c>
      <c r="D13" s="73">
        <f>'DOE25'!G14</f>
        <v>5462.69</v>
      </c>
      <c r="E13" s="73">
        <f>'DOE25'!H14</f>
        <v>25109391.900000002</v>
      </c>
      <c r="F13" s="73">
        <f>'DOE25'!I14</f>
        <v>0</v>
      </c>
      <c r="G13" s="73">
        <f>'DOE25'!J14</f>
        <v>0</v>
      </c>
      <c r="H13" s="13">
        <f t="shared" si="0"/>
        <v>26935478.620000001</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63514.34</v>
      </c>
      <c r="E15" s="73">
        <f>'DOE25'!H16</f>
        <v>0</v>
      </c>
      <c r="F15" s="73">
        <f>'DOE25'!I16</f>
        <v>0</v>
      </c>
      <c r="G15" s="23" t="s">
        <v>288</v>
      </c>
      <c r="H15" s="13">
        <f t="shared" si="0"/>
        <v>63514.34</v>
      </c>
      <c r="I15" s="90"/>
    </row>
    <row r="16" spans="1:9" x14ac:dyDescent="0.2">
      <c r="A16" s="1" t="s">
        <v>147</v>
      </c>
      <c r="B16" s="6">
        <v>180</v>
      </c>
      <c r="C16" s="73">
        <f>'DOE25'!F17</f>
        <v>19692.259999999998</v>
      </c>
      <c r="D16" s="73">
        <f>'DOE25'!G17</f>
        <v>0</v>
      </c>
      <c r="E16" s="73">
        <f>'DOE25'!H17</f>
        <v>0</v>
      </c>
      <c r="F16" s="73">
        <f>'DOE25'!I17</f>
        <v>0</v>
      </c>
      <c r="G16" s="73">
        <f>'DOE25'!J17</f>
        <v>0</v>
      </c>
      <c r="H16" s="13">
        <f t="shared" si="0"/>
        <v>19692.259999999998</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82511715.060000017</v>
      </c>
      <c r="D18" s="38">
        <f>SUM(D8:D17)</f>
        <v>1771417.95</v>
      </c>
      <c r="E18" s="38">
        <f>SUM(E8:E17)</f>
        <v>25110231.900000002</v>
      </c>
      <c r="F18" s="38">
        <f>SUM(F8:F17)</f>
        <v>0</v>
      </c>
      <c r="G18" s="38">
        <f>SUM(G8:G17)</f>
        <v>28685108.640000001</v>
      </c>
      <c r="H18" s="38">
        <f t="shared" si="0"/>
        <v>138078473.55000001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456932.34000000008</v>
      </c>
      <c r="E21" s="73">
        <f>'DOE25'!H22</f>
        <v>20457525.289999995</v>
      </c>
      <c r="F21" s="73">
        <f>'DOE25'!I22</f>
        <v>0</v>
      </c>
      <c r="G21" s="73">
        <f>'DOE25'!J22</f>
        <v>0</v>
      </c>
      <c r="H21" s="13">
        <f t="shared" ref="H21:H31" si="1">SUM(C21:G21)</f>
        <v>20914457.629999995</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18627600.699999999</v>
      </c>
      <c r="D23" s="73">
        <f>'DOE25'!G24</f>
        <v>18908.939999999999</v>
      </c>
      <c r="E23" s="73">
        <f>'DOE25'!H24</f>
        <v>3434852.85</v>
      </c>
      <c r="F23" s="73">
        <f>'DOE25'!I24</f>
        <v>0</v>
      </c>
      <c r="G23" s="73">
        <f>'DOE25'!J24</f>
        <v>0</v>
      </c>
      <c r="H23" s="13">
        <f t="shared" si="1"/>
        <v>22081362.490000002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3612565.12</v>
      </c>
      <c r="D27" s="73">
        <f>'DOE25'!G28</f>
        <v>24828.89</v>
      </c>
      <c r="E27" s="73">
        <f>'DOE25'!H28</f>
        <v>703405.87999999989</v>
      </c>
      <c r="F27" s="73">
        <f>'DOE25'!I28</f>
        <v>0</v>
      </c>
      <c r="G27" s="23" t="s">
        <v>288</v>
      </c>
      <c r="H27" s="13">
        <f t="shared" si="1"/>
        <v>4340799.8900000006</v>
      </c>
      <c r="I27" s="90"/>
    </row>
    <row r="28" spans="1:9" x14ac:dyDescent="0.2">
      <c r="A28" s="1" t="s">
        <v>157</v>
      </c>
      <c r="B28" s="6">
        <v>470</v>
      </c>
      <c r="C28" s="73">
        <f>'DOE25'!F29</f>
        <v>2410299.1800000002</v>
      </c>
      <c r="D28" s="73">
        <f>'DOE25'!G29</f>
        <v>0</v>
      </c>
      <c r="E28" s="73">
        <f>'DOE25'!H29</f>
        <v>0</v>
      </c>
      <c r="F28" s="73">
        <f>'DOE25'!I29</f>
        <v>0</v>
      </c>
      <c r="G28" s="23" t="s">
        <v>288</v>
      </c>
      <c r="H28" s="13">
        <f t="shared" si="1"/>
        <v>2410299.1800000002</v>
      </c>
      <c r="I28" s="90"/>
    </row>
    <row r="29" spans="1:9" x14ac:dyDescent="0.2">
      <c r="A29" s="1" t="s">
        <v>158</v>
      </c>
      <c r="B29" s="6">
        <v>480</v>
      </c>
      <c r="C29" s="73">
        <f>'DOE25'!F30</f>
        <v>47723947.289999999</v>
      </c>
      <c r="D29" s="73">
        <f>'DOE25'!G30</f>
        <v>91901.07</v>
      </c>
      <c r="E29" s="73">
        <f>'DOE25'!H30</f>
        <v>0</v>
      </c>
      <c r="F29" s="73">
        <f>'DOE25'!I30</f>
        <v>0</v>
      </c>
      <c r="G29" s="23" t="s">
        <v>288</v>
      </c>
      <c r="H29" s="13">
        <f t="shared" si="1"/>
        <v>47815848.359999999</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72374412.289999992</v>
      </c>
      <c r="D31" s="38">
        <f>SUM(D21:D30)</f>
        <v>592571.24000000011</v>
      </c>
      <c r="E31" s="38">
        <f>SUM(E21:E30)</f>
        <v>24595784.019999996</v>
      </c>
      <c r="F31" s="38">
        <f>SUM(F21:F30)</f>
        <v>0</v>
      </c>
      <c r="G31" s="38">
        <f>SUM(G21:G30)</f>
        <v>0</v>
      </c>
      <c r="H31" s="38">
        <f t="shared" si="1"/>
        <v>97562767.549999982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19692.259999999998</v>
      </c>
      <c r="D35" s="73">
        <f>'DOE25'!G36</f>
        <v>63514.34</v>
      </c>
      <c r="E35" s="73">
        <f>'DOE25'!H36</f>
        <v>0</v>
      </c>
      <c r="F35" s="73">
        <f>'DOE25'!I36</f>
        <v>0</v>
      </c>
      <c r="G35" s="23" t="s">
        <v>288</v>
      </c>
      <c r="H35" s="13">
        <f t="shared" si="2"/>
        <v>83206.599999999991</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'DOE25'!F50</f>
        <v>7800000</v>
      </c>
      <c r="D45" s="23" t="s">
        <v>288</v>
      </c>
      <c r="E45" s="23" t="s">
        <v>288</v>
      </c>
      <c r="F45" s="23" t="s">
        <v>288</v>
      </c>
      <c r="G45" s="23" t="s">
        <v>288</v>
      </c>
      <c r="H45" s="13">
        <f t="shared" si="2"/>
        <v>7800000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697478</v>
      </c>
      <c r="D47" s="73">
        <f>'DOE25'!G48</f>
        <v>1042743.37</v>
      </c>
      <c r="E47" s="73">
        <f>'DOE25'!H48</f>
        <v>514447.88</v>
      </c>
      <c r="F47" s="73">
        <f>'DOE25'!I48</f>
        <v>0</v>
      </c>
      <c r="G47" s="73">
        <f>'DOE25'!J48</f>
        <v>28685108.640000001</v>
      </c>
      <c r="H47" s="13">
        <f t="shared" si="2"/>
        <v>30939777.890000001</v>
      </c>
      <c r="I47" s="90"/>
    </row>
    <row r="48" spans="1:9" x14ac:dyDescent="0.2">
      <c r="A48" s="1" t="s">
        <v>878</v>
      </c>
      <c r="B48" s="6">
        <v>753</v>
      </c>
      <c r="C48" s="73">
        <f>'DOE25'!F49</f>
        <v>1620132.51</v>
      </c>
      <c r="D48" s="73">
        <f>'DOE25'!G49</f>
        <v>72589</v>
      </c>
      <c r="E48" s="73">
        <f>'DOE25'!H49</f>
        <v>0</v>
      </c>
      <c r="F48" s="73">
        <f>'DOE25'!I49</f>
        <v>0</v>
      </c>
      <c r="G48" s="73">
        <f>'DOE25'!J49</f>
        <v>0</v>
      </c>
      <c r="H48" s="13">
        <f t="shared" si="2"/>
        <v>1692721.51</v>
      </c>
      <c r="I48" s="90"/>
    </row>
    <row r="49" spans="1:9" ht="12" thickBot="1" x14ac:dyDescent="0.25">
      <c r="A49" s="28" t="s">
        <v>879</v>
      </c>
      <c r="B49" s="56">
        <v>770</v>
      </c>
      <c r="C49" s="73" t="e">
        <f>'DOE25'!#REF!</f>
        <v>#REF!</v>
      </c>
      <c r="D49" s="23" t="s">
        <v>288</v>
      </c>
      <c r="E49" s="23" t="s">
        <v>288</v>
      </c>
      <c r="F49" s="23" t="s">
        <v>288</v>
      </c>
      <c r="G49" s="23" t="s">
        <v>288</v>
      </c>
      <c r="H49" s="13" t="e">
        <f t="shared" si="2"/>
        <v>#REF!</v>
      </c>
      <c r="I49" s="90"/>
    </row>
    <row r="50" spans="1:9" ht="12.75" thickTop="1" thickBot="1" x14ac:dyDescent="0.25">
      <c r="A50" s="35" t="s">
        <v>880</v>
      </c>
      <c r="B50" s="44"/>
      <c r="C50" s="38" t="e">
        <f>SUM(C34:C49)</f>
        <v>#REF!</v>
      </c>
      <c r="D50" s="38">
        <f>SUM(D34:D49)</f>
        <v>1178846.71</v>
      </c>
      <c r="E50" s="38">
        <f>SUM(E34:E49)</f>
        <v>514447.88</v>
      </c>
      <c r="F50" s="38">
        <f>SUM(F34:F49)</f>
        <v>0</v>
      </c>
      <c r="G50" s="38">
        <f>SUM(G34:G49)</f>
        <v>28685108.640000001</v>
      </c>
      <c r="H50" s="38" t="e">
        <f t="shared" si="2"/>
        <v>#REF!</v>
      </c>
      <c r="I50" s="90"/>
    </row>
    <row r="51" spans="1:9" ht="12" thickTop="1" x14ac:dyDescent="0.2">
      <c r="A51" s="35" t="s">
        <v>881</v>
      </c>
      <c r="B51" s="2"/>
      <c r="C51" s="38" t="e">
        <f>C50+C31</f>
        <v>#REF!</v>
      </c>
      <c r="D51" s="38">
        <f>D50+D31</f>
        <v>1771417.9500000002</v>
      </c>
      <c r="E51" s="38">
        <f>E50+E31</f>
        <v>25110231.899999995</v>
      </c>
      <c r="F51" s="38">
        <f>F50+F31</f>
        <v>0</v>
      </c>
      <c r="G51" s="38">
        <f>G50+G31</f>
        <v>28685108.640000001</v>
      </c>
      <c r="H51" s="38" t="e">
        <f t="shared" si="2"/>
        <v>#REF!</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98356308</v>
      </c>
      <c r="D56" s="73">
        <f>'DOE25'!G60</f>
        <v>0</v>
      </c>
      <c r="E56" s="73">
        <f>'DOE25'!H60</f>
        <v>0</v>
      </c>
      <c r="F56" s="73">
        <f>'DOE25'!I60</f>
        <v>0</v>
      </c>
      <c r="G56" s="73">
        <f>'DOE25'!J60</f>
        <v>0</v>
      </c>
      <c r="H56" s="13">
        <f t="shared" ref="H56:H63" si="3">SUM(C56:G56)</f>
        <v>98356308</v>
      </c>
      <c r="I56"/>
    </row>
    <row r="57" spans="1:9" x14ac:dyDescent="0.2">
      <c r="A57" s="1" t="s">
        <v>164</v>
      </c>
      <c r="B57" s="6" t="s">
        <v>165</v>
      </c>
      <c r="C57" s="73">
        <f>'DOE25'!F79</f>
        <v>1052089.8700000001</v>
      </c>
      <c r="D57" s="23" t="s">
        <v>288</v>
      </c>
      <c r="E57" s="73">
        <f>'DOE25'!H79</f>
        <v>188880</v>
      </c>
      <c r="F57" s="23" t="s">
        <v>288</v>
      </c>
      <c r="G57" s="23" t="s">
        <v>288</v>
      </c>
      <c r="H57" s="13">
        <f t="shared" si="3"/>
        <v>1240969.8700000001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1319348.6000000001</v>
      </c>
      <c r="D59" s="73">
        <f>'DOE25'!G96</f>
        <v>33098.769999999997</v>
      </c>
      <c r="E59" s="73">
        <f>'DOE25'!H96</f>
        <v>0</v>
      </c>
      <c r="F59" s="73">
        <f>'DOE25'!I96</f>
        <v>0</v>
      </c>
      <c r="G59" s="73">
        <f>'DOE25'!J96</f>
        <v>1250815.95</v>
      </c>
      <c r="H59" s="13">
        <f t="shared" si="3"/>
        <v>2603263.3200000003</v>
      </c>
      <c r="I59"/>
    </row>
    <row r="60" spans="1:9" x14ac:dyDescent="0.2">
      <c r="A60" s="1" t="s">
        <v>170</v>
      </c>
      <c r="B60" s="22" t="s">
        <v>171</v>
      </c>
      <c r="C60" s="23" t="s">
        <v>288</v>
      </c>
      <c r="D60" s="73">
        <f>'DOE25'!G97</f>
        <v>1233033.72</v>
      </c>
      <c r="E60" s="23" t="s">
        <v>288</v>
      </c>
      <c r="F60" s="23" t="s">
        <v>288</v>
      </c>
      <c r="G60" s="23" t="s">
        <v>288</v>
      </c>
      <c r="H60" s="13">
        <f t="shared" si="3"/>
        <v>1233033.72</v>
      </c>
      <c r="I60"/>
    </row>
    <row r="61" spans="1:9" ht="12" thickBot="1" x14ac:dyDescent="0.25">
      <c r="A61" s="1" t="s">
        <v>172</v>
      </c>
      <c r="B61" s="22" t="s">
        <v>173</v>
      </c>
      <c r="C61" s="73">
        <f>SUM('DOE25'!F98:F110)</f>
        <v>35503.919999999998</v>
      </c>
      <c r="D61" s="73">
        <f>SUM('DOE25'!G98:G110)</f>
        <v>0</v>
      </c>
      <c r="E61" s="73">
        <f>SUM('DOE25'!H98:H110)</f>
        <v>626538.66</v>
      </c>
      <c r="F61" s="73">
        <f>SUM('DOE25'!I98:I110)</f>
        <v>0</v>
      </c>
      <c r="G61" s="73">
        <f>SUM('DOE25'!J98:J110)</f>
        <v>0</v>
      </c>
      <c r="H61" s="13">
        <f t="shared" si="3"/>
        <v>662042.58000000007</v>
      </c>
      <c r="I61"/>
    </row>
    <row r="62" spans="1:9" ht="12.75" thickTop="1" thickBot="1" x14ac:dyDescent="0.25">
      <c r="A62" s="28" t="s">
        <v>174</v>
      </c>
      <c r="B62" s="6"/>
      <c r="C62" s="93">
        <f>SUM(C57:C61)</f>
        <v>2406942.39</v>
      </c>
      <c r="D62" s="93">
        <f>SUM(D57:D61)</f>
        <v>1266132.49</v>
      </c>
      <c r="E62" s="93">
        <f>SUM(E57:E61)</f>
        <v>815418.66</v>
      </c>
      <c r="F62" s="93">
        <f>SUM(F57:F61)</f>
        <v>0</v>
      </c>
      <c r="G62" s="93">
        <f>SUM(G57:G61)</f>
        <v>1250815.95</v>
      </c>
      <c r="H62" s="13">
        <f t="shared" si="3"/>
        <v>5739309.4900000002</v>
      </c>
      <c r="I62"/>
    </row>
    <row r="63" spans="1:9" ht="12" thickTop="1" x14ac:dyDescent="0.2">
      <c r="A63" s="28" t="s">
        <v>175</v>
      </c>
      <c r="B63" s="6"/>
      <c r="C63" s="21">
        <f>C56+C62</f>
        <v>100763250.39</v>
      </c>
      <c r="D63" s="21">
        <f>D56+D62</f>
        <v>1266132.49</v>
      </c>
      <c r="E63" s="21">
        <f>E56+E62</f>
        <v>815418.66</v>
      </c>
      <c r="F63" s="21">
        <f>F56+F62</f>
        <v>0</v>
      </c>
      <c r="G63" s="21">
        <f>G56+G62</f>
        <v>1250815.95</v>
      </c>
      <c r="H63" s="13">
        <f t="shared" si="3"/>
        <v>104095617.48999999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97765971.060000002</v>
      </c>
      <c r="D66" s="23" t="s">
        <v>288</v>
      </c>
      <c r="E66" s="23" t="s">
        <v>288</v>
      </c>
      <c r="F66" s="23" t="s">
        <v>288</v>
      </c>
      <c r="G66" s="23" t="s">
        <v>288</v>
      </c>
      <c r="H66" s="13">
        <f t="shared" ref="H66:H81" si="4">SUM(C66:G66)</f>
        <v>97765971.060000002</v>
      </c>
      <c r="I66"/>
    </row>
    <row r="67" spans="1:9" x14ac:dyDescent="0.2">
      <c r="A67" s="1" t="s">
        <v>767</v>
      </c>
      <c r="B67" s="6">
        <v>3112</v>
      </c>
      <c r="C67" s="73">
        <f>'DOE25'!F118</f>
        <v>19682274</v>
      </c>
      <c r="D67" s="23"/>
      <c r="E67" s="23"/>
      <c r="F67" s="23"/>
      <c r="G67" s="23"/>
      <c r="H67" s="13">
        <f t="shared" si="4"/>
        <v>19682274</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461413.88</v>
      </c>
      <c r="D69" s="73">
        <f>'DOE25'!G120</f>
        <v>0</v>
      </c>
      <c r="E69" s="73">
        <f>'DOE25'!H120</f>
        <v>0</v>
      </c>
      <c r="F69" s="73">
        <f>'DOE25'!I120</f>
        <v>0</v>
      </c>
      <c r="G69" s="73">
        <f>'DOE25'!J120</f>
        <v>0</v>
      </c>
      <c r="H69" s="13">
        <f t="shared" si="4"/>
        <v>461413.88</v>
      </c>
      <c r="I69"/>
    </row>
    <row r="70" spans="1:9" ht="12" thickTop="1" x14ac:dyDescent="0.2">
      <c r="A70" s="28" t="s">
        <v>252</v>
      </c>
      <c r="B70" s="2"/>
      <c r="C70" s="97">
        <f>SUM(C66:C69)</f>
        <v>117909658.94</v>
      </c>
      <c r="D70" s="97">
        <f>D69</f>
        <v>0</v>
      </c>
      <c r="E70" s="97">
        <f>E69</f>
        <v>0</v>
      </c>
      <c r="F70" s="97">
        <f>F69</f>
        <v>0</v>
      </c>
      <c r="G70" s="97">
        <f>G69</f>
        <v>0</v>
      </c>
      <c r="H70" s="13">
        <f t="shared" si="4"/>
        <v>117909658.94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2986144.61</v>
      </c>
      <c r="D72" s="23" t="s">
        <v>288</v>
      </c>
      <c r="E72" s="23" t="s">
        <v>288</v>
      </c>
      <c r="F72" s="73">
        <f>'DOE25'!I123</f>
        <v>0</v>
      </c>
      <c r="G72" s="23" t="s">
        <v>288</v>
      </c>
      <c r="H72" s="13">
        <f t="shared" si="4"/>
        <v>2986144.61</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1407756.86</v>
      </c>
      <c r="D75" s="23" t="s">
        <v>288</v>
      </c>
      <c r="E75" s="23" t="s">
        <v>288</v>
      </c>
      <c r="F75" s="23" t="s">
        <v>288</v>
      </c>
      <c r="G75" s="23" t="s">
        <v>288</v>
      </c>
      <c r="H75" s="13">
        <f t="shared" si="4"/>
        <v>1407756.86</v>
      </c>
      <c r="I75"/>
    </row>
    <row r="76" spans="1:9" x14ac:dyDescent="0.2">
      <c r="A76" s="1" t="s">
        <v>257</v>
      </c>
      <c r="B76" s="6" t="s">
        <v>179</v>
      </c>
      <c r="C76" s="73">
        <f>SUM('DOE25'!F127:F130)</f>
        <v>629788.24</v>
      </c>
      <c r="D76" s="23" t="s">
        <v>288</v>
      </c>
      <c r="E76" s="73">
        <f>SUM('DOE25'!H127:H130)</f>
        <v>72490.429999999993</v>
      </c>
      <c r="F76" s="73">
        <f>SUM('DOE25'!I127:I130)</f>
        <v>0</v>
      </c>
      <c r="G76" s="23" t="s">
        <v>288</v>
      </c>
      <c r="H76" s="13">
        <f t="shared" si="4"/>
        <v>702278.66999999993</v>
      </c>
      <c r="I76"/>
    </row>
    <row r="77" spans="1:9" ht="12" thickBot="1" x14ac:dyDescent="0.25">
      <c r="A77" s="1" t="s">
        <v>258</v>
      </c>
      <c r="B77" s="6" t="s">
        <v>180</v>
      </c>
      <c r="C77" s="73">
        <f>SUM('DOE25'!F131:F135)</f>
        <v>0</v>
      </c>
      <c r="D77" s="73">
        <f>SUM('DOE25'!G131:G135)</f>
        <v>74233.649999999994</v>
      </c>
      <c r="E77" s="73">
        <f>SUM('DOE25'!H131:H135)</f>
        <v>205601.36</v>
      </c>
      <c r="F77" s="73">
        <f>SUM('DOE25'!I131:I135)</f>
        <v>0</v>
      </c>
      <c r="G77" s="73">
        <f>SUM('DOE25'!J131:J135)</f>
        <v>0</v>
      </c>
      <c r="H77" s="13">
        <f t="shared" si="4"/>
        <v>279835.01</v>
      </c>
      <c r="I77"/>
    </row>
    <row r="78" spans="1:9" ht="12.75" thickTop="1" thickBot="1" x14ac:dyDescent="0.25">
      <c r="A78" s="28" t="s">
        <v>259</v>
      </c>
      <c r="B78" s="6"/>
      <c r="C78" s="93">
        <f>SUM(C72:C77)</f>
        <v>5023689.71</v>
      </c>
      <c r="D78" s="93">
        <f>SUM(D72:D77)</f>
        <v>74233.649999999994</v>
      </c>
      <c r="E78" s="93">
        <f>SUM(E72:E77)</f>
        <v>278091.78999999998</v>
      </c>
      <c r="F78" s="93">
        <f>SUM(F72:F77)</f>
        <v>0</v>
      </c>
      <c r="G78" s="93">
        <f>SUM(G72:G77)</f>
        <v>0</v>
      </c>
      <c r="H78" s="13">
        <f t="shared" si="4"/>
        <v>5376015.1500000004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122933348.64999999</v>
      </c>
      <c r="D81" s="93">
        <f>SUM(D79:D80)+D78+D70</f>
        <v>74233.649999999994</v>
      </c>
      <c r="E81" s="93">
        <f>SUM(E79:E80)+E78+E70</f>
        <v>278091.78999999998</v>
      </c>
      <c r="F81" s="93">
        <f>SUM(F79:F80)+F78+F70</f>
        <v>0</v>
      </c>
      <c r="G81" s="93">
        <f>SUM(G79:G80)+G78+G70</f>
        <v>0</v>
      </c>
      <c r="H81" s="93">
        <f t="shared" si="4"/>
        <v>123285674.09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171720.12</v>
      </c>
      <c r="D85" s="73">
        <f>'DOE25'!G147</f>
        <v>272075.75</v>
      </c>
      <c r="E85" s="73">
        <f>'DOE25'!H147</f>
        <v>0</v>
      </c>
      <c r="F85" s="73">
        <f>'DOE25'!I147</f>
        <v>0</v>
      </c>
      <c r="G85" s="23" t="s">
        <v>288</v>
      </c>
      <c r="H85" s="13">
        <f t="shared" ref="H85:H104" si="5">SUM(C85:G85)</f>
        <v>443795.87</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857181.61</v>
      </c>
      <c r="F87" s="73">
        <f>SUM('DOE25'!I149:I152)</f>
        <v>0</v>
      </c>
      <c r="G87" s="23" t="s">
        <v>288</v>
      </c>
      <c r="H87" s="13">
        <f t="shared" si="5"/>
        <v>857181.61</v>
      </c>
    </row>
    <row r="88" spans="1:9" x14ac:dyDescent="0.2">
      <c r="A88" s="216" t="s">
        <v>744</v>
      </c>
      <c r="B88" s="230" t="s">
        <v>184</v>
      </c>
      <c r="C88" s="252">
        <f>SUM('DOE25'!F153:F162)</f>
        <v>367834.92000000004</v>
      </c>
      <c r="D88" s="252">
        <f>SUM('DOE25'!G153:G162)</f>
        <v>4184081.4599999995</v>
      </c>
      <c r="E88" s="252">
        <f>SUM('DOE25'!H153:H162)</f>
        <v>55231367.109999999</v>
      </c>
      <c r="F88" s="252">
        <f>SUM('DOE25'!I153:I162)</f>
        <v>0</v>
      </c>
      <c r="G88" s="23" t="s">
        <v>288</v>
      </c>
      <c r="H88" s="13">
        <f t="shared" si="5"/>
        <v>59783283.490000002</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539555.04</v>
      </c>
      <c r="D91" s="94">
        <f>SUM(D85:D90)</f>
        <v>4456157.209999999</v>
      </c>
      <c r="E91" s="94">
        <f>SUM(E85:E90)</f>
        <v>56088548.719999999</v>
      </c>
      <c r="F91" s="94">
        <f>SUM(F85:F90)</f>
        <v>0</v>
      </c>
      <c r="G91" s="23" t="s">
        <v>288</v>
      </c>
      <c r="H91" s="13">
        <f t="shared" si="5"/>
        <v>61084260.969999999</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825000</v>
      </c>
      <c r="E96" s="73">
        <f>'DOE25'!H180</f>
        <v>0</v>
      </c>
      <c r="F96" s="73">
        <f>'DOE25'!I180</f>
        <v>0</v>
      </c>
      <c r="G96" s="73">
        <f>'DOE25'!J180</f>
        <v>24490.01</v>
      </c>
      <c r="H96" s="13">
        <f t="shared" si="5"/>
        <v>849490.01</v>
      </c>
    </row>
    <row r="97" spans="1:8" x14ac:dyDescent="0.2">
      <c r="A97" t="s">
        <v>751</v>
      </c>
      <c r="B97" s="31" t="s">
        <v>188</v>
      </c>
      <c r="C97" s="73">
        <f>SUM('DOE25'!F181:F182)</f>
        <v>263149.34000000003</v>
      </c>
      <c r="D97" s="73">
        <f>SUM('DOE25'!G181:G182)</f>
        <v>0</v>
      </c>
      <c r="E97" s="73">
        <f>SUM('DOE25'!H181:H182)</f>
        <v>0</v>
      </c>
      <c r="F97" s="73">
        <f>SUM('DOE25'!I181:I182)</f>
        <v>0</v>
      </c>
      <c r="G97" s="73">
        <f>SUM('DOE25'!J181:J182)</f>
        <v>0</v>
      </c>
      <c r="H97" s="13">
        <f t="shared" si="5"/>
        <v>263149.34000000003</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4070098.06</v>
      </c>
      <c r="D100" s="73">
        <f>SUM('DOE25'!G187:G188)</f>
        <v>0</v>
      </c>
      <c r="E100" s="73">
        <f>SUM('DOE25'!H187:H188)</f>
        <v>0</v>
      </c>
      <c r="F100" s="73">
        <f>SUM('DOE25'!I187:I188)</f>
        <v>0</v>
      </c>
      <c r="G100" s="23" t="s">
        <v>288</v>
      </c>
      <c r="H100" s="13">
        <f t="shared" si="5"/>
        <v>4070098.06</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4333247.4000000004</v>
      </c>
      <c r="D103" s="68">
        <f>SUM(D93:D102)</f>
        <v>825000</v>
      </c>
      <c r="E103" s="68">
        <f>SUM(E93:E102)</f>
        <v>0</v>
      </c>
      <c r="F103" s="68">
        <f>SUM(F93:F102)</f>
        <v>0</v>
      </c>
      <c r="G103" s="68">
        <f>SUM(G93:G102)</f>
        <v>24490.01</v>
      </c>
      <c r="H103" s="68">
        <f t="shared" si="5"/>
        <v>5182737.41</v>
      </c>
    </row>
    <row r="104" spans="1:8" ht="12.75" thickTop="1" thickBot="1" x14ac:dyDescent="0.25">
      <c r="A104" s="32" t="s">
        <v>758</v>
      </c>
      <c r="C104" s="68">
        <f>C63+C81+C91+C103</f>
        <v>228569401.47999999</v>
      </c>
      <c r="D104" s="68">
        <f>D63+D81+D91+D103</f>
        <v>6621523.3499999987</v>
      </c>
      <c r="E104" s="68">
        <f>E63+E81+E91+E103</f>
        <v>57182059.170000002</v>
      </c>
      <c r="F104" s="68">
        <f>F63+F81+F91+F103</f>
        <v>0</v>
      </c>
      <c r="G104" s="68">
        <f>G63+G81+G103</f>
        <v>1275305.96</v>
      </c>
      <c r="H104" s="68">
        <f t="shared" si="5"/>
        <v>293648289.95999998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75785964.890000015</v>
      </c>
      <c r="D109" s="23" t="s">
        <v>288</v>
      </c>
      <c r="E109" s="73">
        <f>('DOE25'!L277)+('DOE25'!L296)+('DOE25'!L315)</f>
        <v>14150333.280000001</v>
      </c>
      <c r="F109" s="23" t="s">
        <v>288</v>
      </c>
      <c r="G109" s="23" t="s">
        <v>288</v>
      </c>
      <c r="H109" s="13">
        <f t="shared" ref="H109:H115" si="6">SUM(C109:G109)</f>
        <v>89936298.170000017</v>
      </c>
    </row>
    <row r="110" spans="1:8" x14ac:dyDescent="0.2">
      <c r="A110" t="s">
        <v>198</v>
      </c>
      <c r="B110" s="31" t="s">
        <v>199</v>
      </c>
      <c r="C110" s="73">
        <f>('DOE25'!L199)+('DOE25'!L217)+('DOE25'!L235)</f>
        <v>41606615.469999999</v>
      </c>
      <c r="D110" s="23" t="s">
        <v>288</v>
      </c>
      <c r="E110" s="73">
        <f>('DOE25'!L278)+('DOE25'!L297)+('DOE25'!L316)</f>
        <v>10992817.759999998</v>
      </c>
      <c r="F110" s="23" t="s">
        <v>288</v>
      </c>
      <c r="G110" s="23" t="s">
        <v>288</v>
      </c>
      <c r="H110" s="13">
        <f t="shared" si="6"/>
        <v>52599433.229999997</v>
      </c>
    </row>
    <row r="111" spans="1:8" x14ac:dyDescent="0.2">
      <c r="A111" t="s">
        <v>200</v>
      </c>
      <c r="B111" s="31" t="s">
        <v>165</v>
      </c>
      <c r="C111" s="73">
        <f>('DOE25'!L200)+('DOE25'!L218)+('DOE25'!L236)</f>
        <v>2656253.41</v>
      </c>
      <c r="D111" s="23" t="s">
        <v>288</v>
      </c>
      <c r="E111" s="73">
        <f>('DOE25'!L279)+('DOE25'!L298)+('DOE25'!L317)</f>
        <v>550462.14</v>
      </c>
      <c r="F111" s="23" t="s">
        <v>288</v>
      </c>
      <c r="G111" s="23" t="s">
        <v>288</v>
      </c>
      <c r="H111" s="13">
        <f t="shared" si="6"/>
        <v>3206715.5500000003</v>
      </c>
    </row>
    <row r="112" spans="1:8" x14ac:dyDescent="0.2">
      <c r="A112" t="s">
        <v>201</v>
      </c>
      <c r="B112" s="31" t="s">
        <v>167</v>
      </c>
      <c r="C112" s="73">
        <f>('DOE25'!L201)+('DOE25'!L219)+('DOE25'!L237)</f>
        <v>2298748.5299999998</v>
      </c>
      <c r="D112" s="23" t="s">
        <v>288</v>
      </c>
      <c r="E112" s="73">
        <f>+('DOE25'!L280)+('DOE25'!L299)+('DOE25'!L318)</f>
        <v>3326503.5100000002</v>
      </c>
      <c r="F112" s="23" t="s">
        <v>288</v>
      </c>
      <c r="G112" s="23" t="s">
        <v>288</v>
      </c>
      <c r="H112" s="13">
        <f t="shared" si="6"/>
        <v>5625252.04</v>
      </c>
    </row>
    <row r="113" spans="1:8" x14ac:dyDescent="0.2">
      <c r="A113" t="s">
        <v>202</v>
      </c>
      <c r="B113" s="31" t="s">
        <v>169</v>
      </c>
      <c r="C113" s="73">
        <f>'DOE25'!L251</f>
        <v>0</v>
      </c>
      <c r="D113" s="23" t="s">
        <v>288</v>
      </c>
      <c r="E113" s="73">
        <f>+'DOE25'!L333</f>
        <v>1014318.68</v>
      </c>
      <c r="F113" s="23" t="s">
        <v>288</v>
      </c>
      <c r="G113" s="23" t="s">
        <v>288</v>
      </c>
      <c r="H113" s="13">
        <f t="shared" si="6"/>
        <v>1014318.68</v>
      </c>
    </row>
    <row r="114" spans="1:8" ht="12" thickBot="1" x14ac:dyDescent="0.25">
      <c r="A114" t="s">
        <v>203</v>
      </c>
      <c r="B114" s="31" t="s">
        <v>204</v>
      </c>
      <c r="C114" s="73">
        <f>SUM('DOE25'!L252:L254)</f>
        <v>143192.76000000004</v>
      </c>
      <c r="D114" s="23" t="s">
        <v>288</v>
      </c>
      <c r="E114" s="73">
        <f>+ SUM('DOE25'!L334:L336)</f>
        <v>207238.06</v>
      </c>
      <c r="F114" s="23" t="s">
        <v>288</v>
      </c>
      <c r="G114" s="23" t="s">
        <v>288</v>
      </c>
      <c r="H114" s="13">
        <f t="shared" si="6"/>
        <v>350430.82000000007</v>
      </c>
    </row>
    <row r="115" spans="1:8" ht="12.75" thickTop="1" thickBot="1" x14ac:dyDescent="0.25">
      <c r="A115" s="32" t="s">
        <v>205</v>
      </c>
      <c r="C115" s="68">
        <f>SUM(C109:C114)</f>
        <v>122490775.06000002</v>
      </c>
      <c r="D115" s="68">
        <f>SUM(D109:D114)</f>
        <v>0</v>
      </c>
      <c r="E115" s="68">
        <f>SUM(E109:E114)</f>
        <v>30241673.43</v>
      </c>
      <c r="F115" s="68">
        <f>SUM(F109:F114)</f>
        <v>0</v>
      </c>
      <c r="G115" s="68">
        <f>SUM(G109:G114)</f>
        <v>0</v>
      </c>
      <c r="H115" s="68">
        <f t="shared" si="6"/>
        <v>152732448.49000001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17079561.5</v>
      </c>
      <c r="D118" s="23" t="s">
        <v>288</v>
      </c>
      <c r="E118" s="73">
        <f>+('DOE25'!L282)+('DOE25'!L301)+('DOE25'!L320)</f>
        <v>1528646.5299999998</v>
      </c>
      <c r="F118" s="23" t="s">
        <v>288</v>
      </c>
      <c r="G118" s="23" t="s">
        <v>288</v>
      </c>
      <c r="H118" s="13">
        <f t="shared" ref="H118:H145" si="7">SUM(C118:G118)</f>
        <v>18608208.030000001</v>
      </c>
    </row>
    <row r="119" spans="1:8" x14ac:dyDescent="0.2">
      <c r="A119" t="s">
        <v>208</v>
      </c>
      <c r="B119" s="31" t="s">
        <v>209</v>
      </c>
      <c r="C119" s="73">
        <f>('DOE25'!L204)+('DOE25'!L222)+('DOE25'!L240)</f>
        <v>2570349.7199999997</v>
      </c>
      <c r="D119" s="23" t="s">
        <v>288</v>
      </c>
      <c r="E119" s="73">
        <f>+('DOE25'!L283)+('DOE25'!L302)+('DOE25'!L321)</f>
        <v>3661101.08</v>
      </c>
      <c r="F119" s="23" t="s">
        <v>288</v>
      </c>
      <c r="G119" s="23" t="s">
        <v>288</v>
      </c>
      <c r="H119" s="13">
        <f t="shared" si="7"/>
        <v>6231450.7999999998</v>
      </c>
    </row>
    <row r="120" spans="1:8" x14ac:dyDescent="0.2">
      <c r="A120" t="s">
        <v>210</v>
      </c>
      <c r="B120" s="31" t="s">
        <v>211</v>
      </c>
      <c r="C120" s="73">
        <f>('DOE25'!L205)+('DOE25'!L223)+('DOE25'!L241)</f>
        <v>2634003.4500000002</v>
      </c>
      <c r="D120" s="23" t="s">
        <v>288</v>
      </c>
      <c r="E120" s="73">
        <f>+('DOE25'!L284)+('DOE25'!L303)+('DOE25'!L322)</f>
        <v>825562.15000000014</v>
      </c>
      <c r="F120" s="23" t="s">
        <v>288</v>
      </c>
      <c r="G120" s="23" t="s">
        <v>288</v>
      </c>
      <c r="H120" s="13">
        <f t="shared" si="7"/>
        <v>3459565.6000000006</v>
      </c>
    </row>
    <row r="121" spans="1:8" x14ac:dyDescent="0.2">
      <c r="A121" t="s">
        <v>212</v>
      </c>
      <c r="B121" s="31" t="s">
        <v>213</v>
      </c>
      <c r="C121" s="73">
        <f>('DOE25'!L206)+('DOE25'!L224)+('DOE25'!L242)</f>
        <v>11605027.850000001</v>
      </c>
      <c r="D121" s="23" t="s">
        <v>288</v>
      </c>
      <c r="E121" s="73">
        <f>+('DOE25'!L285)+('DOE25'!L304)+('DOE25'!L323)</f>
        <v>366042.3</v>
      </c>
      <c r="F121" s="23" t="s">
        <v>288</v>
      </c>
      <c r="G121" s="23" t="s">
        <v>288</v>
      </c>
      <c r="H121" s="13">
        <f t="shared" si="7"/>
        <v>11971070.150000002</v>
      </c>
    </row>
    <row r="122" spans="1:8" x14ac:dyDescent="0.2">
      <c r="A122" t="s">
        <v>214</v>
      </c>
      <c r="B122" s="31" t="s">
        <v>215</v>
      </c>
      <c r="C122" s="73">
        <f>('DOE25'!L207)+('DOE25'!L225)+('DOE25'!L243)</f>
        <v>1908271.12</v>
      </c>
      <c r="D122" s="23" t="s">
        <v>288</v>
      </c>
      <c r="E122" s="73">
        <f>+('DOE25'!L286)+('DOE25'!L305)+('DOE25'!L324)</f>
        <v>0</v>
      </c>
      <c r="F122" s="23" t="s">
        <v>288</v>
      </c>
      <c r="G122" s="23" t="s">
        <v>288</v>
      </c>
      <c r="H122" s="13">
        <f t="shared" si="7"/>
        <v>1908271.12</v>
      </c>
    </row>
    <row r="123" spans="1:8" x14ac:dyDescent="0.2">
      <c r="A123" t="s">
        <v>216</v>
      </c>
      <c r="B123" s="31" t="s">
        <v>217</v>
      </c>
      <c r="C123" s="73">
        <f>('DOE25'!L208)+('DOE25'!L226)+('DOE25'!L244)</f>
        <v>13472772.77</v>
      </c>
      <c r="D123" s="23" t="s">
        <v>288</v>
      </c>
      <c r="E123" s="73">
        <f>+('DOE25'!L287)+('DOE25'!L306)+('DOE25'!L325)</f>
        <v>14488232.92</v>
      </c>
      <c r="F123" s="23" t="s">
        <v>288</v>
      </c>
      <c r="G123" s="23" t="s">
        <v>288</v>
      </c>
      <c r="H123" s="13">
        <f t="shared" si="7"/>
        <v>27961005.689999998</v>
      </c>
    </row>
    <row r="124" spans="1:8" x14ac:dyDescent="0.2">
      <c r="A124" t="s">
        <v>218</v>
      </c>
      <c r="B124" s="31" t="s">
        <v>219</v>
      </c>
      <c r="C124" s="73">
        <f>('DOE25'!L209)+('DOE25'!L227)+('DOE25'!L245+'DOE25'!L255)</f>
        <v>11073659.030000001</v>
      </c>
      <c r="D124" s="23" t="s">
        <v>288</v>
      </c>
      <c r="E124" s="73">
        <f>+('DOE25'!L288)+('DOE25'!L307)+('DOE25'!L326)</f>
        <v>5520803.1500000004</v>
      </c>
      <c r="F124" s="23" t="s">
        <v>288</v>
      </c>
      <c r="G124" s="23" t="s">
        <v>288</v>
      </c>
      <c r="H124" s="13">
        <f t="shared" si="7"/>
        <v>16594462.180000002</v>
      </c>
    </row>
    <row r="125" spans="1:8" x14ac:dyDescent="0.2">
      <c r="A125" t="s">
        <v>220</v>
      </c>
      <c r="B125" s="31" t="s">
        <v>221</v>
      </c>
      <c r="C125" s="73">
        <f>('DOE25'!L210)+('DOE25'!L228)+('DOE25'!L246)</f>
        <v>2939019.2399999998</v>
      </c>
      <c r="D125" s="23" t="s">
        <v>288</v>
      </c>
      <c r="E125" s="73">
        <f>+('DOE25'!L289)+('DOE25'!L308)+('DOE25'!L327)</f>
        <v>333086.45</v>
      </c>
      <c r="F125" s="23" t="s">
        <v>288</v>
      </c>
      <c r="G125" s="23" t="s">
        <v>288</v>
      </c>
      <c r="H125" s="13">
        <f t="shared" si="7"/>
        <v>3272105.69</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6540142.0299999993</v>
      </c>
      <c r="E127" s="23" t="s">
        <v>288</v>
      </c>
      <c r="F127" s="23" t="s">
        <v>288</v>
      </c>
      <c r="G127" s="23" t="s">
        <v>288</v>
      </c>
      <c r="H127" s="13">
        <f t="shared" si="7"/>
        <v>6540142.0299999993</v>
      </c>
    </row>
    <row r="128" spans="1:8" ht="12.75" thickTop="1" thickBot="1" x14ac:dyDescent="0.25">
      <c r="A128" s="32" t="s">
        <v>226</v>
      </c>
      <c r="C128" s="68">
        <f>SUM(C118:C127)</f>
        <v>63282664.68</v>
      </c>
      <c r="D128" s="68">
        <f>SUM(D118:D127)</f>
        <v>6540142.0299999993</v>
      </c>
      <c r="E128" s="68">
        <f>SUM(E118:E127)</f>
        <v>26723474.580000002</v>
      </c>
      <c r="F128" s="68">
        <f>SUM(F118:F127)</f>
        <v>0</v>
      </c>
      <c r="G128" s="68">
        <f>SUM(G118:G127)</f>
        <v>0</v>
      </c>
      <c r="H128" s="68">
        <f t="shared" si="7"/>
        <v>96546281.289999992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20000000</v>
      </c>
      <c r="D130" s="23" t="s">
        <v>288</v>
      </c>
      <c r="E130" s="92">
        <f>'DOE25'!L337</f>
        <v>0</v>
      </c>
      <c r="F130" s="92">
        <f>SUM('DOE25'!L375:'DOE25'!L381)</f>
        <v>0</v>
      </c>
      <c r="G130" s="23" t="s">
        <v>288</v>
      </c>
      <c r="H130" s="13">
        <f t="shared" si="7"/>
        <v>20000000</v>
      </c>
    </row>
    <row r="131" spans="1:8" x14ac:dyDescent="0.2">
      <c r="A131" t="s">
        <v>229</v>
      </c>
      <c r="B131" s="31">
        <v>5110</v>
      </c>
      <c r="C131" s="73">
        <f>'DOE25'!L261</f>
        <v>8900617.5500000007</v>
      </c>
      <c r="D131" s="23" t="s">
        <v>288</v>
      </c>
      <c r="E131" s="92">
        <f>'DOE25'!L342</f>
        <v>0</v>
      </c>
      <c r="F131" s="23" t="s">
        <v>288</v>
      </c>
      <c r="G131" s="23" t="s">
        <v>288</v>
      </c>
      <c r="H131" s="13">
        <f t="shared" si="7"/>
        <v>8900617.5500000007</v>
      </c>
    </row>
    <row r="132" spans="1:8" x14ac:dyDescent="0.2">
      <c r="A132" t="s">
        <v>230</v>
      </c>
      <c r="B132" s="31">
        <v>5120</v>
      </c>
      <c r="C132" s="73">
        <f>'DOE25'!L262</f>
        <v>2570235.4</v>
      </c>
      <c r="D132" s="23" t="s">
        <v>288</v>
      </c>
      <c r="E132" s="92">
        <f>'DOE25'!L343</f>
        <v>0</v>
      </c>
      <c r="F132" s="23" t="s">
        <v>288</v>
      </c>
      <c r="G132" s="23" t="s">
        <v>288</v>
      </c>
      <c r="H132" s="13">
        <f t="shared" si="7"/>
        <v>2570235.4</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263149.33999999997</v>
      </c>
      <c r="F134" s="73">
        <f>'DOE25'!K382</f>
        <v>0</v>
      </c>
      <c r="G134" s="73">
        <f>'DOE25'!K435</f>
        <v>3870098.06</v>
      </c>
      <c r="H134" s="13">
        <f t="shared" si="7"/>
        <v>4133247.4</v>
      </c>
    </row>
    <row r="135" spans="1:8" x14ac:dyDescent="0.2">
      <c r="A135" t="s">
        <v>233</v>
      </c>
      <c r="B135" s="31" t="s">
        <v>234</v>
      </c>
      <c r="C135" s="73">
        <f>'DOE25'!L264</f>
        <v>825000</v>
      </c>
      <c r="D135" s="23" t="s">
        <v>288</v>
      </c>
      <c r="E135" s="92">
        <f>'DOE25'!L346</f>
        <v>0</v>
      </c>
      <c r="F135" s="23" t="s">
        <v>288</v>
      </c>
      <c r="G135" s="23" t="s">
        <v>288</v>
      </c>
      <c r="H135" s="13">
        <f t="shared" si="7"/>
        <v>825000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1275305.96</v>
      </c>
      <c r="D139" s="23" t="s">
        <v>288</v>
      </c>
      <c r="E139" s="23" t="s">
        <v>288</v>
      </c>
      <c r="F139" s="23" t="s">
        <v>288</v>
      </c>
      <c r="G139" s="23" t="s">
        <v>288</v>
      </c>
      <c r="H139" s="13">
        <f t="shared" si="7"/>
        <v>1275305.96</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-1250815.95</v>
      </c>
      <c r="D141" s="23" t="s">
        <v>288</v>
      </c>
      <c r="E141" s="23" t="s">
        <v>288</v>
      </c>
      <c r="F141" s="23" t="s">
        <v>288</v>
      </c>
      <c r="G141" s="23" t="s">
        <v>288</v>
      </c>
      <c r="H141" s="13">
        <f t="shared" si="7"/>
        <v>-1250815.95</v>
      </c>
    </row>
    <row r="142" spans="1:8" x14ac:dyDescent="0.2">
      <c r="A142" t="s">
        <v>241</v>
      </c>
      <c r="B142" s="31">
        <v>5310</v>
      </c>
      <c r="C142" s="92">
        <f>'DOE25'!L269</f>
        <v>2082227.6800000002</v>
      </c>
      <c r="D142" s="23" t="s">
        <v>288</v>
      </c>
      <c r="E142" s="92">
        <f>'DOE25'!L350</f>
        <v>0</v>
      </c>
      <c r="F142" s="23" t="s">
        <v>288</v>
      </c>
      <c r="G142" s="23" t="s">
        <v>288</v>
      </c>
      <c r="H142" s="13">
        <f t="shared" si="7"/>
        <v>2082227.6800000002</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34402570.640000001</v>
      </c>
      <c r="D144" s="98">
        <f>SUM(D130:D143)</f>
        <v>0</v>
      </c>
      <c r="E144" s="98">
        <f>SUM(E130:E143)</f>
        <v>263149.33999999997</v>
      </c>
      <c r="F144" s="98">
        <f>SUM(F130:F143)</f>
        <v>0</v>
      </c>
      <c r="G144" s="98">
        <f>SUM(G130:G143)</f>
        <v>3870098.06</v>
      </c>
      <c r="H144" s="98">
        <f t="shared" si="7"/>
        <v>38535818.040000007</v>
      </c>
    </row>
    <row r="145" spans="1:9" ht="12.75" thickTop="1" thickBot="1" x14ac:dyDescent="0.25">
      <c r="A145" s="32" t="s">
        <v>244</v>
      </c>
      <c r="C145" s="68">
        <f>(C115+C128+C144)</f>
        <v>220176010.38</v>
      </c>
      <c r="D145" s="68">
        <f>(D115+D128+D144)</f>
        <v>6540142.0299999993</v>
      </c>
      <c r="E145" s="68">
        <f>(E115+E128+E144)</f>
        <v>57228297.350000009</v>
      </c>
      <c r="F145" s="68">
        <f>(F115+F128+F144)</f>
        <v>0</v>
      </c>
      <c r="G145" s="68">
        <f>(G115+G128+G144)</f>
        <v>3870098.06</v>
      </c>
      <c r="H145" s="68">
        <f t="shared" si="7"/>
        <v>287814547.81999999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horizontalDpi="4294967295" verticalDpi="4294967295"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Manchester</v>
      </c>
    </row>
    <row r="3" spans="1:4" x14ac:dyDescent="0.2">
      <c r="B3" s="136" t="s">
        <v>1792</v>
      </c>
    </row>
    <row r="4" spans="1:4" x14ac:dyDescent="0.2">
      <c r="B4" t="s">
        <v>61</v>
      </c>
      <c r="C4" s="128">
        <f>IF('DOE25'!F666+'DOE25'!F671=0,0,ROUND('DOE25'!F673,0))</f>
        <v>17327</v>
      </c>
    </row>
    <row r="5" spans="1:4" x14ac:dyDescent="0.2">
      <c r="B5" t="s">
        <v>700</v>
      </c>
      <c r="C5" s="128">
        <f>IF('DOE25'!G666+'DOE25'!G671=0,0,ROUND('DOE25'!G673,0))</f>
        <v>18187</v>
      </c>
    </row>
    <row r="6" spans="1:4" x14ac:dyDescent="0.2">
      <c r="B6" t="s">
        <v>62</v>
      </c>
      <c r="C6" s="128">
        <f>IF('DOE25'!H666+'DOE25'!H671=0,0,ROUND('DOE25'!H673,0))</f>
        <v>17957</v>
      </c>
    </row>
    <row r="7" spans="1:4" x14ac:dyDescent="0.2">
      <c r="B7" t="s">
        <v>701</v>
      </c>
      <c r="C7" s="128">
        <f>IF('DOE25'!I666+'DOE25'!I671=0,0,ROUND('DOE25'!I673,0))</f>
        <v>17734</v>
      </c>
    </row>
    <row r="9" spans="1:4" x14ac:dyDescent="0.2">
      <c r="A9" s="135" t="s">
        <v>94</v>
      </c>
      <c r="B9" s="136" t="s">
        <v>1793</v>
      </c>
      <c r="C9" s="130" t="s">
        <v>720</v>
      </c>
      <c r="D9" s="130" t="s">
        <v>721</v>
      </c>
    </row>
    <row r="10" spans="1:4" x14ac:dyDescent="0.2">
      <c r="A10">
        <v>1100</v>
      </c>
      <c r="B10" t="s">
        <v>702</v>
      </c>
      <c r="C10" s="128">
        <f>ROUND('DOE25'!L198+'DOE25'!L216+'DOE25'!L234+'DOE25'!L277+'DOE25'!L296+'DOE25'!L315,0)</f>
        <v>89936298</v>
      </c>
      <c r="D10" s="131">
        <f>ROUND((C10/$C$28)*100,1)</f>
        <v>35.6</v>
      </c>
    </row>
    <row r="11" spans="1:4" x14ac:dyDescent="0.2">
      <c r="A11">
        <v>1200</v>
      </c>
      <c r="B11" t="s">
        <v>703</v>
      </c>
      <c r="C11" s="128">
        <f>ROUND('DOE25'!L199+'DOE25'!L217+'DOE25'!L235+'DOE25'!L278+'DOE25'!L297+'DOE25'!L316,0)</f>
        <v>52599433</v>
      </c>
      <c r="D11" s="131">
        <f>ROUND((C11/$C$28)*100,1)</f>
        <v>20.8</v>
      </c>
    </row>
    <row r="12" spans="1:4" x14ac:dyDescent="0.2">
      <c r="A12">
        <v>1300</v>
      </c>
      <c r="B12" t="s">
        <v>704</v>
      </c>
      <c r="C12" s="128">
        <f>ROUND('DOE25'!L200+'DOE25'!L218+'DOE25'!L236+'DOE25'!L279+'DOE25'!L298+'DOE25'!L317,0)</f>
        <v>3206716</v>
      </c>
      <c r="D12" s="131">
        <f>ROUND((C12/$C$28)*100,1)</f>
        <v>1.3</v>
      </c>
    </row>
    <row r="13" spans="1:4" x14ac:dyDescent="0.2">
      <c r="A13">
        <v>1400</v>
      </c>
      <c r="B13" t="s">
        <v>705</v>
      </c>
      <c r="C13" s="128">
        <f>ROUND('DOE25'!L201+'DOE25'!L219+'DOE25'!L237+'DOE25'!L280+'DOE25'!L299+'DOE25'!L318,0)</f>
        <v>5625252</v>
      </c>
      <c r="D13" s="131">
        <f>ROUND((C13/$C$28)*100,1)</f>
        <v>2.2000000000000002</v>
      </c>
    </row>
    <row r="14" spans="1:4" x14ac:dyDescent="0.2">
      <c r="D14" s="131"/>
    </row>
    <row r="15" spans="1:4" x14ac:dyDescent="0.2">
      <c r="A15">
        <v>2100</v>
      </c>
      <c r="B15" t="s">
        <v>706</v>
      </c>
      <c r="C15" s="128">
        <f>ROUND('DOE25'!L203+'DOE25'!L221+'DOE25'!L239+'DOE25'!L282+'DOE25'!L301+'DOE25'!L320,0)</f>
        <v>18608208</v>
      </c>
      <c r="D15" s="131">
        <f t="shared" ref="D15:D27" si="0">ROUND((C15/$C$28)*100,1)</f>
        <v>7.4</v>
      </c>
    </row>
    <row r="16" spans="1:4" x14ac:dyDescent="0.2">
      <c r="A16">
        <v>2200</v>
      </c>
      <c r="B16" t="s">
        <v>707</v>
      </c>
      <c r="C16" s="128">
        <f>ROUND('DOE25'!L204+'DOE25'!L222+'DOE25'!L240+'DOE25'!L283+'DOE25'!L302+'DOE25'!L321,0)</f>
        <v>6231451</v>
      </c>
      <c r="D16" s="131">
        <f t="shared" si="0"/>
        <v>2.5</v>
      </c>
    </row>
    <row r="17" spans="1:4" x14ac:dyDescent="0.2">
      <c r="A17" s="132" t="s">
        <v>723</v>
      </c>
      <c r="B17" t="s">
        <v>738</v>
      </c>
      <c r="C17" s="128">
        <f>ROUND('DOE25'!L205+'DOE25'!L210+'DOE25'!L223+'DOE25'!L228+'DOE25'!L241+'DOE25'!L246+'DOE25'!L284+'DOE25'!L289+'DOE25'!L303+'DOE25'!L308+'DOE25'!L322+'DOE25'!L327,0)</f>
        <v>6731671</v>
      </c>
      <c r="D17" s="131">
        <f t="shared" si="0"/>
        <v>2.7</v>
      </c>
    </row>
    <row r="18" spans="1:4" x14ac:dyDescent="0.2">
      <c r="A18">
        <v>2400</v>
      </c>
      <c r="B18" t="s">
        <v>711</v>
      </c>
      <c r="C18" s="128">
        <f>ROUND('DOE25'!L206+'DOE25'!L224+'DOE25'!L242+'DOE25'!L285+'DOE25'!L304+'DOE25'!L323,0)</f>
        <v>11971070</v>
      </c>
      <c r="D18" s="131">
        <f t="shared" si="0"/>
        <v>4.7</v>
      </c>
    </row>
    <row r="19" spans="1:4" x14ac:dyDescent="0.2">
      <c r="A19">
        <v>2500</v>
      </c>
      <c r="B19" t="s">
        <v>708</v>
      </c>
      <c r="C19" s="128">
        <f>ROUND('DOE25'!L207+'DOE25'!L225+'DOE25'!L243+'DOE25'!L286+'DOE25'!L305+'DOE25'!L324,0)</f>
        <v>1908271</v>
      </c>
      <c r="D19" s="131">
        <f t="shared" si="0"/>
        <v>0.8</v>
      </c>
    </row>
    <row r="20" spans="1:4" x14ac:dyDescent="0.2">
      <c r="A20">
        <v>2600</v>
      </c>
      <c r="B20" t="s">
        <v>709</v>
      </c>
      <c r="C20" s="128">
        <f>ROUND('DOE25'!L208+'DOE25'!L226+'DOE25'!L244+'DOE25'!L287+'DOE25'!L306+'DOE25'!L325,0)</f>
        <v>27961006</v>
      </c>
      <c r="D20" s="131">
        <f t="shared" si="0"/>
        <v>11.1</v>
      </c>
    </row>
    <row r="21" spans="1:4" x14ac:dyDescent="0.2">
      <c r="A21">
        <v>2700</v>
      </c>
      <c r="B21" t="s">
        <v>710</v>
      </c>
      <c r="C21" s="128">
        <f>ROUND('DOE25'!L209+'DOE25'!L227+'DOE25'!L245+'DOE25'!L288+'DOE25'!L307+'DOE25'!L326,0)</f>
        <v>16594462</v>
      </c>
      <c r="D21" s="131">
        <f t="shared" si="0"/>
        <v>6.6</v>
      </c>
    </row>
    <row r="22" spans="1:4" x14ac:dyDescent="0.2">
      <c r="A22">
        <v>2900</v>
      </c>
      <c r="B22" t="s">
        <v>712</v>
      </c>
      <c r="C22" s="128">
        <v>0</v>
      </c>
      <c r="D22" s="131">
        <f t="shared" si="0"/>
        <v>0</v>
      </c>
    </row>
    <row r="23" spans="1:4" x14ac:dyDescent="0.2">
      <c r="A23">
        <v>1500</v>
      </c>
      <c r="B23" t="s">
        <v>714</v>
      </c>
      <c r="C23" s="128">
        <f>ROUND('DOE25'!L251+'DOE25'!L333,0)</f>
        <v>1014319</v>
      </c>
      <c r="D23" s="131">
        <f t="shared" si="0"/>
        <v>0.4</v>
      </c>
    </row>
    <row r="24" spans="1:4" x14ac:dyDescent="0.2">
      <c r="A24" s="132" t="s">
        <v>722</v>
      </c>
      <c r="B24" t="s">
        <v>715</v>
      </c>
      <c r="C24" s="128">
        <f>ROUND('DOE25'!L252+'DOE25'!L253+'DOE25'!L254+'DOE25'!L255+'DOE25'!L334+'DOE25'!L335+'DOE25'!L336,0)</f>
        <v>350431</v>
      </c>
      <c r="D24" s="131">
        <f t="shared" si="0"/>
        <v>0.1</v>
      </c>
    </row>
    <row r="25" spans="1:4" x14ac:dyDescent="0.2">
      <c r="A25">
        <v>5120</v>
      </c>
      <c r="B25" t="s">
        <v>716</v>
      </c>
      <c r="C25" s="128">
        <f>ROUND('DOE25'!L262+'DOE25'!L343,0)</f>
        <v>2570235</v>
      </c>
      <c r="D25" s="131">
        <f t="shared" si="0"/>
        <v>1</v>
      </c>
    </row>
    <row r="26" spans="1:4" x14ac:dyDescent="0.2">
      <c r="A26" s="132" t="s">
        <v>717</v>
      </c>
      <c r="B26" t="s">
        <v>718</v>
      </c>
      <c r="C26" s="128">
        <f>'DOE25'!L269+'DOE25'!L270+'DOE25'!L350+'DOE25'!L351</f>
        <v>2082227.6800000002</v>
      </c>
      <c r="D26" s="131">
        <f t="shared" si="0"/>
        <v>0.8</v>
      </c>
    </row>
    <row r="27" spans="1:4" x14ac:dyDescent="0.2">
      <c r="A27">
        <v>3100</v>
      </c>
      <c r="B27" t="s">
        <v>11</v>
      </c>
      <c r="C27" s="128">
        <f>ROUND('DOE25'!L363-'DOE25'!L362,0)-SUM('DOE25'!G97:G110)</f>
        <v>5307108.28</v>
      </c>
      <c r="D27" s="131">
        <f t="shared" si="0"/>
        <v>2.1</v>
      </c>
    </row>
    <row r="28" spans="1:4" x14ac:dyDescent="0.2">
      <c r="B28" s="135" t="s">
        <v>719</v>
      </c>
      <c r="C28" s="129">
        <f>SUM(C10:C27)</f>
        <v>252698158.96000001</v>
      </c>
      <c r="D28" s="133">
        <f>ROUND(SUM(D10:D27),0)</f>
        <v>100</v>
      </c>
    </row>
    <row r="29" spans="1:4" x14ac:dyDescent="0.2">
      <c r="A29">
        <v>4000</v>
      </c>
      <c r="B29" t="s">
        <v>724</v>
      </c>
      <c r="C29" s="128">
        <f>ROUND('DOE25'!L256+'DOE25'!L337+'DOE25'!L375+'DOE25'!L376+'DOE25'!L377+'DOE25'!L378+'DOE25'!L379+'DOE25'!L380+'DOE25'!L381,0)</f>
        <v>20000000</v>
      </c>
    </row>
    <row r="30" spans="1:4" x14ac:dyDescent="0.2">
      <c r="B30" s="135" t="s">
        <v>725</v>
      </c>
      <c r="C30" s="129">
        <f>SUM(C28:C29)</f>
        <v>272698158.96000004</v>
      </c>
    </row>
    <row r="31" spans="1:4" x14ac:dyDescent="0.2">
      <c r="B31" s="32"/>
      <c r="C31" s="129"/>
    </row>
    <row r="32" spans="1:4" x14ac:dyDescent="0.2">
      <c r="A32">
        <v>5100</v>
      </c>
      <c r="B32" s="32" t="s">
        <v>726</v>
      </c>
      <c r="C32" s="129">
        <f>ROUND('DOE25'!L261+'DOE25'!L342,0)</f>
        <v>8900618</v>
      </c>
    </row>
    <row r="34" spans="1:4" x14ac:dyDescent="0.2">
      <c r="A34" s="135" t="s">
        <v>94</v>
      </c>
      <c r="B34" s="136" t="s">
        <v>1794</v>
      </c>
      <c r="C34" s="130" t="s">
        <v>720</v>
      </c>
      <c r="D34" s="130" t="s">
        <v>721</v>
      </c>
    </row>
    <row r="35" spans="1:4" x14ac:dyDescent="0.2">
      <c r="A35">
        <v>1100</v>
      </c>
      <c r="B35" s="71" t="s">
        <v>727</v>
      </c>
      <c r="C35" s="128">
        <f>ROUND('DOE25'!F60+'DOE25'!G60+'DOE25'!H60+'DOE25'!I60+'DOE25'!J60,0)</f>
        <v>98356308</v>
      </c>
      <c r="D35" s="131">
        <f t="shared" ref="D35:D40" si="1">ROUND((C35/$C$41)*100,1)</f>
        <v>34.200000000000003</v>
      </c>
    </row>
    <row r="36" spans="1:4" x14ac:dyDescent="0.2">
      <c r="B36" s="71" t="s">
        <v>739</v>
      </c>
      <c r="C36" s="128">
        <f>SUM('DOE25'!F112:J112)-SUM('DOE25'!G97:G110)+('DOE25'!F175+'DOE25'!F176+'DOE25'!I175+'DOE25'!I176)-C35</f>
        <v>4506275.7699999958</v>
      </c>
      <c r="D36" s="131">
        <f t="shared" si="1"/>
        <v>1.6</v>
      </c>
    </row>
    <row r="37" spans="1:4" x14ac:dyDescent="0.2">
      <c r="A37" s="132" t="s">
        <v>831</v>
      </c>
      <c r="B37" s="71" t="s">
        <v>728</v>
      </c>
      <c r="C37" s="128">
        <f>ROUND('DOE25'!F117+'DOE25'!F118,0)</f>
        <v>117448245</v>
      </c>
      <c r="D37" s="131">
        <f t="shared" si="1"/>
        <v>40.9</v>
      </c>
    </row>
    <row r="38" spans="1:4" x14ac:dyDescent="0.2">
      <c r="A38" s="132" t="s">
        <v>734</v>
      </c>
      <c r="B38" s="71" t="s">
        <v>729</v>
      </c>
      <c r="C38" s="128">
        <f>ROUND(SUM('DOE25'!F140:J140)-SUM('DOE25'!F117:F119),0)</f>
        <v>5837429</v>
      </c>
      <c r="D38" s="131">
        <f t="shared" si="1"/>
        <v>2</v>
      </c>
    </row>
    <row r="39" spans="1:4" x14ac:dyDescent="0.2">
      <c r="A39">
        <v>4000</v>
      </c>
      <c r="B39" s="71" t="s">
        <v>730</v>
      </c>
      <c r="C39" s="128">
        <f>ROUND('DOE25'!F170+'DOE25'!G170+'DOE25'!H170+'DOE25'!I170,0)</f>
        <v>61084261</v>
      </c>
      <c r="D39" s="131">
        <f t="shared" si="1"/>
        <v>21.3</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287232518.76999998</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horizontalDpi="4294967295" verticalDpi="4294967295"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Manchester</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14</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IFERROR(SMALL($T$4:$T$95,ROWS($T$4:T4)),"")</f>
        <v>26</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IFERROR(SMALL(AE4:$AE$125,ROWS($AE$4:AE4)),"")</f>
        <v>52</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IFERROR(SMALL($I$4:$I$385,ROWS($I$4:I5)),"")</f>
        <v>20</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f>IFERROR(SMALL($T$4:$T$95,ROWS($T$4:T5)),"")</f>
        <v>28</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f>IFERROR(SMALL(AE5:$AE$125,ROWS($AE$4:AE5)),"")</f>
        <v>53</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f>IFERROR(SMALL($I$4:$I$385,ROWS($I$4:I6)),"")</f>
        <v>106</v>
      </c>
      <c r="K6" s="256" t="b">
        <f t="shared" si="0"/>
        <v>0</v>
      </c>
      <c r="L6">
        <v>17</v>
      </c>
      <c r="M6" t="s">
        <v>904</v>
      </c>
      <c r="N6" t="s">
        <v>905</v>
      </c>
      <c r="O6">
        <v>21745</v>
      </c>
      <c r="P6" t="s">
        <v>1517</v>
      </c>
      <c r="Q6">
        <v>39</v>
      </c>
      <c r="R6" t="s">
        <v>1660</v>
      </c>
      <c r="S6" s="281">
        <f>ROWS($Q$4:Q6)</f>
        <v>3</v>
      </c>
      <c r="T6" s="281" t="str">
        <f>IF('School Level Expenditures'!$B$2='School Tables'!L6,'School Tables'!S6,"")</f>
        <v/>
      </c>
      <c r="U6" s="281">
        <f>IFERROR(SMALL($T$4:$T$95,ROWS($T$4:T6)),"")</f>
        <v>46</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f>IFERROR(SMALL(AE6:$AE$125,ROWS($AE$4:AE6)),"")</f>
        <v>54</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f>IFERROR(SMALL($I$4:$I$385,ROWS($I$4:I7)),"")</f>
        <v>108</v>
      </c>
      <c r="K7" s="256" t="b">
        <f t="shared" si="0"/>
        <v>0</v>
      </c>
      <c r="L7">
        <v>33</v>
      </c>
      <c r="M7" t="s">
        <v>915</v>
      </c>
      <c r="N7" t="s">
        <v>916</v>
      </c>
      <c r="O7">
        <v>22030</v>
      </c>
      <c r="P7" t="s">
        <v>1517</v>
      </c>
      <c r="Q7">
        <v>74</v>
      </c>
      <c r="R7" t="s">
        <v>1642</v>
      </c>
      <c r="S7" s="281">
        <f>ROWS($Q$4:Q7)</f>
        <v>4</v>
      </c>
      <c r="T7" s="281" t="str">
        <f>IF('School Level Expenditures'!$B$2='School Tables'!L7,'School Tables'!S7,"")</f>
        <v/>
      </c>
      <c r="U7" s="281">
        <f>IFERROR(SMALL($T$4:$T$95,ROWS($T$4:T7)),"")</f>
        <v>68</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f>IFERROR(SMALL(AE7:$AE$125,ROWS($AE$4:AE7)),"")</f>
        <v>55</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f>IFERROR(SMALL($I$4:$I$385,ROWS($I$4:I8)),"")</f>
        <v>124</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f>IFERROR(SMALL($I$4:$I$385,ROWS($I$4:I9)),"")</f>
        <v>128</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f>IFERROR(SMALL($I$4:$I$385,ROWS($I$4:I10)),"")</f>
        <v>147</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f>IFERROR(SMALL($I$4:$I$385,ROWS($I$4:I11)),"")</f>
        <v>190</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f>IFERROR(SMALL($I$4:$I$385,ROWS($I$4:I12)),"")</f>
        <v>229</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f>IFERROR(SMALL($I$4:$I$385,ROWS($I$4:I13)),"")</f>
        <v>236</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f>IFERROR(SMALL($I$4:$I$385,ROWS($I$4:I14)),"")</f>
        <v>280</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f>IFERROR(SMALL($I$4:$I$385,ROWS($I$4:I15)),"")</f>
        <v>315</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f>IFERROR(SMALL($I$4:$I$385,ROWS($I$4:I16)),"")</f>
        <v>319</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f>IF('School Level Expenditures'!$B$2=A17,'School Tables'!H17,"")</f>
        <v>14</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f>IF('School Level Expenditures'!$B$2=A23,'School Tables'!H23,"")</f>
        <v>20</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f>IF('School Level Expenditures'!$B$2='School Tables'!L29,'School Tables'!S29,"")</f>
        <v>26</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f>IF('School Level Expenditures'!$B$2='School Tables'!L31,'School Tables'!S31,"")</f>
        <v>28</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f>IF('School Level Expenditures'!$B$2='School Tables'!L49,'School Tables'!S49,"")</f>
        <v>46</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f>IF('School Level Expenditures'!$B$2='School Tables'!W55,'School Tables'!AD55,"")</f>
        <v>52</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f>IF('School Level Expenditures'!$B$2='School Tables'!W56,'School Tables'!AD56,"")</f>
        <v>53</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f>IF('School Level Expenditures'!$B$2='School Tables'!W57,'School Tables'!AD57,"")</f>
        <v>54</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f>IF('School Level Expenditures'!$B$2='School Tables'!W58,'School Tables'!AD58,"")</f>
        <v>55</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f>IF('School Level Expenditures'!$B$2='School Tables'!L71,'School Tables'!S71,"")</f>
        <v>68</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f>IF('School Level Expenditures'!$B$2=A109,'School Tables'!H109,"")</f>
        <v>106</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f>IF('School Level Expenditures'!$B$2=A111,'School Tables'!H111,"")</f>
        <v>108</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f>IF('School Level Expenditures'!$B$2=A127,'School Tables'!H127,"")</f>
        <v>124</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f>IF('School Level Expenditures'!$B$2=A131,'School Tables'!H131,"")</f>
        <v>128</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f>IF('School Level Expenditures'!$B$2=A150,'School Tables'!H150,"")</f>
        <v>147</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f>IF('School Level Expenditures'!$B$2=A193,'School Tables'!H193,"")</f>
        <v>190</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f>IF('School Level Expenditures'!$B$2=A232,'School Tables'!H232,"")</f>
        <v>229</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f>IF('School Level Expenditures'!$B$2=A239,'School Tables'!H239,"")</f>
        <v>236</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f>IF('School Level Expenditures'!$B$2=A283,'School Tables'!H283,"")</f>
        <v>280</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f>IF('School Level Expenditures'!$B$2=A318,'School Tables'!H318,"")</f>
        <v>315</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f>IF('School Level Expenditures'!$B$2=A322,'School Tables'!H322,"")</f>
        <v>319</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2024-10-01T16:31:49Z</cp:lastPrinted>
  <dcterms:created xsi:type="dcterms:W3CDTF">1997-12-04T19:04:30Z</dcterms:created>
  <dcterms:modified xsi:type="dcterms:W3CDTF">2024-12-20T19:10:25Z</dcterms:modified>
</cp:coreProperties>
</file>