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D9B2EAB4-5661-477A-89BD-EF12FA499B46}"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9" i="12" l="1"/>
  <c r="D40" i="14"/>
  <c r="D27" i="14"/>
  <c r="D6" i="14"/>
  <c r="E40" i="14"/>
  <c r="E27" i="14"/>
  <c r="E6" i="14"/>
  <c r="F15" i="13" l="1"/>
  <c r="F14" i="13"/>
  <c r="F6" i="13"/>
  <c r="D9" i="13"/>
  <c r="B21" i="12"/>
  <c r="B20" i="12"/>
  <c r="B19" i="12"/>
  <c r="G529" i="1" l="1"/>
  <c r="G528" i="1"/>
  <c r="G527" i="1"/>
  <c r="F529" i="1"/>
  <c r="F528" i="1"/>
  <c r="F527" i="1"/>
  <c r="G524" i="1"/>
  <c r="G523" i="1"/>
  <c r="G522" i="1"/>
  <c r="F524" i="1"/>
  <c r="F523" i="1"/>
  <c r="F522" i="1"/>
  <c r="J605" i="1" l="1"/>
  <c r="I605" i="1"/>
  <c r="H605" i="1"/>
  <c r="F50" i="1" l="1"/>
  <c r="F12" i="1"/>
  <c r="F24" i="1"/>
  <c r="F28" i="1"/>
  <c r="F14" i="1"/>
  <c r="G40" i="1" l="1"/>
  <c r="E17" i="17"/>
  <c r="E13" i="17"/>
  <c r="E9" i="17"/>
  <c r="F499" i="1" l="1"/>
  <c r="G474" i="1" l="1"/>
  <c r="G466" i="1"/>
  <c r="H361" i="1"/>
  <c r="H360" i="1"/>
  <c r="H359" i="1"/>
  <c r="G97" i="1" l="1"/>
  <c r="G161" i="1"/>
  <c r="G30"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K36" i="14" s="1"/>
  <c r="K37" i="14" s="1"/>
  <c r="L317" i="1"/>
  <c r="L318" i="1"/>
  <c r="L320" i="1"/>
  <c r="L321" i="1"/>
  <c r="L322" i="1"/>
  <c r="L323" i="1"/>
  <c r="L324" i="1"/>
  <c r="L325" i="1"/>
  <c r="L326" i="1"/>
  <c r="L327" i="1"/>
  <c r="L334" i="1"/>
  <c r="L335" i="1"/>
  <c r="L336" i="1"/>
  <c r="L261" i="1"/>
  <c r="C131" i="2" s="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C58" i="2" s="1"/>
  <c r="F111" i="1"/>
  <c r="G111" i="1"/>
  <c r="H79" i="1"/>
  <c r="H94" i="1"/>
  <c r="E58" i="2" s="1"/>
  <c r="H111" i="1"/>
  <c r="I111" i="1"/>
  <c r="I112" i="1" s="1"/>
  <c r="J111" i="1"/>
  <c r="F121" i="1"/>
  <c r="F136" i="1"/>
  <c r="G121" i="1"/>
  <c r="G136" i="1"/>
  <c r="H121" i="1"/>
  <c r="H136" i="1"/>
  <c r="I121" i="1"/>
  <c r="I136" i="1"/>
  <c r="J121" i="1"/>
  <c r="J136" i="1"/>
  <c r="F147" i="1"/>
  <c r="C85" i="2" s="1"/>
  <c r="G147" i="1"/>
  <c r="D85" i="2" s="1"/>
  <c r="H147" i="1"/>
  <c r="H170" i="1" s="1"/>
  <c r="I147" i="1"/>
  <c r="F85" i="2"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H132" i="2"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H26" i="2" s="1"/>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9" i="2"/>
  <c r="D59" i="2"/>
  <c r="E59" i="2"/>
  <c r="F59" i="2"/>
  <c r="D60" i="2"/>
  <c r="H60" i="2" s="1"/>
  <c r="C61" i="2"/>
  <c r="D61" i="2"/>
  <c r="E61" i="2"/>
  <c r="F61" i="2"/>
  <c r="C66" i="2"/>
  <c r="H66" i="2" s="1"/>
  <c r="C67" i="2"/>
  <c r="H67" i="2" s="1"/>
  <c r="C69" i="2"/>
  <c r="D69" i="2"/>
  <c r="D70" i="2" s="1"/>
  <c r="E69" i="2"/>
  <c r="E70" i="2" s="1"/>
  <c r="F69" i="2"/>
  <c r="G69" i="2"/>
  <c r="G70" i="2" s="1"/>
  <c r="C72" i="2"/>
  <c r="F72" i="2"/>
  <c r="H72" i="2" s="1"/>
  <c r="C73" i="2"/>
  <c r="F73" i="2"/>
  <c r="C74" i="2"/>
  <c r="H74" i="2" s="1"/>
  <c r="C75" i="2"/>
  <c r="H75" i="2" s="1"/>
  <c r="C76" i="2"/>
  <c r="E76" i="2"/>
  <c r="F76" i="2"/>
  <c r="C77" i="2"/>
  <c r="D77" i="2"/>
  <c r="D78" i="2" s="1"/>
  <c r="E77" i="2"/>
  <c r="F77" i="2"/>
  <c r="G77" i="2"/>
  <c r="G78" i="2" s="1"/>
  <c r="C79" i="2"/>
  <c r="D79" i="2"/>
  <c r="E79" i="2"/>
  <c r="C80" i="2"/>
  <c r="E80" i="2"/>
  <c r="C87" i="2"/>
  <c r="E87" i="2"/>
  <c r="F87" i="2"/>
  <c r="C89" i="2"/>
  <c r="D89" i="2"/>
  <c r="E89" i="2"/>
  <c r="F89" i="2"/>
  <c r="C90" i="2"/>
  <c r="H90" i="2" s="1"/>
  <c r="C93" i="2"/>
  <c r="F93" i="2"/>
  <c r="C94" i="2"/>
  <c r="F94" i="2"/>
  <c r="H94" i="2" s="1"/>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E125" i="2"/>
  <c r="F128" i="2"/>
  <c r="G128" i="2"/>
  <c r="D134" i="2"/>
  <c r="D144" i="2" s="1"/>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I471" i="1"/>
  <c r="J471"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31" i="1"/>
  <c r="H632" i="1"/>
  <c r="H637" i="1"/>
  <c r="H638" i="1"/>
  <c r="H639" i="1"/>
  <c r="G644" i="1"/>
  <c r="G645" i="1"/>
  <c r="G646" i="1"/>
  <c r="H653" i="1"/>
  <c r="G654" i="1"/>
  <c r="H654" i="1"/>
  <c r="H655" i="1"/>
  <c r="H656" i="1"/>
  <c r="C119" i="2" l="1"/>
  <c r="I170" i="1"/>
  <c r="H73" i="2"/>
  <c r="E120" i="2"/>
  <c r="E111" i="2"/>
  <c r="J652" i="1"/>
  <c r="H29" i="2"/>
  <c r="H25" i="2"/>
  <c r="C32" i="10"/>
  <c r="H113" i="2"/>
  <c r="E13" i="13"/>
  <c r="C13" i="13" s="1"/>
  <c r="C13" i="10"/>
  <c r="C125" i="2"/>
  <c r="D15" i="13"/>
  <c r="C15" i="13" s="1"/>
  <c r="C120" i="2"/>
  <c r="H120" i="2" s="1"/>
  <c r="G663" i="1"/>
  <c r="C112" i="2"/>
  <c r="H112" i="2" s="1"/>
  <c r="H125" i="2"/>
  <c r="K2" i="14"/>
  <c r="K3" i="14" s="1"/>
  <c r="H143" i="2"/>
  <c r="H137" i="2"/>
  <c r="H135" i="2"/>
  <c r="H93" i="2"/>
  <c r="F170" i="1"/>
  <c r="H80" i="2"/>
  <c r="H58" i="2"/>
  <c r="D29" i="13"/>
  <c r="C29" i="13" s="1"/>
  <c r="G662" i="1"/>
  <c r="H79" i="2"/>
  <c r="E124" i="2"/>
  <c r="C12" i="10"/>
  <c r="H102" i="2"/>
  <c r="H101" i="2"/>
  <c r="H100" i="2"/>
  <c r="H99" i="2"/>
  <c r="H98" i="2"/>
  <c r="H89" i="2"/>
  <c r="H87" i="2"/>
  <c r="H76" i="2"/>
  <c r="H140" i="1"/>
  <c r="H59" i="2"/>
  <c r="H43" i="2"/>
  <c r="H35" i="2"/>
  <c r="H34" i="2"/>
  <c r="H28" i="2"/>
  <c r="H27" i="2"/>
  <c r="H24" i="2"/>
  <c r="H15" i="2"/>
  <c r="H13" i="2"/>
  <c r="H47" i="2"/>
  <c r="H38" i="2"/>
  <c r="H36" i="2"/>
  <c r="H44" i="2"/>
  <c r="H48" i="2"/>
  <c r="H30" i="2"/>
  <c r="H23" i="2"/>
  <c r="H22" i="2"/>
  <c r="H17" i="2"/>
  <c r="H11" i="2"/>
  <c r="H9" i="2"/>
  <c r="H8" i="2"/>
  <c r="H12" i="2"/>
  <c r="I409" i="1"/>
  <c r="G409" i="1"/>
  <c r="H646" i="1" s="1"/>
  <c r="J646" i="1" s="1"/>
  <c r="F409" i="1"/>
  <c r="H644" i="1" s="1"/>
  <c r="J644" i="1" s="1"/>
  <c r="H97" i="2"/>
  <c r="H96" i="2"/>
  <c r="H77" i="2"/>
  <c r="J140" i="1"/>
  <c r="F70" i="2"/>
  <c r="H69" i="2"/>
  <c r="H61" i="2"/>
  <c r="G62" i="2"/>
  <c r="G63" i="2" s="1"/>
  <c r="J112" i="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F112" i="1"/>
  <c r="L394" i="1"/>
  <c r="C138" i="2" s="1"/>
  <c r="H138" i="2" s="1"/>
  <c r="L363" i="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C70" i="2"/>
  <c r="D62" i="2"/>
  <c r="D63" i="2" s="1"/>
  <c r="E57" i="2"/>
  <c r="C26" i="10"/>
  <c r="C18" i="10"/>
  <c r="J546" i="1"/>
  <c r="I477" i="1"/>
  <c r="H626" i="1" s="1"/>
  <c r="J477" i="1"/>
  <c r="H627"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B17" i="16" l="1"/>
  <c r="B19" i="16" s="1"/>
  <c r="G473" i="1"/>
  <c r="C81" i="2"/>
  <c r="H70" i="2"/>
  <c r="H114" i="2"/>
  <c r="H124" i="2"/>
  <c r="H122" i="2"/>
  <c r="H123" i="2"/>
  <c r="L572" i="1"/>
  <c r="F194" i="1"/>
  <c r="D128" i="2"/>
  <c r="D145" i="2" s="1"/>
  <c r="H127" i="2"/>
  <c r="I662" i="1"/>
  <c r="D51" i="2"/>
  <c r="E144" i="2"/>
  <c r="I663" i="1"/>
  <c r="H91" i="2"/>
  <c r="H85" i="2"/>
  <c r="E62" i="2"/>
  <c r="E63" i="2" s="1"/>
  <c r="E104" i="2" s="1"/>
  <c r="H57" i="2"/>
  <c r="E51" i="2"/>
  <c r="H42" i="2"/>
  <c r="H50" i="2"/>
  <c r="H31" i="2"/>
  <c r="H21" i="2"/>
  <c r="H16" i="2"/>
  <c r="H18" i="2"/>
  <c r="G144" i="2"/>
  <c r="G145" i="2" s="1"/>
  <c r="H134" i="2"/>
  <c r="H103" i="2"/>
  <c r="F81" i="2"/>
  <c r="H81" i="2" s="1"/>
  <c r="H78" i="2"/>
  <c r="F63" i="2"/>
  <c r="G25" i="14"/>
  <c r="H25" i="14" s="1"/>
  <c r="I25" i="14" s="1"/>
  <c r="H110" i="2"/>
  <c r="H121" i="2"/>
  <c r="E128" i="2"/>
  <c r="H118" i="2"/>
  <c r="F661" i="1"/>
  <c r="F665" i="1" s="1"/>
  <c r="F670" i="1" s="1"/>
  <c r="E115" i="2"/>
  <c r="H109" i="2"/>
  <c r="F144" i="2"/>
  <c r="H130" i="2"/>
  <c r="H661" i="1"/>
  <c r="H665" i="1" s="1"/>
  <c r="H194" i="1"/>
  <c r="H649" i="1"/>
  <c r="J649" i="1" s="1"/>
  <c r="C141" i="2"/>
  <c r="F51" i="2"/>
  <c r="G38" i="14"/>
  <c r="H38" i="14" s="1"/>
  <c r="I38" i="14" s="1"/>
  <c r="C36" i="10"/>
  <c r="L435" i="1"/>
  <c r="G639" i="1" s="1"/>
  <c r="J639" i="1" s="1"/>
  <c r="G104" i="2"/>
  <c r="L339" i="1"/>
  <c r="L353" i="1" s="1"/>
  <c r="I194" i="1"/>
  <c r="G631" i="1" s="1"/>
  <c r="J631" i="1" s="1"/>
  <c r="G636" i="1"/>
  <c r="G51" i="2"/>
  <c r="D104" i="2"/>
  <c r="L409" i="1"/>
  <c r="C27" i="10"/>
  <c r="C28" i="10" s="1"/>
  <c r="D23" i="10" s="1"/>
  <c r="G4" i="14"/>
  <c r="H4" i="14" s="1"/>
  <c r="I4" i="14" s="1"/>
  <c r="L546" i="1"/>
  <c r="J626" i="1"/>
  <c r="B14" i="16"/>
  <c r="B22" i="16" s="1"/>
  <c r="E33" i="13"/>
  <c r="D35" i="13" s="1"/>
  <c r="J648" i="1"/>
  <c r="L258" i="1"/>
  <c r="L272" i="1" s="1"/>
  <c r="C115" i="2"/>
  <c r="C63" i="2"/>
  <c r="C104" i="2" s="1"/>
  <c r="C39" i="10"/>
  <c r="G33" i="13"/>
  <c r="C128" i="2"/>
  <c r="D31" i="13"/>
  <c r="C31" i="13" s="1"/>
  <c r="I462" i="1"/>
  <c r="H643" i="1" s="1"/>
  <c r="J643" i="1" s="1"/>
  <c r="G661" i="1"/>
  <c r="G665" i="1" s="1"/>
  <c r="C25" i="13"/>
  <c r="I33" i="13"/>
  <c r="K553" i="1"/>
  <c r="C51" i="2"/>
  <c r="G632" i="1"/>
  <c r="J632" i="1" s="1"/>
  <c r="G194" i="1"/>
  <c r="G627" i="1"/>
  <c r="J627" i="1" s="1"/>
  <c r="J52" i="1"/>
  <c r="H622" i="1" s="1"/>
  <c r="J622" i="1" s="1"/>
  <c r="C38" i="10"/>
  <c r="G630" i="1" l="1"/>
  <c r="H469" i="1"/>
  <c r="G633" i="1"/>
  <c r="F473" i="1"/>
  <c r="G628" i="1"/>
  <c r="F469" i="1"/>
  <c r="H636" i="1"/>
  <c r="J636" i="1" s="1"/>
  <c r="G475" i="1"/>
  <c r="G634" i="1"/>
  <c r="H473" i="1"/>
  <c r="G629" i="1"/>
  <c r="G469" i="1"/>
  <c r="H63" i="2"/>
  <c r="H62" i="2"/>
  <c r="H51" i="2"/>
  <c r="C144" i="2"/>
  <c r="H144" i="2" s="1"/>
  <c r="H141" i="2"/>
  <c r="F104" i="2"/>
  <c r="H104" i="2" s="1"/>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28" i="1" l="1"/>
  <c r="J628" i="1" s="1"/>
  <c r="F471" i="1"/>
  <c r="H633" i="1"/>
  <c r="F475" i="1"/>
  <c r="J633" i="1"/>
  <c r="H471" i="1"/>
  <c r="H630" i="1"/>
  <c r="J630" i="1" s="1"/>
  <c r="H475" i="1"/>
  <c r="H634" i="1"/>
  <c r="J634" i="1" s="1"/>
  <c r="H629" i="1"/>
  <c r="G471" i="1"/>
  <c r="G477" i="1" s="1"/>
  <c r="J629" i="1"/>
  <c r="C145" i="2"/>
  <c r="H145" i="2" s="1"/>
  <c r="I670" i="1"/>
  <c r="I673" i="1" s="1"/>
  <c r="C7" i="10" s="1"/>
  <c r="F673" i="1"/>
  <c r="C4" i="10" s="1"/>
  <c r="I668" i="1"/>
  <c r="D28" i="10"/>
  <c r="D37" i="10"/>
  <c r="D36" i="10"/>
  <c r="D35" i="10"/>
  <c r="D40" i="10"/>
  <c r="D39" i="10"/>
  <c r="F477" i="1" l="1"/>
  <c r="H623" i="1" s="1"/>
  <c r="J623" i="1" s="1"/>
  <c r="H477" i="1"/>
  <c r="H625" i="1" s="1"/>
  <c r="J625" i="1" s="1"/>
  <c r="B33" i="16"/>
  <c r="H624" i="1"/>
  <c r="D41" i="10"/>
  <c r="J624" i="1" l="1"/>
  <c r="H65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<sst xmlns="http://schemas.openxmlformats.org/spreadsheetml/2006/main" count="6646" uniqueCount="1846">
  <si>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</si>
  <si>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</si>
  <si>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</si>
  <si>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</si>
  <si>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</si>
  <si>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</si>
  <si>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</si>
  <si>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</si>
  <si>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</si>
  <si>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</si>
  <si>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</si>
  <si>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</si>
  <si>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</si>
  <si>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</si>
  <si>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</si>
  <si>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</si>
  <si>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</si>
  <si>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</si>
  <si>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</si>
  <si>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</si>
  <si>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</si>
  <si>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</si>
  <si>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</si>
  <si>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</si>
  <si>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</si>
  <si>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</si>
  <si>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</si>
  <si>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</si>
  <si>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</si>
  <si>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</si>
  <si>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</si>
  <si>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</si>
  <si>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</si>
  <si>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</si>
  <si>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</si>
  <si>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</si>
  <si>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</si>
  <si>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</si>
  <si>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</si>
  <si>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</si>
  <si>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</si>
  <si>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</si>
  <si>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</si>
  <si>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</si>
  <si>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</si>
  <si>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</si>
  <si>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</si>
  <si>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</si>
  <si>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</si>
  <si>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</si>
  <si>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</si>
  <si>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</si>
  <si>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</si>
  <si>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</si>
  <si>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</si>
  <si>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</si>
  <si>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</si>
  <si>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</si>
  <si>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</si>
  <si>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</si>
  <si>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</si>
  <si>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</si>
  <si>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</si>
  <si>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</si>
  <si>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</si>
  <si>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</si>
  <si>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</si>
  <si>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</si>
  <si>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</si>
  <si>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</si>
  <si>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</si>
  <si>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</si>
  <si>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</si>
  <si>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</si>
  <si>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</si>
  <si>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</si>
  <si>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</si>
  <si>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</si>
  <si>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</si>
  <si>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</si>
  <si>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</si>
  <si>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</si>
  <si>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</si>
  <si>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</si>
  <si>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</si>
  <si>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</si>
  <si>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</si>
  <si>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</si>
  <si>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</si>
  <si>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</si>
  <si>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</si>
  <si>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</si>
  <si>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</si>
  <si>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</si>
  <si>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</si>
  <si>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</si>
  <si>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</si>
  <si>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</si>
  <si>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</si>
  <si>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</si>
  <si>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</si>
  <si>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</si>
  <si>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</si>
  <si>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</si>
  <si>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</si>
  <si>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</si>
  <si>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</si>
  <si>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</si>
  <si>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</si>
  <si>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</si>
  <si>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</si>
  <si>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</si>
  <si>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</si>
  <si>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</si>
  <si>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</si>
  <si>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</si>
  <si>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</si>
  <si>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</si>
  <si>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</si>
  <si>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</si>
  <si>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</si>
  <si>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</si>
  <si>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</si>
  <si>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</si>
  <si>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</si>
  <si>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</si>
  <si>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</si>
  <si>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</si>
  <si>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</si>
  <si>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</si>
  <si>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</si>
  <si>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</si>
  <si>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</si>
  <si>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</si>
  <si>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</si>
  <si>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</si>
  <si>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</si>
  <si>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</si>
  <si>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</si>
  <si>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</si>
  <si>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</si>
  <si>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</si>
  <si>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</si>
  <si>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</si>
  <si>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</si>
  <si>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</si>
  <si>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</si>
  <si>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</si>
  <si>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</si>
  <si>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</si>
  <si>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</si>
  <si>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</si>
  <si>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</si>
  <si>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</si>
  <si>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</si>
  <si>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</si>
  <si>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</si>
  <si>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</si>
  <si>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</si>
  <si>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</si>
  <si>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</si>
  <si>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</si>
  <si>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</si>
  <si>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</si>
  <si>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</si>
  <si>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</si>
  <si>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</si>
  <si>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</si>
  <si>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</si>
  <si>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</si>
  <si>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</si>
  <si>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</si>
  <si>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</si>
  <si>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</si>
  <si>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</si>
  <si>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</si>
  <si>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</si>
  <si>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</si>
  <si>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</si>
  <si>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</si>
  <si>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</si>
  <si>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</si>
  <si>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</si>
  <si>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</si>
  <si>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</si>
  <si>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</si>
  <si>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</si>
  <si>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</si>
  <si>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</si>
  <si>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</si>
  <si>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</si>
  <si>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</si>
  <si>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</si>
  <si>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</si>
  <si>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</si>
  <si>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</si>
  <si>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</si>
  <si>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</si>
  <si>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</si>
  <si>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</si>
  <si>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</si>
  <si>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</si>
  <si>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</si>
  <si>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</si>
  <si>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</si>
  <si>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</si>
  <si>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</si>
  <si>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</si>
  <si>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</si>
  <si>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</si>
  <si>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</si>
  <si>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</si>
  <si>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</si>
  <si>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</si>
  <si>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</si>
  <si>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</si>
  <si>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</si>
  <si>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</si>
  <si>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</si>
  <si>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</si>
  <si>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</si>
  <si>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</si>
  <si>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</si>
  <si>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</si>
  <si>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</si>
  <si>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</si>
  <si>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</si>
  <si>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</si>
  <si>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</si>
  <si>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</si>
  <si>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</si>
  <si>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</si>
  <si>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</si>
  <si>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</si>
  <si>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</si>
  <si>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</si>
  <si>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</si>
  <si>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</si>
  <si>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</si>
  <si>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</si>
  <si>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</si>
  <si>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</si>
  <si>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</si>
  <si>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</si>
  <si>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</si>
  <si>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</si>
  <si>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</si>
  <si>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</si>
  <si>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</si>
  <si>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</si>
  <si>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</si>
  <si>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</si>
  <si>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</si>
  <si>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</si>
  <si>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</si>
  <si>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</si>
  <si>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</si>
  <si>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</si>
  <si>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</si>
  <si>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</si>
  <si>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</si>
  <si>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</si>
  <si>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</si>
  <si>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</si>
  <si>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</si>
  <si>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</si>
  <si>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</si>
  <si>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</si>
  <si>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</si>
  <si>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</si>
  <si>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</si>
  <si>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</si>
  <si>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</si>
  <si>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</si>
  <si>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</si>
  <si>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</si>
  <si>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</si>
  <si>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</si>
  <si>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</si>
  <si>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</si>
  <si>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</si>
  <si>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</si>
  <si>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</si>
  <si>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</si>
  <si>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</si>
  <si>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</si>
  <si>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</si>
  <si>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</si>
  <si>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</si>
  <si>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</si>
  <si>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</si>
  <si>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</si>
  <si>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</si>
  <si>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</si>
  <si>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</si>
  <si>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</si>
  <si>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</si>
  <si>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</si>
  <si>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</si>
  <si>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</si>
  <si>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</si>
  <si>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</si>
  <si>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</si>
  <si>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</si>
  <si>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</si>
  <si>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</si>
  <si>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</si>
  <si>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</si>
  <si>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</si>
  <si>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</si>
  <si>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</si>
  <si>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</si>
  <si>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</si>
  <si>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</si>
  <si>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</si>
  <si>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</si>
  <si>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</si>
  <si>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</si>
  <si>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</si>
  <si>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</si>
  <si>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</si>
  <si>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</si>
  <si>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</si>
  <si>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</si>
  <si>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</si>
  <si>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</si>
  <si>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</si>
  <si>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</si>
  <si>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</si>
  <si>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</si>
  <si>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</si>
  <si>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</si>
  <si>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</si>
  <si>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</si>
  <si>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</si>
  <si>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</si>
  <si>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</si>
  <si>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</si>
  <si>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</si>
  <si>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</si>
  <si>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</si>
  <si>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</si>
  <si>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</si>
  <si>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</si>
  <si>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</si>
  <si>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</si>
  <si>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</si>
  <si>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</si>
  <si>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</si>
  <si>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</si>
  <si>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</si>
  <si>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</si>
  <si>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</si>
  <si>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</si>
  <si>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</si>
  <si>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</si>
  <si>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</si>
  <si>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</si>
  <si>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</si>
  <si>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</si>
  <si>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</si>
  <si>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</si>
  <si>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</si>
  <si>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</si>
  <si>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</si>
  <si>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</si>
  <si>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</si>
  <si>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</si>
  <si>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</si>
  <si>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</si>
  <si>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</si>
  <si>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</si>
  <si>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</si>
  <si>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</si>
  <si>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</si>
  <si>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</si>
  <si>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</si>
  <si>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</si>
  <si>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</si>
  <si>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</si>
  <si>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</si>
  <si>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</si>
  <si>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</si>
  <si>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</si>
  <si>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</si>
  <si>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</si>
  <si>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</si>
  <si>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</si>
  <si>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</si>
  <si>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</si>
  <si>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</si>
  <si>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</si>
  <si>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</si>
  <si>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</si>
  <si>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</si>
  <si>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</si>
  <si>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</si>
  <si>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</si>
  <si>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</si>
  <si>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</si>
  <si>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</si>
  <si>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</si>
  <si>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</si>
  <si>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</si>
  <si>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</si>
  <si>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</si>
  <si>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</si>
  <si>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</si>
  <si>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</si>
  <si>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</si>
  <si>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</si>
  <si>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</si>
  <si>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</si>
  <si>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</si>
  <si>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</si>
  <si>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</si>
  <si>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</si>
  <si>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</si>
  <si>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</si>
  <si>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</si>
  <si>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</si>
  <si>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</si>
  <si>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</si>
  <si>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</si>
  <si>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</si>
  <si>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</si>
  <si>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</si>
  <si>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</si>
  <si>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</si>
  <si>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</si>
  <si>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</si>
  <si>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</si>
  <si>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</si>
  <si>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</si>
  <si>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</si>
  <si>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</si>
  <si>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</si>
  <si>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</si>
  <si>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</si>
  <si>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</si>
  <si>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</si>
  <si>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</si>
  <si>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</si>
  <si>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</si>
  <si>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</si>
  <si>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</si>
  <si>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</si>
  <si>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</si>
  <si>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</si>
  <si>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</si>
  <si>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</si>
  <si>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</si>
  <si>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</si>
  <si>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</si>
  <si>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</si>
  <si>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</si>
  <si>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</si>
  <si>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</si>
  <si>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</si>
  <si>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</si>
  <si>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</si>
  <si>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</si>
  <si>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</si>
  <si>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</si>
  <si>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</si>
  <si>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</si>
  <si>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</si>
  <si>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</si>
  <si>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</si>
  <si>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</si>
  <si>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</si>
  <si>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</si>
  <si>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</si>
  <si>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</si>
  <si>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</si>
  <si>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</si>
  <si>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</si>
  <si>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</si>
  <si>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</si>
  <si>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</si>
  <si>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</si>
  <si>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</si>
  <si>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</si>
  <si>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</si>
  <si>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</si>
  <si>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</si>
  <si>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</si>
  <si>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</si>
  <si>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</si>
  <si>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</si>
  <si>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</si>
  <si>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</si>
  <si>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</si>
  <si>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</si>
  <si>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</si>
  <si>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</si>
  <si>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</si>
  <si>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</si>
  <si>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</si>
  <si>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</si>
  <si>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</si>
  <si>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</si>
  <si>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</si>
  <si>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</si>
  <si>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</si>
  <si>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</si>
  <si>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</si>
  <si>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</si>
  <si>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</si>
  <si>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</si>
  <si>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</si>
  <si>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</si>
  <si>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</si>
  <si>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</si>
  <si>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</si>
  <si>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</si>
  <si>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</si>
  <si>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</si>
  <si>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</si>
  <si>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</si>
  <si>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</si>
  <si>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</si>
  <si>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</si>
  <si>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</si>
  <si>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</si>
  <si>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</si>
  <si>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</si>
  <si>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</si>
  <si>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</si>
  <si>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</si>
  <si>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</si>
  <si>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</si>
  <si>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</si>
  <si>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</si>
  <si>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</si>
  <si>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</si>
  <si>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</si>
  <si>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</si>
  <si>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</si>
  <si>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</si>
  <si>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</si>
  <si>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</si>
  <si>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</si>
  <si>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</si>
  <si>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</si>
  <si>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</si>
  <si>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</si>
  <si>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</si>
  <si>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</si>
  <si>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</si>
  <si>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</si>
  <si>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</si>
  <si>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</si>
  <si>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</si>
  <si>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</si>
  <si>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</si>
  <si>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</si>
  <si>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</si>
  <si>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</si>
  <si>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</si>
  <si>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</si>
  <si>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</si>
  <si>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</si>
  <si>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</si>
  <si>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</si>
  <si>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</si>
  <si>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</si>
  <si>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</si>
  <si>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</si>
  <si>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</si>
  <si>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</si>
  <si>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</si>
  <si>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</si>
  <si>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</si>
  <si>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</si>
  <si>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</si>
  <si>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</si>
  <si>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</si>
  <si>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</si>
  <si>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</si>
  <si>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</si>
  <si>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</si>
  <si>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</si>
  <si>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</si>
  <si>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</si>
  <si>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</si>
  <si>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</si>
  <si>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</si>
  <si>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</si>
  <si>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</si>
  <si>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</si>
  <si>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</si>
  <si>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</si>
  <si>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</si>
  <si>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</si>
  <si>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</si>
  <si>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</si>
  <si>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</si>
  <si>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</si>
  <si>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</si>
  <si>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</si>
  <si>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</si>
  <si>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</si>
  <si>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</si>
  <si>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</si>
  <si>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</si>
  <si>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</si>
  <si>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</si>
  <si>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</si>
  <si>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</si>
  <si>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</si>
  <si>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</si>
  <si>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</si>
  <si>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</si>
  <si>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</si>
  <si>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</si>
  <si>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</si>
  <si>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</si>
  <si>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</si>
  <si>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</si>
  <si>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</si>
  <si>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</si>
  <si>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</si>
  <si>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</si>
  <si>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</si>
  <si>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</si>
  <si>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</si>
  <si>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</si>
  <si>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</si>
  <si>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</si>
  <si>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</si>
  <si>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</si>
  <si>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</si>
  <si>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</si>
  <si>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</si>
  <si>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</si>
  <si>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</si>
  <si>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</si>
  <si>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</si>
  <si>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</si>
  <si>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</si>
  <si>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</si>
  <si>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</si>
  <si>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</si>
  <si>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</si>
  <si>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</si>
  <si>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</si>
  <si>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</si>
  <si>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</si>
  <si>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</si>
  <si>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</si>
  <si>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</si>
  <si>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</si>
  <si>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</si>
  <si>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</si>
  <si>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</si>
  <si>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</si>
  <si>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</si>
  <si>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</si>
  <si>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</si>
  <si>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</si>
  <si>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</si>
  <si>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</si>
  <si>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</si>
  <si>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</si>
  <si>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</si>
  <si>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</si>
  <si>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</si>
  <si>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</si>
  <si>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</si>
  <si>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</si>
  <si>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</si>
  <si>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</si>
  <si>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</si>
  <si>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</si>
  <si>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</si>
  <si>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</si>
  <si>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</si>
  <si>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</si>
  <si>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</si>
  <si>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</si>
  <si>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</si>
  <si>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</si>
  <si>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</si>
  <si>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</si>
  <si>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</si>
  <si>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</si>
  <si>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</si>
  <si>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</si>
  <si>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</si>
  <si>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</si>
  <si>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</si>
  <si>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</si>
  <si>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</si>
  <si>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</si>
  <si>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</si>
  <si>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</si>
  <si>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</si>
  <si>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</si>
  <si>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</si>
  <si>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</si>
  <si>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</si>
  <si>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</si>
  <si>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</si>
  <si>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</si>
  <si>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</si>
  <si>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</si>
  <si>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</si>
  <si>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</si>
  <si>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</si>
  <si>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</si>
  <si>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</si>
  <si>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</si>
  <si>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</si>
  <si>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</si>
  <si>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</si>
  <si>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</si>
  <si>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</si>
  <si>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</si>
  <si>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</si>
  <si>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</si>
  <si>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</si>
  <si>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</si>
  <si>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</si>
  <si>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</si>
  <si>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</si>
  <si>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</si>
  <si>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</si>
  <si>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</si>
  <si>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</si>
  <si>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</si>
  <si>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</si>
  <si>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</si>
  <si>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</si>
  <si>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</si>
  <si>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</si>
  <si>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</si>
  <si>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</si>
  <si>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</si>
  <si>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</si>
  <si>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</si>
  <si>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</si>
  <si>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</si>
  <si>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</si>
  <si>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</si>
  <si>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</si>
  <si>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</si>
  <si>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</si>
  <si>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</si>
  <si>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</si>
  <si>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</si>
  <si>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</si>
  <si>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</si>
  <si>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</si>
  <si>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</si>
  <si>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</si>
  <si>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</si>
  <si>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</si>
  <si>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</si>
  <si>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</si>
  <si>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</si>
  <si>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</si>
  <si>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</si>
  <si>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</si>
  <si>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</si>
  <si>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</si>
  <si>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</si>
  <si>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</si>
  <si>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</si>
  <si>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</si>
  <si>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</si>
  <si>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</si>
  <si>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</si>
  <si>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</si>
  <si>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</si>
  <si>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</si>
  <si>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</si>
  <si>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</si>
  <si>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</si>
  <si>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</si>
  <si>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</si>
  <si>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</si>
  <si>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</si>
  <si>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</si>
  <si>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</si>
  <si>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</si>
  <si>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</si>
  <si>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</si>
  <si>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</si>
  <si>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</si>
  <si>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</si>
  <si>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</si>
  <si>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</si>
  <si>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</si>
  <si>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</si>
  <si>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</si>
  <si>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</si>
  <si>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</si>
  <si>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</si>
  <si>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</si>
  <si>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</si>
  <si>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</si>
  <si>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</si>
  <si>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</si>
  <si>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</si>
  <si>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</si>
  <si>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</si>
  <si>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</si>
  <si>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</si>
  <si>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</si>
  <si>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</si>
  <si>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</si>
  <si>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</si>
  <si>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</si>
  <si>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</si>
  <si>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</si>
  <si>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</si>
  <si>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</si>
  <si>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</si>
  <si>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</si>
  <si>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</si>
  <si>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</si>
  <si>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</si>
  <si>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</si>
  <si>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</si>
  <si>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</si>
  <si>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</si>
  <si>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</si>
  <si>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</si>
  <si>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</si>
  <si>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</si>
  <si>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</si>
  <si>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</si>
  <si>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</si>
  <si>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</si>
  <si>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</si>
  <si>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</si>
  <si>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</si>
  <si>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</si>
  <si>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</si>
  <si>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</si>
  <si>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</si>
  <si>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</si>
  <si>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</si>
  <si>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</si>
  <si>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</si>
  <si>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</si>
  <si>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</si>
  <si>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</si>
  <si>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</si>
  <si>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</si>
  <si>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</si>
  <si>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</si>
  <si>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</si>
  <si>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</si>
  <si>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</si>
  <si>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</si>
  <si>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</si>
  <si>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</si>
  <si>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</si>
  <si>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</si>
  <si>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</si>
  <si>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</si>
  <si>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</si>
  <si>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</si>
  <si>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</si>
  <si>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</si>
  <si>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</si>
  <si>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</si>
  <si>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</si>
  <si>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</si>
  <si>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</si>
  <si>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</si>
  <si>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</si>
  <si>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</si>
  <si>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</si>
  <si>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</si>
  <si>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</si>
  <si>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</si>
  <si>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</si>
  <si>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</si>
  <si>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</si>
  <si>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</si>
  <si>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</si>
  <si>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</si>
  <si>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</si>
  <si>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</si>
  <si>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</si>
  <si>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</si>
  <si>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</si>
  <si>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</si>
  <si>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</si>
  <si>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</si>
  <si>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</si>
  <si>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</si>
  <si>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</si>
  <si>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</si>
  <si>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</si>
  <si>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</si>
  <si>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</si>
  <si>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</si>
  <si>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</si>
  <si>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</si>
  <si>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</si>
  <si>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</si>
  <si>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</si>
  <si>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</si>
  <si>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</si>
  <si>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</si>
  <si>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</si>
  <si>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</si>
  <si>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</si>
  <si>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</si>
  <si>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</si>
  <si>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</si>
  <si>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</si>
  <si>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</si>
  <si>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</si>
  <si>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</si>
  <si>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</si>
  <si>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</si>
  <si>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</si>
  <si>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</si>
  <si>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</si>
  <si>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</si>
  <si>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</si>
  <si>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</si>
  <si>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</si>
  <si>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</si>
  <si>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</si>
  <si>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</si>
  <si>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</si>
  <si>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</si>
  <si>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</si>
  <si>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</si>
  <si>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</si>
  <si>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</si>
  <si>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</si>
  <si>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</si>
  <si>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</si>
  <si>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</si>
  <si>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</si>
  <si>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</si>
  <si>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</si>
  <si>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</si>
  <si>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</si>
  <si>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</si>
  <si>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</si>
  <si>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</si>
  <si>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</si>
  <si>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</si>
  <si>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</si>
  <si>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</si>
  <si>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</si>
  <si>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</si>
  <si>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</si>
  <si>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</si>
  <si>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</si>
  <si>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</si>
  <si>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</si>
  <si>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</si>
  <si>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</si>
  <si>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</si>
  <si>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</si>
  <si>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</si>
  <si>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</si>
  <si>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</si>
  <si>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</si>
  <si>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</si>
  <si>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</si>
  <si>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</si>
  <si>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</si>
  <si>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</si>
  <si>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</si>
  <si>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</si>
  <si>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</si>
  <si>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</si>
  <si>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</si>
  <si>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</si>
  <si>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</si>
  <si>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</si>
  <si>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</si>
  <si>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</si>
  <si>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</si>
  <si>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</si>
  <si>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</si>
  <si>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</si>
  <si>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</si>
  <si>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</si>
  <si>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</si>
  <si>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</si>
  <si>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</si>
  <si>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</si>
  <si>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</si>
  <si>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</si>
  <si>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</si>
  <si>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</si>
  <si>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</si>
  <si>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</si>
  <si>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</si>
  <si>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</si>
  <si>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</si>
  <si>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</si>
  <si>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</si>
  <si>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</si>
  <si>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</si>
  <si>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</si>
  <si>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</si>
  <si>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</si>
  <si>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</si>
  <si>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</si>
  <si>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</si>
  <si>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</si>
  <si>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</si>
  <si>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</si>
  <si>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</si>
  <si>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</si>
  <si>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</si>
  <si>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</si>
  <si>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</si>
  <si>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</si>
  <si>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</si>
  <si>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</si>
  <si>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</si>
  <si>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</si>
  <si>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</si>
  <si>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</si>
  <si>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</si>
  <si>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</si>
  <si>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</si>
  <si>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</si>
  <si>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</si>
  <si>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</si>
  <si>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</si>
  <si>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</si>
  <si>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</si>
  <si>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</si>
  <si>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</si>
  <si>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</si>
  <si>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</si>
  <si>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</si>
  <si>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</si>
  <si>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</si>
  <si>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</si>
  <si>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</si>
  <si>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</si>
  <si>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</si>
  <si>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</si>
  <si>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</si>
  <si>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</si>
  <si>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</si>
  <si>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</si>
  <si>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</si>
  <si>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</si>
  <si>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</si>
  <si>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</si>
  <si>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</si>
  <si>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</si>
  <si>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</si>
  <si>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</si>
  <si>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</si>
  <si>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</si>
  <si>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</si>
  <si>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</si>
  <si>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</si>
  <si>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</si>
  <si>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</si>
  <si>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</si>
  <si>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</si>
  <si>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</si>
  <si>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</si>
  <si>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</si>
  <si>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</si>
  <si>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</si>
  <si>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</si>
  <si>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</si>
  <si>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</si>
  <si>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</si>
  <si>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</si>
  <si>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</si>
  <si>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</si>
  <si>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</si>
  <si>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</si>
  <si>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</si>
  <si>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</si>
  <si>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</si>
  <si>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</si>
  <si>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</si>
  <si>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</si>
  <si>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</si>
  <si>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</si>
  <si>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</si>
  <si>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</si>
  <si>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</si>
  <si>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</si>
  <si>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</si>
  <si>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</si>
  <si>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</si>
  <si>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</si>
  <si>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</si>
  <si>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</si>
  <si>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</si>
  <si>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</si>
  <si>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</si>
  <si>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</si>
  <si>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</si>
  <si>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</si>
  <si>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</si>
  <si>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</si>
  <si>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</si>
  <si>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</si>
  <si>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</si>
  <si>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</si>
  <si>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</si>
  <si>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</si>
  <si>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</si>
  <si>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</si>
  <si>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</si>
  <si>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</si>
  <si>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</si>
  <si>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</si>
  <si>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</si>
  <si>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</si>
  <si>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</si>
  <si>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</si>
  <si>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</si>
  <si>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</si>
  <si>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</si>
  <si>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</si>
  <si>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</si>
  <si>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</si>
  <si>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</si>
  <si>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</si>
  <si>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</si>
  <si>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</si>
  <si>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</si>
  <si>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</si>
  <si>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</si>
  <si>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</si>
  <si>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</si>
  <si>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</si>
  <si>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</si>
  <si>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</si>
  <si>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</si>
  <si>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</si>
  <si>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</si>
  <si>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</si>
  <si>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</si>
  <si>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</si>
  <si>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</si>
  <si>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</si>
  <si>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</si>
  <si>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</si>
  <si>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</si>
  <si>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</si>
  <si>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</si>
  <si>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</si>
  <si>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</si>
  <si>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</si>
  <si>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</si>
  <si>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</si>
  <si>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</si>
  <si>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</si>
  <si>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</si>
  <si>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</si>
  <si>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</si>
  <si>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</si>
  <si>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</si>
  <si>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</si>
  <si>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</si>
  <si>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</si>
  <si>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</si>
  <si>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</si>
  <si>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</si>
  <si>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</si>
  <si>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</si>
  <si>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</si>
  <si>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</si>
  <si>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</si>
  <si>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</si>
  <si>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</si>
  <si>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</si>
  <si>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</si>
  <si>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</si>
  <si>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</si>
  <si>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</si>
  <si>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</si>
  <si>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</si>
  <si>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</si>
  <si>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</si>
  <si>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</si>
  <si>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</si>
  <si>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</si>
  <si>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</si>
  <si>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</si>
  <si>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</si>
  <si>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</si>
  <si>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</si>
  <si>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</si>
  <si>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</si>
  <si>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</si>
  <si>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</si>
  <si>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</si>
  <si>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</si>
  <si>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</si>
  <si>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</si>
  <si>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</si>
  <si>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</si>
  <si>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</si>
  <si>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</si>
  <si>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</si>
  <si>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</si>
  <si>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</si>
  <si>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</si>
  <si>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</si>
  <si>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</si>
  <si>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</si>
  <si>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</si>
  <si>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</si>
  <si>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</si>
  <si>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</si>
  <si>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</si>
  <si>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</si>
  <si>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</si>
  <si>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</si>
  <si>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</si>
  <si>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</si>
  <si>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</si>
  <si>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</si>
  <si>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</si>
  <si>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</si>
  <si>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</si>
  <si>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</si>
  <si>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</si>
  <si>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</si>
  <si>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</si>
  <si>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</si>
  <si>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</si>
  <si>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</si>
  <si>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</si>
  <si>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</si>
  <si>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</si>
  <si>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</si>
  <si>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</si>
  <si>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</si>
  <si>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</si>
  <si>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</si>
  <si>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</si>
  <si>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</si>
  <si>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</si>
  <si>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</si>
  <si>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</si>
  <si>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</si>
  <si>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</si>
  <si>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</si>
  <si>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</si>
  <si>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</si>
  <si>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</si>
  <si>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</si>
  <si>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</si>
  <si>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</si>
  <si>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</si>
  <si>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</si>
  <si>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</si>
  <si>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</si>
  <si>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</si>
  <si>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</si>
  <si>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</si>
  <si>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</si>
  <si>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</si>
  <si>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</si>
  <si>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</si>
  <si>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</si>
  <si>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</si>
  <si>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</si>
  <si>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</si>
  <si>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</si>
  <si>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</si>
  <si>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</si>
  <si>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</si>
  <si>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</si>
  <si>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</si>
  <si>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</si>
  <si>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</si>
  <si>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</si>
  <si>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</si>
  <si>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</si>
  <si>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</si>
  <si>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</si>
  <si>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</si>
  <si>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</si>
  <si>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</si>
  <si>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</si>
  <si>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</si>
  <si>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</si>
  <si>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</si>
  <si>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</si>
  <si>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</si>
  <si>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</si>
  <si>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</si>
  <si>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</si>
  <si>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</si>
  <si>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</si>
  <si>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</si>
  <si>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</si>
  <si>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</si>
  <si>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</si>
  <si>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</si>
  <si>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</si>
  <si>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</si>
  <si>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</si>
  <si>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</si>
  <si>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</si>
  <si>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</si>
  <si>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</si>
  <si>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</si>
  <si>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</si>
  <si>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</si>
  <si>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</si>
  <si>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</si>
  <si>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</si>
  <si>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</si>
  <si>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</si>
  <si>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</si>
  <si>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</si>
  <si>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</si>
  <si>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</si>
  <si>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</si>
  <si>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</si>
  <si>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</si>
  <si>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</si>
  <si>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</si>
  <si>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</si>
  <si>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</si>
  <si>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</si>
  <si>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</si>
  <si>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</si>
  <si>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</si>
  <si>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</si>
  <si>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</si>
  <si>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</si>
  <si>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</si>
  <si>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</si>
  <si>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</si>
  <si>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</si>
  <si>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</si>
  <si>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</si>
  <si>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</si>
  <si>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</si>
  <si>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</si>
  <si>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</si>
  <si>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</si>
  <si>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</si>
  <si>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</si>
  <si>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</si>
  <si>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</si>
  <si>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</si>
  <si>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</si>
  <si>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</si>
  <si>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</si>
  <si>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</si>
  <si>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</si>
  <si>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</si>
  <si>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</si>
  <si>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</si>
  <si>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</si>
  <si>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</si>
  <si>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</si>
  <si>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</si>
  <si>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</si>
  <si>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</si>
  <si>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</si>
  <si>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</si>
  <si>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</si>
  <si>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</si>
  <si>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</si>
  <si>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</si>
  <si>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</si>
  <si>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</si>
  <si>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</si>
  <si>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</si>
  <si>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</si>
  <si>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</si>
  <si>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</si>
  <si>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</si>
  <si>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</si>
  <si>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</si>
  <si>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</si>
  <si>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</si>
  <si>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</si>
  <si>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</si>
  <si>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</si>
  <si>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</si>
  <si>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</si>
  <si>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</si>
  <si>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</si>
  <si>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</si>
  <si>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</si>
  <si>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</si>
  <si>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</si>
  <si>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</si>
  <si>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</si>
  <si>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</si>
  <si>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</si>
  <si>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</si>
  <si>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</si>
  <si>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</si>
  <si>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</si>
  <si>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</si>
  <si>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</si>
  <si>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</si>
  <si>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</si>
  <si>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</si>
  <si>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</si>
  <si>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</si>
  <si>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</si>
  <si>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</si>
  <si>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</si>
  <si>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</si>
  <si>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</si>
  <si>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</si>
  <si>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</si>
  <si>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</si>
  <si>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</si>
  <si>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</si>
  <si>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</si>
  <si>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</si>
  <si>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</si>
  <si>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</si>
  <si>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</si>
  <si>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</si>
  <si>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</si>
  <si>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</si>
  <si>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</si>
  <si>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</si>
  <si>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</si>
  <si>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</si>
  <si>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</si>
  <si>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</si>
  <si>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</si>
  <si>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</si>
  <si>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</si>
  <si>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</si>
  <si>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</si>
  <si>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</si>
  <si>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</si>
  <si>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</si>
  <si>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</si>
  <si>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</si>
  <si>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</si>
  <si>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</si>
  <si>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</si>
  <si>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</si>
  <si>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</si>
  <si>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</si>
  <si>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</si>
  <si>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</si>
  <si>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</si>
  <si>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</si>
  <si>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</si>
  <si>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</si>
  <si>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</si>
  <si>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</si>
  <si>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</si>
  <si>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</si>
  <si>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</si>
  <si>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</si>
  <si>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</si>
  <si>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</si>
  <si>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</si>
  <si>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</si>
  <si>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</si>
  <si>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</si>
  <si>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</si>
  <si>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</si>
  <si>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</si>
  <si>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</si>
  <si>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</si>
  <si>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</si>
  <si>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</si>
  <si>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</si>
  <si>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</si>
  <si>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</si>
  <si>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</si>
  <si>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</si>
  <si>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</si>
  <si>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</si>
  <si>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</si>
  <si>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</si>
  <si>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</si>
  <si>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</si>
  <si>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</si>
  <si>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</si>
  <si>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</si>
  <si>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</si>
  <si>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</si>
  <si>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</si>
  <si>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</si>
  <si>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</si>
  <si>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</si>
  <si>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</si>
  <si>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</si>
  <si>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</si>
  <si>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</si>
  <si>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</si>
  <si>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</si>
  <si>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</si>
  <si>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</si>
  <si>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</si>
  <si>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</si>
  <si>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</si>
  <si>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</si>
  <si>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</si>
  <si>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</si>
  <si>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</si>
  <si>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</si>
  <si>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</si>
  <si>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</si>
  <si>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</si>
  <si>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</si>
  <si>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</si>
  <si>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</si>
  <si>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</si>
  <si>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</si>
  <si>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</si>
  <si>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</si>
  <si>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</si>
  <si>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</si>
  <si>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</si>
  <si>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</si>
  <si>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</si>
  <si>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</si>
  <si>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</si>
  <si>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</si>
  <si>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</si>
  <si>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</si>
  <si>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</si>
  <si>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</si>
  <si>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</si>
  <si>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</si>
  <si>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</si>
  <si>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</si>
  <si>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</si>
  <si>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</si>
  <si>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</si>
  <si>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</si>
  <si>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</si>
  <si>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</si>
  <si>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</si>
  <si>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</si>
  <si>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</si>
  <si>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</si>
  <si>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</si>
  <si>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</si>
  <si>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</si>
  <si>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</si>
  <si>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</si>
  <si>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</si>
  <si>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</si>
  <si>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</si>
  <si>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</si>
  <si>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</si>
  <si>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</si>
  <si>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</si>
  <si>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</si>
  <si>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</si>
  <si>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</si>
  <si>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</si>
  <si>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</si>
  <si>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</si>
  <si>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</si>
  <si>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</si>
  <si>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</si>
  <si>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</si>
  <si>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</si>
  <si>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</si>
  <si>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</si>
  <si>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</si>
  <si>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</si>
  <si>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</si>
  <si>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</si>
  <si>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</si>
  <si>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</si>
  <si>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</si>
  <si>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</si>
  <si>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</si>
  <si>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</si>
  <si>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</si>
  <si>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</si>
  <si>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</si>
  <si>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</si>
  <si>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</si>
  <si>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</si>
  <si>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</si>
  <si>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</si>
  <si>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</si>
  <si>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</si>
  <si>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</si>
  <si>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</si>
  <si>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</si>
  <si>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</si>
  <si>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</si>
  <si>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</si>
  <si>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</si>
  <si>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</si>
  <si>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</si>
  <si>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</si>
  <si>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</si>
  <si>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</si>
  <si>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</si>
  <si>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</si>
  <si>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</si>
  <si>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</si>
  <si>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</si>
  <si>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</si>
  <si>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</si>
  <si>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</si>
  <si>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</si>
  <si>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</si>
  <si>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</si>
  <si>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</si>
  <si>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</si>
  <si>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</si>
  <si>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</si>
  <si>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</si>
  <si>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</si>
  <si>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</si>
  <si>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</si>
  <si>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</si>
  <si>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</si>
  <si>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</si>
  <si>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</si>
  <si>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</si>
  <si>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</si>
  <si>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</si>
  <si>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</si>
  <si>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</si>
  <si>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</si>
  <si>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</si>
  <si>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</si>
  <si>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</si>
  <si>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</si>
  <si>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</si>
  <si>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</si>
  <si>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</si>
  <si>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</si>
  <si>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</si>
  <si>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</si>
  <si>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</si>
  <si>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</si>
  <si>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</si>
  <si>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</si>
  <si>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</si>
  <si>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</si>
  <si>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</si>
  <si>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</si>
  <si>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</si>
  <si>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</si>
  <si>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</si>
  <si>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</si>
  <si>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</si>
  <si>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</si>
  <si>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</si>
  <si>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</si>
  <si>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</si>
  <si>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</si>
  <si>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</si>
  <si>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</si>
  <si>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</si>
  <si>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</si>
  <si>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</si>
  <si>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</si>
  <si>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</si>
  <si>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</si>
  <si>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</si>
  <si>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</si>
  <si>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</si>
  <si>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</si>
  <si>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</si>
  <si>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</si>
  <si>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</si>
  <si>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</si>
  <si>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</si>
  <si>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</si>
  <si>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</si>
  <si>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</si>
  <si>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</si>
  <si>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</si>
  <si>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</si>
  <si>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</si>
  <si>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</si>
  <si>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</si>
  <si>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</si>
  <si>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</si>
  <si>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</si>
  <si>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</si>
  <si>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</si>
  <si>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</si>
  <si>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</si>
  <si>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</si>
  <si>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</si>
  <si>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</si>
  <si>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</si>
  <si>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</si>
  <si>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</si>
  <si>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</si>
  <si>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</si>
  <si>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</si>
  <si>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</si>
  <si>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</si>
  <si>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</si>
  <si>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</si>
  <si>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</si>
  <si>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</si>
  <si>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</si>
  <si>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</si>
  <si>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</si>
  <si>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</si>
  <si>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</si>
  <si>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</si>
  <si>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</si>
  <si>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</si>
  <si>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</si>
  <si>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</si>
  <si>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</si>
  <si>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</si>
  <si>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</si>
  <si>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</si>
  <si>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</si>
  <si>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</si>
  <si>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</si>
  <si>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</si>
  <si>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</si>
  <si>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</si>
  <si>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</si>
  <si>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</si>
  <si>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</si>
  <si>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</si>
  <si>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</si>
  <si>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</si>
  <si>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</si>
  <si>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</si>
  <si>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</si>
  <si>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</si>
  <si>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</si>
  <si>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</si>
  <si>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</si>
  <si>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</si>
  <si>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</si>
  <si>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</si>
  <si>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</si>
  <si>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</si>
  <si>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</si>
  <si>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</si>
  <si>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</si>
  <si>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</si>
  <si>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</si>
  <si>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</si>
  <si>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</si>
  <si>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</si>
  <si>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</si>
  <si>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</si>
  <si>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</si>
  <si>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</si>
  <si>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</si>
  <si>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</si>
  <si>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</si>
  <si>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</si>
  <si>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</si>
  <si>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</si>
  <si>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</si>
  <si>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</si>
  <si>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</si>
  <si>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</si>
  <si>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</si>
  <si>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</si>
  <si>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</si>
  <si>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</si>
  <si>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</si>
  <si>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</si>
  <si>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</si>
  <si>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</si>
  <si>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</si>
  <si>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</si>
  <si>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</si>
  <si>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</si>
  <si>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</si>
  <si>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</si>
  <si>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</si>
  <si>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</si>
  <si>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</si>
  <si>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</si>
  <si>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</si>
  <si>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</si>
  <si>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</si>
  <si>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</si>
  <si>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</si>
  <si>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</si>
  <si>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</si>
  <si>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</si>
  <si>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</si>
  <si>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</si>
  <si>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</si>
  <si>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</si>
  <si>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</si>
  <si>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</si>
  <si>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</si>
  <si>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</si>
  <si>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</si>
  <si>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</si>
  <si>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</si>
  <si>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</si>
  <si>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</si>
  <si>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</si>
  <si>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</si>
  <si>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</si>
  <si>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</si>
  <si>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</si>
  <si>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</si>
  <si>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</si>
  <si>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</si>
  <si>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</si>
  <si>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</si>
  <si>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</si>
  <si>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</si>
  <si>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</si>
  <si>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</si>
  <si>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</si>
  <si>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</si>
  <si>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</si>
  <si>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</si>
  <si>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</si>
  <si>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</si>
  <si>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</si>
  <si>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</si>
  <si>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</si>
  <si>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</si>
  <si>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</si>
  <si>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</si>
  <si>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</si>
  <si>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19-6-2 FS Commodities &amp; SCA Grant</t>
  </si>
  <si>
    <t>Revenue ac 3190 includes Sped Diff Aid and EFA Grant</t>
  </si>
  <si>
    <t>0</t>
  </si>
  <si>
    <t>06/10</t>
  </si>
  <si>
    <t>09/26</t>
  </si>
  <si>
    <t>AJE on 6/30/24 debiting reserve inventory by $20.58 and crediting inventory to record year end balances for FS Inventory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</si>
</sst>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quot;#,##0.00_);[Red]\(&quot;$&quot;#,##0.00\)"/>
    <numFmt numFmtId="44" formatCode="_(&quot;$&quot;* #,##0.00_);_(&quot;$&quot;* \(#,##0.00\);_(&quot;$&quot;* &quot;-&quot;??_);_(@_)"/>
    <numFmt numFmtId="43" formatCode="_(* #,##0.00_);_(* \(#,##0.00\);_(* &quot;-&quot;??_);_(@_)"/>
    <numFmt numFmtId="164" formatCode="0.00_)"/>
    <numFmt numFmtId="165" formatCode="0_)"/>
    <numFmt numFmtId="166" formatCode="0.0%"/>
    <numFmt numFmtId="167" formatCode="0.0"/>
  </numFmts>
  <fonts count="86"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6">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xf numFmtId="44" fontId="85" fillId="0" borderId="0" applyFont="0" applyFill="0" applyBorder="0" applyAlignment="0" applyProtection="0"/>
  </cellStyleXfs>
  <cellXfs count="348">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0" fontId="8" fillId="0" borderId="0" xfId="0" quotePrefix="1" applyNumberFormat="1" applyFont="1" applyProtection="1">
      <protection locked="0"/>
    </xf>
    <xf numFmtId="44" fontId="0" fillId="0" borderId="0" xfId="45" applyFont="1" applyProtection="1">
      <protection locked="0"/>
    </xf>
    <xf numFmtId="8" fontId="15" fillId="41" borderId="39" xfId="0" applyNumberFormat="1" applyFont="1" applyFill="1" applyBorder="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6">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Currency" xfId="45" builtinId="4"/>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3"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1217</v>
      </c>
      <c r="B2">
        <f>INDEX('School Tables'!$AH$3:$AH$213,MATCH('DOE25'!A2,'School Tables'!$AJ$3:$AJ$213,0))</f>
        <v>342</v>
      </c>
      <c r="C2">
        <f>INDEX('School Tables'!$AI$3:$AI$213,MATCH('DOE25'!A2,'School Tables'!$AJ$3:$AJ$213,0))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1497037.22</v>
      </c>
      <c r="G9" s="18">
        <v>0</v>
      </c>
      <c r="H9" s="18">
        <v>0</v>
      </c>
      <c r="I9" s="18">
        <v>0</v>
      </c>
      <c r="J9" s="13">
        <f>SUM(I440)</f>
        <v>0</v>
      </c>
      <c r="K9" s="23" t="s">
        <v>288</v>
      </c>
      <c r="L9" s="23" t="s">
        <v>288</v>
      </c>
      <c r="M9" s="8"/>
      <c r="N9" s="164"/>
    </row>
    <row r="10" spans="1:14" s="3" customFormat="1" ht="12.2" customHeight="1" x14ac:dyDescent="0.15">
      <c r="A10" s="1" t="s">
        <v>562</v>
      </c>
      <c r="B10" s="2" t="s">
        <v>289</v>
      </c>
      <c r="C10" s="6">
        <v>2</v>
      </c>
      <c r="D10" s="2" t="s">
        <v>428</v>
      </c>
      <c r="E10" s="6">
        <v>110</v>
      </c>
      <c r="F10" s="18">
        <v>0</v>
      </c>
      <c r="G10" s="18">
        <v>0</v>
      </c>
      <c r="H10" s="18">
        <v>0</v>
      </c>
      <c r="I10" s="18">
        <v>0</v>
      </c>
      <c r="J10" s="13">
        <f>SUM(I441)</f>
        <v>0</v>
      </c>
      <c r="K10" s="23" t="s">
        <v>288</v>
      </c>
      <c r="L10" s="23" t="s">
        <v>288</v>
      </c>
      <c r="M10" s="8"/>
      <c r="N10" s="164"/>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f>1710183.52-1497037.22-570</f>
        <v>212576.30000000005</v>
      </c>
      <c r="G12" s="18">
        <v>13809.49</v>
      </c>
      <c r="H12" s="18">
        <v>0</v>
      </c>
      <c r="I12" s="18">
        <v>0</v>
      </c>
      <c r="J12" s="13">
        <f>SUM(I442)</f>
        <v>0</v>
      </c>
      <c r="K12" s="23" t="s">
        <v>288</v>
      </c>
      <c r="L12" s="23" t="s">
        <v>288</v>
      </c>
      <c r="M12" s="8"/>
      <c r="N12" s="164"/>
    </row>
    <row r="13" spans="1:14" s="3" customFormat="1" ht="12.2" customHeight="1" x14ac:dyDescent="0.15">
      <c r="A13" s="1" t="s">
        <v>604</v>
      </c>
      <c r="B13" s="2" t="s">
        <v>289</v>
      </c>
      <c r="C13" s="6">
        <v>5</v>
      </c>
      <c r="D13" s="2" t="s">
        <v>428</v>
      </c>
      <c r="E13" s="6">
        <v>140</v>
      </c>
      <c r="F13" s="18">
        <v>0</v>
      </c>
      <c r="G13" s="18">
        <v>7305.18</v>
      </c>
      <c r="H13" s="18">
        <v>245804.79999999999</v>
      </c>
      <c r="I13" s="18">
        <v>0</v>
      </c>
      <c r="J13" s="13">
        <f>SUM(I443)</f>
        <v>828697.83000000007</v>
      </c>
      <c r="K13" s="23" t="s">
        <v>288</v>
      </c>
      <c r="L13" s="23" t="s">
        <v>288</v>
      </c>
      <c r="M13" s="8"/>
      <c r="N13" s="164"/>
    </row>
    <row r="14" spans="1:14" s="3" customFormat="1" ht="12.2" customHeight="1" x14ac:dyDescent="0.15">
      <c r="A14" s="1" t="s">
        <v>565</v>
      </c>
      <c r="B14" s="2" t="s">
        <v>289</v>
      </c>
      <c r="C14" s="6">
        <v>6</v>
      </c>
      <c r="D14" s="2" t="s">
        <v>428</v>
      </c>
      <c r="E14" s="6">
        <v>150</v>
      </c>
      <c r="F14" s="18">
        <f>4084+44700.18</f>
        <v>48784.18</v>
      </c>
      <c r="G14" s="18">
        <v>0</v>
      </c>
      <c r="H14" s="18">
        <v>0</v>
      </c>
      <c r="I14" s="18">
        <v>0</v>
      </c>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v>0</v>
      </c>
      <c r="J15" s="23" t="s">
        <v>288</v>
      </c>
      <c r="K15" s="23" t="s">
        <v>288</v>
      </c>
      <c r="L15" s="23" t="s">
        <v>288</v>
      </c>
      <c r="M15" s="8"/>
      <c r="N15" s="164"/>
    </row>
    <row r="16" spans="1:14" s="3" customFormat="1" ht="12.2" customHeight="1" x14ac:dyDescent="0.15">
      <c r="A16" s="1" t="s">
        <v>566</v>
      </c>
      <c r="B16" s="2" t="s">
        <v>289</v>
      </c>
      <c r="C16" s="6">
        <v>8</v>
      </c>
      <c r="D16" s="2" t="s">
        <v>428</v>
      </c>
      <c r="E16" s="6">
        <v>170</v>
      </c>
      <c r="F16" s="18">
        <v>0</v>
      </c>
      <c r="G16" s="18">
        <v>12413.16</v>
      </c>
      <c r="H16" s="18">
        <v>0</v>
      </c>
      <c r="I16" s="18">
        <v>0</v>
      </c>
      <c r="J16" s="23" t="s">
        <v>288</v>
      </c>
      <c r="K16" s="23" t="s">
        <v>288</v>
      </c>
      <c r="L16" s="23" t="s">
        <v>288</v>
      </c>
      <c r="M16" s="8"/>
      <c r="N16" s="164"/>
    </row>
    <row r="17" spans="1:14" s="3" customFormat="1" ht="12.2" customHeight="1" x14ac:dyDescent="0.15">
      <c r="A17" s="1" t="s">
        <v>567</v>
      </c>
      <c r="B17" s="2" t="s">
        <v>289</v>
      </c>
      <c r="C17" s="6">
        <v>9</v>
      </c>
      <c r="D17" s="2" t="s">
        <v>428</v>
      </c>
      <c r="E17" s="6">
        <v>180</v>
      </c>
      <c r="F17" s="18">
        <v>0</v>
      </c>
      <c r="G17" s="18">
        <v>0</v>
      </c>
      <c r="H17" s="18">
        <v>0</v>
      </c>
      <c r="I17" s="18">
        <v>0</v>
      </c>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1758397.7</v>
      </c>
      <c r="G19" s="38">
        <f>SUM(G9:G18)</f>
        <v>33527.83</v>
      </c>
      <c r="H19" s="38">
        <f>SUM(H9:H18)</f>
        <v>245804.79999999999</v>
      </c>
      <c r="I19" s="38">
        <f>SUM(I9:I18)</f>
        <v>0</v>
      </c>
      <c r="J19" s="38">
        <f>SUM(J9:J18)</f>
        <v>828697.83000000007</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0</v>
      </c>
      <c r="G22" s="18">
        <v>0</v>
      </c>
      <c r="H22" s="18">
        <v>226385.79</v>
      </c>
      <c r="I22" s="18">
        <v>0</v>
      </c>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0</v>
      </c>
      <c r="G23" s="18">
        <v>0</v>
      </c>
      <c r="H23" s="18">
        <v>0</v>
      </c>
      <c r="I23" s="18">
        <v>0</v>
      </c>
      <c r="J23" s="13">
        <f>SUM(I450)</f>
        <v>0</v>
      </c>
      <c r="K23" s="23" t="s">
        <v>288</v>
      </c>
      <c r="L23" s="23" t="s">
        <v>288</v>
      </c>
      <c r="M23" s="8"/>
      <c r="N23" s="164"/>
    </row>
    <row r="24" spans="1:14" s="3" customFormat="1" ht="12.2" customHeight="1" x14ac:dyDescent="0.15">
      <c r="A24" s="1" t="s">
        <v>570</v>
      </c>
      <c r="B24" s="2" t="s">
        <v>289</v>
      </c>
      <c r="C24" s="6">
        <v>14</v>
      </c>
      <c r="D24" s="2" t="s">
        <v>429</v>
      </c>
      <c r="E24" s="6">
        <v>420</v>
      </c>
      <c r="F24" s="18">
        <f>222109.26+17744.88</f>
        <v>239854.14</v>
      </c>
      <c r="G24" s="18">
        <v>5617.09</v>
      </c>
      <c r="H24" s="18">
        <v>0</v>
      </c>
      <c r="I24" s="18">
        <v>0</v>
      </c>
      <c r="J24" s="13">
        <f>SUM(I451)</f>
        <v>0</v>
      </c>
      <c r="K24" s="23" t="s">
        <v>288</v>
      </c>
      <c r="L24" s="23" t="s">
        <v>288</v>
      </c>
      <c r="M24" s="8"/>
      <c r="N24" s="164"/>
    </row>
    <row r="25" spans="1:14" s="3" customFormat="1" ht="12.2" customHeight="1" x14ac:dyDescent="0.15">
      <c r="A25" s="1" t="s">
        <v>574</v>
      </c>
      <c r="B25" s="2" t="s">
        <v>289</v>
      </c>
      <c r="C25" s="6">
        <v>15</v>
      </c>
      <c r="D25" s="2" t="s">
        <v>429</v>
      </c>
      <c r="E25" s="6">
        <v>430</v>
      </c>
      <c r="F25" s="18">
        <v>0</v>
      </c>
      <c r="G25" s="102">
        <v>0</v>
      </c>
      <c r="H25" s="18">
        <v>0</v>
      </c>
      <c r="I25" s="18">
        <v>0</v>
      </c>
      <c r="J25" s="23" t="s">
        <v>288</v>
      </c>
      <c r="K25" s="23" t="s">
        <v>288</v>
      </c>
      <c r="L25" s="23" t="s">
        <v>288</v>
      </c>
      <c r="M25" s="8"/>
      <c r="N25" s="164"/>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4"/>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4"/>
    </row>
    <row r="28" spans="1:14" s="3" customFormat="1" ht="12.2" customHeight="1" x14ac:dyDescent="0.15">
      <c r="A28" s="1" t="s">
        <v>573</v>
      </c>
      <c r="B28" s="2" t="s">
        <v>289</v>
      </c>
      <c r="C28" s="6">
        <v>18</v>
      </c>
      <c r="D28" s="2" t="s">
        <v>429</v>
      </c>
      <c r="E28" s="6">
        <v>460</v>
      </c>
      <c r="F28" s="18">
        <f>20635.74+1578.61+2261.82+139.43</f>
        <v>24615.600000000002</v>
      </c>
      <c r="G28" s="18">
        <v>0</v>
      </c>
      <c r="H28" s="18">
        <v>0</v>
      </c>
      <c r="I28" s="18">
        <v>0</v>
      </c>
      <c r="J28" s="23" t="s">
        <v>288</v>
      </c>
      <c r="K28" s="23" t="s">
        <v>288</v>
      </c>
      <c r="L28" s="23" t="s">
        <v>288</v>
      </c>
      <c r="M28" s="8"/>
      <c r="N28" s="164"/>
    </row>
    <row r="29" spans="1:14" s="3" customFormat="1" ht="12.2" customHeight="1" x14ac:dyDescent="0.15">
      <c r="A29" s="1" t="s">
        <v>575</v>
      </c>
      <c r="B29" s="2" t="s">
        <v>289</v>
      </c>
      <c r="C29" s="6">
        <v>19</v>
      </c>
      <c r="D29" s="2" t="s">
        <v>429</v>
      </c>
      <c r="E29" s="6">
        <v>470</v>
      </c>
      <c r="F29" s="18">
        <v>0</v>
      </c>
      <c r="G29" s="18">
        <v>0</v>
      </c>
      <c r="H29" s="18">
        <v>0</v>
      </c>
      <c r="I29" s="18">
        <v>0</v>
      </c>
      <c r="J29" s="23" t="s">
        <v>288</v>
      </c>
      <c r="K29" s="23" t="s">
        <v>288</v>
      </c>
      <c r="L29" s="23" t="s">
        <v>288</v>
      </c>
      <c r="M29" s="8"/>
      <c r="N29" s="164"/>
    </row>
    <row r="30" spans="1:14" s="3" customFormat="1" ht="12.2" customHeight="1" x14ac:dyDescent="0.15">
      <c r="A30" s="1" t="s">
        <v>576</v>
      </c>
      <c r="B30" s="2" t="s">
        <v>289</v>
      </c>
      <c r="C30" s="6">
        <v>20</v>
      </c>
      <c r="D30" s="2" t="s">
        <v>429</v>
      </c>
      <c r="E30" s="6">
        <v>480</v>
      </c>
      <c r="F30" s="18">
        <v>0</v>
      </c>
      <c r="G30" s="18">
        <f>12589.65+15300.51</f>
        <v>27890.16</v>
      </c>
      <c r="H30" s="18">
        <v>19111.7</v>
      </c>
      <c r="I30" s="18">
        <v>0</v>
      </c>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v>0</v>
      </c>
      <c r="G31" s="18">
        <v>0</v>
      </c>
      <c r="H31" s="18">
        <v>0</v>
      </c>
      <c r="I31" s="18">
        <v>0</v>
      </c>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264469.74</v>
      </c>
      <c r="G32" s="38">
        <f>SUM(G22:G31)</f>
        <v>33507.25</v>
      </c>
      <c r="H32" s="38">
        <f>SUM(H22:H31)</f>
        <v>245497.49000000002</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v>0</v>
      </c>
      <c r="G35" s="18">
        <v>12413.16</v>
      </c>
      <c r="H35" s="18">
        <v>0</v>
      </c>
      <c r="I35" s="18">
        <v>0</v>
      </c>
      <c r="J35" s="23" t="s">
        <v>288</v>
      </c>
      <c r="K35" s="23" t="s">
        <v>288</v>
      </c>
      <c r="L35" s="23" t="s">
        <v>288</v>
      </c>
      <c r="M35" s="8"/>
      <c r="N35" s="164"/>
    </row>
    <row r="36" spans="1:14" s="3" customFormat="1" ht="12.2" customHeight="1" x14ac:dyDescent="0.15">
      <c r="A36" s="1" t="s">
        <v>578</v>
      </c>
      <c r="B36" s="6">
        <v>1</v>
      </c>
      <c r="C36" s="6">
        <v>24</v>
      </c>
      <c r="D36" s="2" t="s">
        <v>653</v>
      </c>
      <c r="E36" s="6">
        <v>752</v>
      </c>
      <c r="F36" s="18">
        <v>0</v>
      </c>
      <c r="G36" s="18">
        <v>0</v>
      </c>
      <c r="H36" s="18">
        <v>0</v>
      </c>
      <c r="I36" s="18">
        <v>0</v>
      </c>
      <c r="J36" s="23" t="s">
        <v>288</v>
      </c>
      <c r="K36" s="23" t="s">
        <v>288</v>
      </c>
      <c r="L36" s="23" t="s">
        <v>288</v>
      </c>
      <c r="M36" s="8"/>
      <c r="N36" s="164"/>
    </row>
    <row r="37" spans="1:14" s="3" customFormat="1" ht="12.2" customHeight="1" x14ac:dyDescent="0.15">
      <c r="A37" s="1" t="s">
        <v>848</v>
      </c>
      <c r="B37" s="6">
        <v>1</v>
      </c>
      <c r="C37" s="6">
        <v>25</v>
      </c>
      <c r="D37" s="2" t="s">
        <v>653</v>
      </c>
      <c r="E37" s="6">
        <v>756</v>
      </c>
      <c r="F37" s="18">
        <v>0</v>
      </c>
      <c r="G37" s="18">
        <v>0</v>
      </c>
      <c r="H37" s="18">
        <v>0</v>
      </c>
      <c r="I37" s="18">
        <v>0</v>
      </c>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v>0</v>
      </c>
      <c r="G39" s="18">
        <v>0</v>
      </c>
      <c r="H39" s="18">
        <v>0</v>
      </c>
      <c r="I39" s="18">
        <v>0</v>
      </c>
      <c r="J39" s="13">
        <f>I459</f>
        <v>0</v>
      </c>
      <c r="K39" s="23" t="s">
        <v>288</v>
      </c>
      <c r="L39" s="23" t="s">
        <v>288</v>
      </c>
      <c r="M39" s="8"/>
      <c r="N39" s="164"/>
    </row>
    <row r="40" spans="1:14" s="3" customFormat="1" ht="12.2" customHeight="1" x14ac:dyDescent="0.15">
      <c r="A40" s="1" t="s">
        <v>856</v>
      </c>
      <c r="B40" s="6">
        <v>1</v>
      </c>
      <c r="C40" s="6">
        <v>27</v>
      </c>
      <c r="D40" s="2"/>
      <c r="E40" s="6"/>
      <c r="F40" s="23" t="s">
        <v>288</v>
      </c>
      <c r="G40" s="18">
        <f>-39093.08+26700.5</f>
        <v>-12392.580000000002</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v>0</v>
      </c>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v>0</v>
      </c>
      <c r="G43" s="18">
        <v>0</v>
      </c>
      <c r="H43" s="18">
        <v>0</v>
      </c>
      <c r="I43" s="18">
        <v>0</v>
      </c>
      <c r="J43" s="13">
        <f>SUM(I457)</f>
        <v>0</v>
      </c>
      <c r="K43" s="23" t="s">
        <v>288</v>
      </c>
      <c r="L43" s="23" t="s">
        <v>288</v>
      </c>
      <c r="M43" s="8"/>
      <c r="N43" s="164"/>
    </row>
    <row r="44" spans="1:14" s="3" customFormat="1" ht="12.2" customHeight="1" x14ac:dyDescent="0.15">
      <c r="A44" s="1" t="s">
        <v>833</v>
      </c>
      <c r="B44" s="6">
        <v>1</v>
      </c>
      <c r="C44" s="6">
        <v>30</v>
      </c>
      <c r="D44" s="2" t="s">
        <v>653</v>
      </c>
      <c r="E44" s="6">
        <v>755</v>
      </c>
      <c r="F44" s="18">
        <v>150000</v>
      </c>
      <c r="G44" s="18">
        <v>0</v>
      </c>
      <c r="H44" s="18">
        <v>0</v>
      </c>
      <c r="I44" s="18">
        <v>0</v>
      </c>
      <c r="J44" s="23" t="s">
        <v>288</v>
      </c>
      <c r="K44" s="23" t="s">
        <v>288</v>
      </c>
      <c r="L44" s="23" t="s">
        <v>288</v>
      </c>
      <c r="M44" s="8"/>
      <c r="N44" s="164"/>
    </row>
    <row r="45" spans="1:14" s="3" customFormat="1" ht="12.2" customHeight="1" x14ac:dyDescent="0.15">
      <c r="A45" s="1" t="s">
        <v>834</v>
      </c>
      <c r="B45" s="6">
        <v>1</v>
      </c>
      <c r="C45" s="6">
        <v>31</v>
      </c>
      <c r="D45" s="2"/>
      <c r="E45" s="6">
        <v>753</v>
      </c>
      <c r="F45" s="18">
        <v>0</v>
      </c>
      <c r="G45" s="18">
        <v>0</v>
      </c>
      <c r="H45" s="18">
        <v>0</v>
      </c>
      <c r="I45" s="18">
        <v>0</v>
      </c>
      <c r="J45" s="13">
        <f>I456</f>
        <v>0</v>
      </c>
      <c r="K45" s="23" t="s">
        <v>288</v>
      </c>
      <c r="L45" s="23" t="s">
        <v>288</v>
      </c>
      <c r="M45" s="8"/>
      <c r="N45" s="164"/>
    </row>
    <row r="46" spans="1:14" s="3" customFormat="1" ht="12.2" customHeight="1" x14ac:dyDescent="0.15">
      <c r="A46" s="1" t="s">
        <v>870</v>
      </c>
      <c r="B46" s="6">
        <v>1</v>
      </c>
      <c r="C46" s="6">
        <v>32</v>
      </c>
      <c r="D46" s="2"/>
      <c r="E46" s="6"/>
      <c r="F46" s="18">
        <v>302883</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v>0</v>
      </c>
      <c r="G48" s="18">
        <v>0</v>
      </c>
      <c r="H48" s="18">
        <v>307.31</v>
      </c>
      <c r="I48" s="18">
        <v>0</v>
      </c>
      <c r="J48" s="13">
        <f>SUM(I460)</f>
        <v>828697.83000000007</v>
      </c>
      <c r="K48" s="23" t="s">
        <v>288</v>
      </c>
      <c r="L48" s="23" t="s">
        <v>288</v>
      </c>
      <c r="M48" s="8"/>
      <c r="N48" s="164"/>
    </row>
    <row r="49" spans="1:14" s="3" customFormat="1" ht="12.2" customHeight="1" x14ac:dyDescent="0.15">
      <c r="A49" s="1" t="s">
        <v>855</v>
      </c>
      <c r="B49" s="2" t="s">
        <v>289</v>
      </c>
      <c r="C49" s="6">
        <v>34</v>
      </c>
      <c r="D49" s="2"/>
      <c r="E49" s="6">
        <v>753</v>
      </c>
      <c r="F49" s="18">
        <v>0</v>
      </c>
      <c r="G49" s="18">
        <v>0</v>
      </c>
      <c r="H49" s="18">
        <v>0</v>
      </c>
      <c r="I49" s="18">
        <v>0</v>
      </c>
      <c r="J49" s="13">
        <f>I455</f>
        <v>0</v>
      </c>
      <c r="K49" s="23"/>
      <c r="L49" s="23"/>
      <c r="M49" s="8"/>
      <c r="N49" s="164"/>
    </row>
    <row r="50" spans="1:14" s="3" customFormat="1" ht="12.2" customHeight="1" thickBot="1" x14ac:dyDescent="0.2">
      <c r="A50" s="28" t="s">
        <v>836</v>
      </c>
      <c r="B50" s="2" t="s">
        <v>289</v>
      </c>
      <c r="C50" s="56">
        <v>35</v>
      </c>
      <c r="D50" s="2" t="s">
        <v>653</v>
      </c>
      <c r="E50" s="6">
        <v>770</v>
      </c>
      <c r="F50" s="18">
        <f>1047266.91-6221.95</f>
        <v>1041044.9600000001</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1493927.96</v>
      </c>
      <c r="G51" s="38">
        <f>SUM(G35:G50)</f>
        <v>20.579999999998108</v>
      </c>
      <c r="H51" s="38">
        <f>SUM(H35:H50)</f>
        <v>307.31</v>
      </c>
      <c r="I51" s="38">
        <f>SUM(I35:I50)</f>
        <v>0</v>
      </c>
      <c r="J51" s="38">
        <f>SUM(J35:J50)</f>
        <v>828697.83000000007</v>
      </c>
      <c r="K51" s="42" t="s">
        <v>288</v>
      </c>
      <c r="L51" s="42" t="s">
        <v>288</v>
      </c>
      <c r="N51" s="130"/>
    </row>
    <row r="52" spans="1:14" s="3" customFormat="1" ht="12.2" customHeight="1" thickTop="1" x14ac:dyDescent="0.15">
      <c r="A52" s="35" t="s">
        <v>455</v>
      </c>
      <c r="B52" s="36" t="s">
        <v>289</v>
      </c>
      <c r="C52" s="6">
        <v>37</v>
      </c>
      <c r="D52" s="36" t="s">
        <v>653</v>
      </c>
      <c r="E52" s="36"/>
      <c r="F52" s="38">
        <f>F51+F32</f>
        <v>1758397.7</v>
      </c>
      <c r="G52" s="38">
        <f>G51+G32</f>
        <v>33527.83</v>
      </c>
      <c r="H52" s="38">
        <f>H51+H32</f>
        <v>245804.80000000002</v>
      </c>
      <c r="I52" s="38">
        <f>I51+I32</f>
        <v>0</v>
      </c>
      <c r="J52" s="38">
        <f>J51+J32</f>
        <v>828697.83000000007</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10982599.42</v>
      </c>
      <c r="G57" s="18">
        <v>0</v>
      </c>
      <c r="H57" s="18">
        <v>0</v>
      </c>
      <c r="I57" s="18">
        <v>0</v>
      </c>
      <c r="J57" s="18">
        <v>0</v>
      </c>
      <c r="K57" s="23" t="s">
        <v>288</v>
      </c>
      <c r="L57" s="23" t="s">
        <v>288</v>
      </c>
      <c r="M57" s="8"/>
      <c r="N57" s="164"/>
    </row>
    <row r="58" spans="1:14" s="3" customFormat="1" ht="12.2" customHeight="1" x14ac:dyDescent="0.15">
      <c r="A58" s="1" t="s">
        <v>512</v>
      </c>
      <c r="B58" s="2" t="s">
        <v>309</v>
      </c>
      <c r="C58" s="6">
        <v>2</v>
      </c>
      <c r="D58" s="2" t="s">
        <v>430</v>
      </c>
      <c r="E58" s="6">
        <v>1112</v>
      </c>
      <c r="F58" s="18">
        <v>0</v>
      </c>
      <c r="G58" s="18">
        <v>0</v>
      </c>
      <c r="H58" s="23" t="s">
        <v>288</v>
      </c>
      <c r="I58" s="18">
        <v>0</v>
      </c>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v>0</v>
      </c>
      <c r="G59" s="18">
        <v>0</v>
      </c>
      <c r="H59" s="18">
        <v>0</v>
      </c>
      <c r="I59" s="18">
        <v>0</v>
      </c>
      <c r="J59" s="18">
        <v>0</v>
      </c>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10982599.42</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7375</v>
      </c>
      <c r="G63" s="23" t="s">
        <v>288</v>
      </c>
      <c r="H63" s="18">
        <v>0</v>
      </c>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v>0</v>
      </c>
      <c r="G64" s="23" t="s">
        <v>288</v>
      </c>
      <c r="H64" s="18">
        <v>0</v>
      </c>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v>0</v>
      </c>
      <c r="G66" s="23" t="s">
        <v>288</v>
      </c>
      <c r="H66" s="18">
        <v>0</v>
      </c>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0</v>
      </c>
      <c r="G68" s="23" t="s">
        <v>288</v>
      </c>
      <c r="H68" s="18">
        <v>0</v>
      </c>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0</v>
      </c>
      <c r="G69" s="23" t="s">
        <v>288</v>
      </c>
      <c r="H69" s="18">
        <v>0</v>
      </c>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v>47111.37</v>
      </c>
      <c r="G70" s="23" t="s">
        <v>288</v>
      </c>
      <c r="H70" s="18">
        <v>0</v>
      </c>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v>0</v>
      </c>
      <c r="G72" s="23" t="s">
        <v>288</v>
      </c>
      <c r="H72" s="18">
        <v>0</v>
      </c>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v>0</v>
      </c>
      <c r="G73" s="23" t="s">
        <v>288</v>
      </c>
      <c r="H73" s="18">
        <v>0</v>
      </c>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v>0</v>
      </c>
      <c r="G74" s="23" t="s">
        <v>288</v>
      </c>
      <c r="H74" s="18">
        <v>0</v>
      </c>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v>0</v>
      </c>
      <c r="G76" s="23" t="s">
        <v>288</v>
      </c>
      <c r="H76" s="18">
        <v>0</v>
      </c>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v>0</v>
      </c>
      <c r="G77" s="23" t="s">
        <v>288</v>
      </c>
      <c r="H77" s="18">
        <v>0</v>
      </c>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v>0</v>
      </c>
      <c r="G78" s="23" t="s">
        <v>288</v>
      </c>
      <c r="H78" s="18">
        <v>0</v>
      </c>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54486.37</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v>0</v>
      </c>
      <c r="G83" s="23" t="s">
        <v>288</v>
      </c>
      <c r="H83" s="18">
        <v>0</v>
      </c>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v>0</v>
      </c>
      <c r="G84" s="23" t="s">
        <v>288</v>
      </c>
      <c r="H84" s="18">
        <v>0</v>
      </c>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v>0</v>
      </c>
      <c r="G86" s="23" t="s">
        <v>288</v>
      </c>
      <c r="H86" s="18">
        <v>0</v>
      </c>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v>0</v>
      </c>
      <c r="G87" s="23" t="s">
        <v>288</v>
      </c>
      <c r="H87" s="18">
        <v>0</v>
      </c>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v>0</v>
      </c>
      <c r="G88" s="23" t="s">
        <v>288</v>
      </c>
      <c r="H88" s="18">
        <v>0</v>
      </c>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v>0</v>
      </c>
      <c r="G90" s="23" t="s">
        <v>288</v>
      </c>
      <c r="H90" s="18">
        <v>0</v>
      </c>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v>0</v>
      </c>
      <c r="G91" s="23" t="s">
        <v>288</v>
      </c>
      <c r="H91" s="18">
        <v>0</v>
      </c>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v>0</v>
      </c>
      <c r="G92" s="23" t="s">
        <v>288</v>
      </c>
      <c r="H92" s="18">
        <v>0</v>
      </c>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v>0</v>
      </c>
      <c r="G93" s="23" t="s">
        <v>288</v>
      </c>
      <c r="H93" s="18">
        <v>0</v>
      </c>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68734.259999999995</v>
      </c>
      <c r="G96" s="18">
        <v>0</v>
      </c>
      <c r="H96" s="18">
        <v>0</v>
      </c>
      <c r="I96" s="18">
        <v>0</v>
      </c>
      <c r="J96" s="18">
        <v>0</v>
      </c>
      <c r="K96" s="23" t="s">
        <v>288</v>
      </c>
      <c r="L96" s="23" t="s">
        <v>288</v>
      </c>
      <c r="M96" s="8"/>
      <c r="N96" s="164"/>
    </row>
    <row r="97" spans="1:14" s="3" customFormat="1" ht="12.2" customHeight="1" x14ac:dyDescent="0.15">
      <c r="A97" s="1" t="s">
        <v>503</v>
      </c>
      <c r="B97" s="2" t="s">
        <v>315</v>
      </c>
      <c r="C97" s="6">
        <v>12</v>
      </c>
      <c r="D97" s="2" t="s">
        <v>430</v>
      </c>
      <c r="E97" s="6">
        <v>1600</v>
      </c>
      <c r="F97" s="23" t="s">
        <v>288</v>
      </c>
      <c r="G97" s="18">
        <f>194081.08+330</f>
        <v>194411.08</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v>0</v>
      </c>
      <c r="G98" s="23" t="s">
        <v>288</v>
      </c>
      <c r="H98" s="18">
        <v>0</v>
      </c>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v>0</v>
      </c>
      <c r="G99" s="18">
        <v>0</v>
      </c>
      <c r="H99" s="18">
        <v>0</v>
      </c>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375</v>
      </c>
      <c r="G101" s="18">
        <v>0</v>
      </c>
      <c r="H101" s="18">
        <v>0</v>
      </c>
      <c r="I101" s="18">
        <v>0</v>
      </c>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v>0</v>
      </c>
      <c r="G102" s="18">
        <v>0</v>
      </c>
      <c r="H102" s="18">
        <v>63917.52</v>
      </c>
      <c r="I102" s="18">
        <v>0</v>
      </c>
      <c r="J102" s="18">
        <v>0</v>
      </c>
      <c r="K102" s="23" t="s">
        <v>288</v>
      </c>
      <c r="L102" s="23" t="s">
        <v>288</v>
      </c>
      <c r="M102" s="8"/>
      <c r="N102" s="164"/>
    </row>
    <row r="103" spans="1:14" s="3" customFormat="1" ht="12.2" customHeight="1" x14ac:dyDescent="0.15">
      <c r="A103" s="1" t="s">
        <v>507</v>
      </c>
      <c r="B103" s="2" t="s">
        <v>315</v>
      </c>
      <c r="C103" s="6">
        <v>17</v>
      </c>
      <c r="D103" s="2" t="s">
        <v>430</v>
      </c>
      <c r="E103" s="6">
        <v>1930</v>
      </c>
      <c r="F103" s="18">
        <v>0</v>
      </c>
      <c r="G103" s="18">
        <v>0</v>
      </c>
      <c r="H103" s="18">
        <v>0</v>
      </c>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v>0</v>
      </c>
      <c r="G104" s="23" t="s">
        <v>288</v>
      </c>
      <c r="H104" s="18">
        <v>0</v>
      </c>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v>50798.080000000002</v>
      </c>
      <c r="G105" s="18">
        <v>0</v>
      </c>
      <c r="H105" s="18">
        <v>0</v>
      </c>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v>0</v>
      </c>
      <c r="G106" s="18">
        <v>0</v>
      </c>
      <c r="H106" s="18">
        <v>0</v>
      </c>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v>0</v>
      </c>
      <c r="G107" s="18">
        <v>0</v>
      </c>
      <c r="H107" s="18">
        <v>0</v>
      </c>
      <c r="I107" s="18">
        <v>0</v>
      </c>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v>0</v>
      </c>
      <c r="G108" s="18">
        <v>0</v>
      </c>
      <c r="H108" s="18">
        <v>0</v>
      </c>
      <c r="I108" s="18">
        <v>0</v>
      </c>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68805.789999999994</v>
      </c>
      <c r="G109" s="18">
        <v>0</v>
      </c>
      <c r="H109" s="18">
        <v>0</v>
      </c>
      <c r="I109" s="18">
        <v>0</v>
      </c>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54582.05</v>
      </c>
      <c r="G110" s="18">
        <v>0</v>
      </c>
      <c r="H110" s="18">
        <v>0</v>
      </c>
      <c r="I110" s="18">
        <v>0</v>
      </c>
      <c r="J110" s="18">
        <v>0</v>
      </c>
      <c r="K110" s="23" t="s">
        <v>288</v>
      </c>
      <c r="L110" s="23" t="s">
        <v>288</v>
      </c>
      <c r="M110" s="8"/>
      <c r="N110" s="164"/>
    </row>
    <row r="111" spans="1:14" ht="12.2" customHeight="1" thickTop="1" thickBot="1" x14ac:dyDescent="0.25">
      <c r="A111" s="35" t="s">
        <v>433</v>
      </c>
      <c r="B111" s="36" t="s">
        <v>315</v>
      </c>
      <c r="C111" s="37">
        <v>25</v>
      </c>
      <c r="D111" s="36" t="s">
        <v>430</v>
      </c>
      <c r="E111" s="37"/>
      <c r="F111" s="38">
        <f>SUM(F96:F110)</f>
        <v>243295.18</v>
      </c>
      <c r="G111" s="38">
        <f>SUM(G96:G110)</f>
        <v>194411.08</v>
      </c>
      <c r="H111" s="38">
        <f>SUM(H96:H110)</f>
        <v>63917.52</v>
      </c>
      <c r="I111" s="38">
        <f>SUM(I96:I110)</f>
        <v>0</v>
      </c>
      <c r="J111" s="38">
        <f>SUM(J96:J110)</f>
        <v>0</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11280380.969999999</v>
      </c>
      <c r="G112" s="38">
        <f>G60+G111</f>
        <v>194411.08</v>
      </c>
      <c r="H112" s="38">
        <f>H60+H79+H94+H111</f>
        <v>63917.52</v>
      </c>
      <c r="I112" s="38">
        <f>I60+I111</f>
        <v>0</v>
      </c>
      <c r="J112" s="38">
        <f>J60+J111</f>
        <v>0</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5063672.58</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1132739</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22224.73</v>
      </c>
      <c r="G120" s="18">
        <v>0</v>
      </c>
      <c r="H120" s="18">
        <v>0</v>
      </c>
      <c r="I120" s="18">
        <v>0</v>
      </c>
      <c r="J120" s="18">
        <v>0</v>
      </c>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6218636.3100000005</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797013.03</v>
      </c>
      <c r="G123" s="23" t="s">
        <v>288</v>
      </c>
      <c r="H123" s="23" t="s">
        <v>288</v>
      </c>
      <c r="I123" s="18">
        <v>0</v>
      </c>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4"/>
    </row>
    <row r="125" spans="1:14" s="3" customFormat="1" ht="12.2" customHeight="1" x14ac:dyDescent="0.15">
      <c r="A125" s="1" t="s">
        <v>892</v>
      </c>
      <c r="B125" s="2" t="s">
        <v>321</v>
      </c>
      <c r="C125" s="6">
        <v>8</v>
      </c>
      <c r="D125" s="2" t="s">
        <v>430</v>
      </c>
      <c r="E125" s="6">
        <v>3220</v>
      </c>
      <c r="F125" s="18">
        <v>118900</v>
      </c>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38159.879999999997</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60765.52</v>
      </c>
      <c r="G127" s="23" t="s">
        <v>288</v>
      </c>
      <c r="H127" s="18">
        <v>0</v>
      </c>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1638</v>
      </c>
      <c r="G128" s="23" t="s">
        <v>288</v>
      </c>
      <c r="H128" s="18">
        <v>0</v>
      </c>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v>0</v>
      </c>
      <c r="G129" s="23" t="s">
        <v>288</v>
      </c>
      <c r="H129" s="18">
        <v>0</v>
      </c>
      <c r="I129" s="18">
        <v>0</v>
      </c>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v>0</v>
      </c>
      <c r="G130" s="23" t="s">
        <v>288</v>
      </c>
      <c r="H130" s="18">
        <v>5545.87</v>
      </c>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5677.46</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v>0</v>
      </c>
      <c r="I134" s="23"/>
      <c r="J134" s="23"/>
      <c r="K134" s="23"/>
      <c r="L134" s="23"/>
      <c r="M134" s="8"/>
      <c r="N134" s="164"/>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1016476.43</v>
      </c>
      <c r="G136" s="38">
        <f>SUM(G123:G135)</f>
        <v>5677.46</v>
      </c>
      <c r="H136" s="38">
        <f>SUM(H123:H135)</f>
        <v>5545.87</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v>0</v>
      </c>
      <c r="G137" s="18">
        <v>0</v>
      </c>
      <c r="H137" s="18">
        <v>0</v>
      </c>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v>0</v>
      </c>
      <c r="G138" s="23" t="s">
        <v>288</v>
      </c>
      <c r="H138" s="18">
        <v>0</v>
      </c>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7235112.7400000002</v>
      </c>
      <c r="G140" s="38">
        <f>G121+SUM(G136:G137)</f>
        <v>5677.46</v>
      </c>
      <c r="H140" s="38">
        <f>H121+SUM(H136:H139)</f>
        <v>5545.87</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v>0</v>
      </c>
      <c r="G145" s="18">
        <v>0</v>
      </c>
      <c r="H145" s="18">
        <v>0</v>
      </c>
      <c r="I145" s="18">
        <v>0</v>
      </c>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v>0</v>
      </c>
      <c r="G146" s="18">
        <v>0</v>
      </c>
      <c r="H146" s="18">
        <v>0</v>
      </c>
      <c r="I146" s="18">
        <v>0</v>
      </c>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v>0</v>
      </c>
      <c r="G150" s="23" t="s">
        <v>288</v>
      </c>
      <c r="H150" s="18">
        <v>0</v>
      </c>
      <c r="I150" s="18">
        <v>0</v>
      </c>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v>0</v>
      </c>
      <c r="G151" s="23" t="s">
        <v>288</v>
      </c>
      <c r="H151" s="18">
        <v>0</v>
      </c>
      <c r="I151" s="18">
        <v>0</v>
      </c>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v>0</v>
      </c>
      <c r="G152" s="23" t="s">
        <v>288</v>
      </c>
      <c r="H152" s="18">
        <v>0</v>
      </c>
      <c r="I152" s="18">
        <v>0</v>
      </c>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194495.3</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60030.85</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v>0</v>
      </c>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v>0</v>
      </c>
      <c r="G157" s="23" t="s">
        <v>288</v>
      </c>
      <c r="H157" s="18">
        <v>0</v>
      </c>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140660.54</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306152.17</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15122.63</v>
      </c>
      <c r="G160" s="23" t="s">
        <v>288</v>
      </c>
      <c r="H160" s="18">
        <v>0</v>
      </c>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v>0</v>
      </c>
      <c r="G161" s="18">
        <f>24002.27+39719.49+27226.49</f>
        <v>90948.25</v>
      </c>
      <c r="H161" s="18">
        <v>0</v>
      </c>
      <c r="I161" s="18">
        <v>0</v>
      </c>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v>0</v>
      </c>
      <c r="G162" s="18">
        <v>0</v>
      </c>
      <c r="H162" s="18">
        <v>665597.12</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15122.63</v>
      </c>
      <c r="G163" s="38">
        <f>SUM(G150:G162)</f>
        <v>231608.79</v>
      </c>
      <c r="H163" s="38">
        <f>SUM(H150:H162)</f>
        <v>1226275.44</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v>0</v>
      </c>
      <c r="G164" s="18">
        <v>0</v>
      </c>
      <c r="H164" s="18">
        <v>0</v>
      </c>
      <c r="I164" s="18">
        <v>0</v>
      </c>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v>0</v>
      </c>
      <c r="H169" s="18">
        <v>0</v>
      </c>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15122.63</v>
      </c>
      <c r="G170" s="38">
        <f>G147+G163+SUM(G164:G169)</f>
        <v>231608.79</v>
      </c>
      <c r="H170" s="38">
        <f>H147+H163+SUM(H164:H169)</f>
        <v>1226275.44</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v>0</v>
      </c>
      <c r="G174" s="23" t="s">
        <v>288</v>
      </c>
      <c r="H174" s="23" t="s">
        <v>288</v>
      </c>
      <c r="I174" s="18">
        <v>0</v>
      </c>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v>264979.28999999998</v>
      </c>
      <c r="G175" s="23" t="s">
        <v>288</v>
      </c>
      <c r="H175" s="23" t="s">
        <v>288</v>
      </c>
      <c r="I175" s="18">
        <v>0</v>
      </c>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v>0</v>
      </c>
      <c r="G176" s="23" t="s">
        <v>288</v>
      </c>
      <c r="H176" s="23" t="s">
        <v>288</v>
      </c>
      <c r="I176" s="18">
        <v>0</v>
      </c>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v>0</v>
      </c>
      <c r="G177" s="23" t="s">
        <v>288</v>
      </c>
      <c r="H177" s="23" t="s">
        <v>288</v>
      </c>
      <c r="I177" s="18">
        <v>0</v>
      </c>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264979.28999999998</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26700.5</v>
      </c>
      <c r="H180" s="18">
        <v>0</v>
      </c>
      <c r="I180" s="18">
        <v>0</v>
      </c>
      <c r="J180" s="18">
        <v>60000</v>
      </c>
      <c r="K180" s="23" t="s">
        <v>288</v>
      </c>
      <c r="L180" s="23" t="s">
        <v>288</v>
      </c>
      <c r="M180" s="8"/>
      <c r="N180" s="164"/>
    </row>
    <row r="181" spans="1:14" s="3" customFormat="1" ht="12.2" customHeight="1" x14ac:dyDescent="0.15">
      <c r="A181" s="1" t="s">
        <v>525</v>
      </c>
      <c r="B181" s="2" t="s">
        <v>330</v>
      </c>
      <c r="C181" s="6">
        <v>7</v>
      </c>
      <c r="D181" s="2" t="s">
        <v>430</v>
      </c>
      <c r="E181" s="6">
        <v>5221</v>
      </c>
      <c r="F181" s="18">
        <v>0</v>
      </c>
      <c r="G181" s="23" t="s">
        <v>288</v>
      </c>
      <c r="H181" s="18">
        <v>0</v>
      </c>
      <c r="I181" s="18">
        <v>0</v>
      </c>
      <c r="J181" s="18">
        <v>0</v>
      </c>
      <c r="K181" s="23" t="s">
        <v>288</v>
      </c>
      <c r="L181" s="23" t="s">
        <v>288</v>
      </c>
      <c r="M181" s="8"/>
      <c r="N181" s="164"/>
    </row>
    <row r="182" spans="1:14" s="3" customFormat="1" ht="12.2" customHeight="1" x14ac:dyDescent="0.15">
      <c r="A182" s="3" t="s">
        <v>526</v>
      </c>
      <c r="B182" s="2" t="s">
        <v>330</v>
      </c>
      <c r="C182" s="6">
        <v>8</v>
      </c>
      <c r="D182" s="2" t="s">
        <v>430</v>
      </c>
      <c r="E182" s="6">
        <v>5222</v>
      </c>
      <c r="F182" s="18">
        <v>91474.45</v>
      </c>
      <c r="G182" s="18">
        <v>0</v>
      </c>
      <c r="H182" s="23" t="s">
        <v>288</v>
      </c>
      <c r="I182" s="18">
        <v>0</v>
      </c>
      <c r="J182" s="18">
        <v>0</v>
      </c>
      <c r="K182" s="23" t="s">
        <v>288</v>
      </c>
      <c r="L182" s="23" t="s">
        <v>288</v>
      </c>
      <c r="M182" s="8"/>
      <c r="N182" s="164"/>
    </row>
    <row r="183" spans="1:14" s="3" customFormat="1" ht="12.2" customHeight="1" thickBot="1" x14ac:dyDescent="0.2">
      <c r="A183" s="3" t="s">
        <v>527</v>
      </c>
      <c r="B183" s="2" t="s">
        <v>330</v>
      </c>
      <c r="C183" s="6">
        <v>9</v>
      </c>
      <c r="D183" s="2" t="s">
        <v>430</v>
      </c>
      <c r="E183" s="6">
        <v>5230</v>
      </c>
      <c r="F183" s="18">
        <v>0</v>
      </c>
      <c r="G183" s="18">
        <v>0</v>
      </c>
      <c r="H183" s="18">
        <v>0</v>
      </c>
      <c r="I183" s="23" t="s">
        <v>288</v>
      </c>
      <c r="J183" s="18">
        <v>0</v>
      </c>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91474.45</v>
      </c>
      <c r="G184" s="38">
        <f>SUM(G180:G183)</f>
        <v>26700.5</v>
      </c>
      <c r="H184" s="38">
        <f>SUM(H180:H183)</f>
        <v>0</v>
      </c>
      <c r="I184" s="38">
        <f>SUM(I180:I183)</f>
        <v>0</v>
      </c>
      <c r="J184" s="38">
        <f>SUM(J180:J183)</f>
        <v>60000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v>57898.48</v>
      </c>
      <c r="G186" s="18">
        <v>0</v>
      </c>
      <c r="H186" s="18">
        <v>0</v>
      </c>
      <c r="I186" s="18">
        <v>0</v>
      </c>
      <c r="J186" s="23" t="s">
        <v>288</v>
      </c>
      <c r="K186" s="23" t="s">
        <v>288</v>
      </c>
      <c r="L186" s="23" t="s">
        <v>288</v>
      </c>
      <c r="M186" s="8"/>
      <c r="N186" s="164"/>
    </row>
    <row r="187" spans="1:14" ht="12.2" customHeight="1" x14ac:dyDescent="0.2">
      <c r="A187" s="1" t="s">
        <v>529</v>
      </c>
      <c r="B187" s="2" t="s">
        <v>330</v>
      </c>
      <c r="C187" s="6">
        <v>12</v>
      </c>
      <c r="D187" s="2" t="s">
        <v>430</v>
      </c>
      <c r="E187" s="6">
        <v>5252</v>
      </c>
      <c r="F187" s="18">
        <v>0</v>
      </c>
      <c r="G187" s="18">
        <v>0</v>
      </c>
      <c r="H187" s="18">
        <v>0</v>
      </c>
      <c r="I187" s="18">
        <v>0</v>
      </c>
      <c r="J187" s="23" t="s">
        <v>288</v>
      </c>
      <c r="K187" s="23" t="s">
        <v>288</v>
      </c>
      <c r="L187" s="23" t="s">
        <v>288</v>
      </c>
      <c r="N187" s="130"/>
    </row>
    <row r="188" spans="1:14" ht="12.2" customHeight="1" thickBot="1" x14ac:dyDescent="0.25">
      <c r="A188" s="1" t="s">
        <v>530</v>
      </c>
      <c r="B188" s="2" t="s">
        <v>330</v>
      </c>
      <c r="C188" s="6">
        <v>13</v>
      </c>
      <c r="D188" s="2" t="s">
        <v>430</v>
      </c>
      <c r="E188" s="6">
        <v>5253</v>
      </c>
      <c r="F188" s="18">
        <v>0</v>
      </c>
      <c r="G188" s="18">
        <v>0</v>
      </c>
      <c r="H188" s="18">
        <v>0</v>
      </c>
      <c r="I188" s="18">
        <v>0</v>
      </c>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57898.48</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v>0</v>
      </c>
      <c r="G190" s="18">
        <v>0</v>
      </c>
      <c r="H190" s="18">
        <v>0</v>
      </c>
      <c r="I190" s="18">
        <v>0</v>
      </c>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v>0</v>
      </c>
      <c r="G191" s="18">
        <v>0</v>
      </c>
      <c r="H191" s="18">
        <v>0</v>
      </c>
      <c r="I191" s="18">
        <v>0</v>
      </c>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v>0</v>
      </c>
      <c r="G192" s="18">
        <v>0</v>
      </c>
      <c r="H192" s="18">
        <v>0</v>
      </c>
      <c r="I192" s="18">
        <v>0</v>
      </c>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414352.22</v>
      </c>
      <c r="G193" s="38">
        <f>G184+SUM(G189:G192)</f>
        <v>26700.5</v>
      </c>
      <c r="H193" s="38">
        <f>+H184+SUM(H189:H192)</f>
        <v>0</v>
      </c>
      <c r="I193" s="38">
        <f>I178+I184+SUM(I189:I192)</f>
        <v>0</v>
      </c>
      <c r="J193" s="38">
        <f>J184</f>
        <v>60000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18944968.559999999</v>
      </c>
      <c r="G194" s="38">
        <f>G112+G140+G170+G193</f>
        <v>458397.82999999996</v>
      </c>
      <c r="H194" s="38">
        <f>H112+H140+H170+H193</f>
        <v>1295738.8299999998</v>
      </c>
      <c r="I194" s="38">
        <f>I112+I140+I170+I193</f>
        <v>0</v>
      </c>
      <c r="J194" s="38">
        <f>J112+J140+J193</f>
        <v>60000</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2">
      <c r="A198" s="1" t="s">
        <v>438</v>
      </c>
      <c r="B198" s="2" t="s">
        <v>341</v>
      </c>
      <c r="C198" s="2" t="s">
        <v>290</v>
      </c>
      <c r="D198" s="2" t="s">
        <v>431</v>
      </c>
      <c r="E198" s="6">
        <v>1100</v>
      </c>
      <c r="F198" s="318">
        <v>1670776.5499999998</v>
      </c>
      <c r="G198" s="318">
        <v>853338.96333333303</v>
      </c>
      <c r="H198" s="318">
        <v>18487.93</v>
      </c>
      <c r="I198" s="318">
        <v>182758.93</v>
      </c>
      <c r="J198" s="318">
        <v>16272.429999999998</v>
      </c>
      <c r="K198" s="318">
        <v>0</v>
      </c>
      <c r="L198" s="13">
        <f>SUM(F198:K198)</f>
        <v>2741634.8033333332</v>
      </c>
      <c r="M198" s="8"/>
      <c r="N198" s="164"/>
    </row>
    <row r="199" spans="1:14" s="3" customFormat="1" ht="12.2" customHeight="1" x14ac:dyDescent="0.2">
      <c r="A199" s="1" t="s">
        <v>439</v>
      </c>
      <c r="B199" s="2" t="s">
        <v>341</v>
      </c>
      <c r="C199" s="2" t="s">
        <v>291</v>
      </c>
      <c r="D199" s="2" t="s">
        <v>431</v>
      </c>
      <c r="E199" s="6">
        <v>1200</v>
      </c>
      <c r="F199" s="318">
        <v>417269.73</v>
      </c>
      <c r="G199" s="318">
        <v>205680.0800000001</v>
      </c>
      <c r="H199" s="318">
        <v>113429.17000000001</v>
      </c>
      <c r="I199" s="318">
        <v>4934.8</v>
      </c>
      <c r="J199" s="318">
        <v>881.06</v>
      </c>
      <c r="K199" s="318">
        <v>0</v>
      </c>
      <c r="L199" s="13">
        <f>SUM(F199:K199)</f>
        <v>742194.8400000002</v>
      </c>
      <c r="M199" s="8"/>
      <c r="N199" s="164"/>
    </row>
    <row r="200" spans="1:14" s="3" customFormat="1" ht="12.2" customHeight="1" x14ac:dyDescent="0.2">
      <c r="A200" s="1" t="s">
        <v>440</v>
      </c>
      <c r="B200" s="2" t="s">
        <v>341</v>
      </c>
      <c r="C200" s="2" t="s">
        <v>292</v>
      </c>
      <c r="D200" s="2" t="s">
        <v>431</v>
      </c>
      <c r="E200" s="6">
        <v>1300</v>
      </c>
      <c r="F200" s="318">
        <v>0</v>
      </c>
      <c r="G200" s="318">
        <v>0</v>
      </c>
      <c r="H200" s="318">
        <v>0</v>
      </c>
      <c r="I200" s="318">
        <v>0</v>
      </c>
      <c r="J200" s="318">
        <v>0</v>
      </c>
      <c r="K200" s="318">
        <v>0</v>
      </c>
      <c r="L200" s="13">
        <f>SUM(F200:K200)</f>
        <v>0</v>
      </c>
      <c r="M200" s="8"/>
      <c r="N200" s="164"/>
    </row>
    <row r="201" spans="1:14" s="3" customFormat="1" ht="12.2" customHeight="1" x14ac:dyDescent="0.2">
      <c r="A201" s="1" t="s">
        <v>441</v>
      </c>
      <c r="B201" s="2" t="s">
        <v>341</v>
      </c>
      <c r="C201" s="2" t="s">
        <v>293</v>
      </c>
      <c r="D201" s="2" t="s">
        <v>431</v>
      </c>
      <c r="E201" s="6">
        <v>1400</v>
      </c>
      <c r="F201" s="318">
        <v>625</v>
      </c>
      <c r="G201" s="318">
        <v>108.4</v>
      </c>
      <c r="H201" s="318">
        <v>0</v>
      </c>
      <c r="I201" s="318">
        <v>0</v>
      </c>
      <c r="J201" s="318">
        <v>0</v>
      </c>
      <c r="K201" s="318">
        <v>0</v>
      </c>
      <c r="L201" s="13">
        <f>SUM(F201:K201)</f>
        <v>733.4</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308434.80999999994</v>
      </c>
      <c r="G203" s="18">
        <v>225687.25000000006</v>
      </c>
      <c r="H203" s="18">
        <v>66050.5</v>
      </c>
      <c r="I203" s="18">
        <v>5120.0666666666666</v>
      </c>
      <c r="J203" s="18">
        <v>775.5</v>
      </c>
      <c r="K203" s="18">
        <v>150</v>
      </c>
      <c r="L203" s="13">
        <f t="shared" ref="L203:L209" si="0">SUM(F203:K203)</f>
        <v>606218.12666666671</v>
      </c>
      <c r="M203" s="8"/>
      <c r="N203" s="164"/>
    </row>
    <row r="204" spans="1:14" s="3" customFormat="1" ht="12.2" customHeight="1" x14ac:dyDescent="0.15">
      <c r="A204" s="1" t="s">
        <v>443</v>
      </c>
      <c r="B204" s="2" t="s">
        <v>341</v>
      </c>
      <c r="C204" s="2" t="s">
        <v>295</v>
      </c>
      <c r="D204" s="2" t="s">
        <v>431</v>
      </c>
      <c r="E204" s="6">
        <v>2200</v>
      </c>
      <c r="F204" s="18">
        <v>32618.660000000003</v>
      </c>
      <c r="G204" s="18">
        <v>37558.65</v>
      </c>
      <c r="H204" s="18">
        <v>18</v>
      </c>
      <c r="I204" s="18">
        <v>10982.17</v>
      </c>
      <c r="J204" s="18">
        <v>0</v>
      </c>
      <c r="K204" s="18">
        <v>0</v>
      </c>
      <c r="L204" s="13">
        <f t="shared" si="0"/>
        <v>81177.48</v>
      </c>
      <c r="M204" s="8"/>
      <c r="N204" s="164"/>
    </row>
    <row r="205" spans="1:14" s="3" customFormat="1" ht="12.2" customHeight="1" x14ac:dyDescent="0.15">
      <c r="A205" s="1" t="s">
        <v>444</v>
      </c>
      <c r="B205" s="2" t="s">
        <v>341</v>
      </c>
      <c r="C205" s="2" t="s">
        <v>296</v>
      </c>
      <c r="D205" s="2" t="s">
        <v>431</v>
      </c>
      <c r="E205" s="6">
        <v>2300</v>
      </c>
      <c r="F205" s="18">
        <v>190242.43666666668</v>
      </c>
      <c r="G205" s="18">
        <v>72305.30333333333</v>
      </c>
      <c r="H205" s="18">
        <v>56902.289999999986</v>
      </c>
      <c r="I205" s="18">
        <v>1152.1166666666666</v>
      </c>
      <c r="J205" s="18">
        <v>66.66</v>
      </c>
      <c r="K205" s="18">
        <v>2759.9766666666665</v>
      </c>
      <c r="L205" s="13">
        <f t="shared" si="0"/>
        <v>323428.78333333327</v>
      </c>
      <c r="M205" s="8"/>
      <c r="N205" s="164"/>
    </row>
    <row r="206" spans="1:14" s="3" customFormat="1" ht="12.2" customHeight="1" x14ac:dyDescent="0.15">
      <c r="A206" s="1" t="s">
        <v>445</v>
      </c>
      <c r="B206" s="2" t="s">
        <v>341</v>
      </c>
      <c r="C206" s="2" t="s">
        <v>297</v>
      </c>
      <c r="D206" s="2" t="s">
        <v>431</v>
      </c>
      <c r="E206" s="6">
        <v>2400</v>
      </c>
      <c r="F206" s="18">
        <v>266811.57</v>
      </c>
      <c r="G206" s="18">
        <v>108116.39</v>
      </c>
      <c r="H206" s="18">
        <v>13178.480000000001</v>
      </c>
      <c r="I206" s="18">
        <v>2270.23</v>
      </c>
      <c r="J206" s="18">
        <v>0</v>
      </c>
      <c r="K206" s="18">
        <v>560</v>
      </c>
      <c r="L206" s="13">
        <f t="shared" si="0"/>
        <v>390936.67</v>
      </c>
      <c r="M206" s="8"/>
      <c r="N206" s="164"/>
    </row>
    <row r="207" spans="1:14" s="3" customFormat="1" ht="12.2" customHeight="1" x14ac:dyDescent="0.15">
      <c r="A207" s="1" t="s">
        <v>446</v>
      </c>
      <c r="B207" s="2" t="s">
        <v>341</v>
      </c>
      <c r="C207" s="2" t="s">
        <v>298</v>
      </c>
      <c r="D207" s="2" t="s">
        <v>431</v>
      </c>
      <c r="E207" s="6">
        <v>2500</v>
      </c>
      <c r="F207" s="18">
        <v>72390.133333333331</v>
      </c>
      <c r="G207" s="18">
        <v>35397.23333333333</v>
      </c>
      <c r="H207" s="18">
        <v>13125.25</v>
      </c>
      <c r="I207" s="18">
        <v>9213.4433333333327</v>
      </c>
      <c r="J207" s="18">
        <v>0</v>
      </c>
      <c r="K207" s="18">
        <v>1330.8066666666668</v>
      </c>
      <c r="L207" s="13">
        <f t="shared" si="0"/>
        <v>131456.86666666667</v>
      </c>
      <c r="M207" s="8"/>
      <c r="N207" s="164"/>
    </row>
    <row r="208" spans="1:14" s="3" customFormat="1" ht="12.2" customHeight="1" x14ac:dyDescent="0.15">
      <c r="A208" s="1" t="s">
        <v>447</v>
      </c>
      <c r="B208" s="2" t="s">
        <v>341</v>
      </c>
      <c r="C208" s="2" t="s">
        <v>299</v>
      </c>
      <c r="D208" s="2" t="s">
        <v>431</v>
      </c>
      <c r="E208" s="6">
        <v>2600</v>
      </c>
      <c r="F208" s="18">
        <v>188839.47</v>
      </c>
      <c r="G208" s="18">
        <v>102934.98999999998</v>
      </c>
      <c r="H208" s="18">
        <v>138370.82666666666</v>
      </c>
      <c r="I208" s="18">
        <v>175889.56</v>
      </c>
      <c r="J208" s="18">
        <v>3950</v>
      </c>
      <c r="K208" s="18">
        <v>0</v>
      </c>
      <c r="L208" s="13">
        <f t="shared" si="0"/>
        <v>609984.84666666668</v>
      </c>
      <c r="M208" s="8"/>
      <c r="N208" s="164"/>
    </row>
    <row r="209" spans="1:14" s="3" customFormat="1" ht="12.2" customHeight="1" x14ac:dyDescent="0.15">
      <c r="A209" s="1" t="s">
        <v>448</v>
      </c>
      <c r="B209" s="2" t="s">
        <v>341</v>
      </c>
      <c r="C209" s="2" t="s">
        <v>300</v>
      </c>
      <c r="D209" s="2" t="s">
        <v>431</v>
      </c>
      <c r="E209" s="6">
        <v>2700</v>
      </c>
      <c r="F209" s="18">
        <v>0</v>
      </c>
      <c r="G209" s="18">
        <v>0</v>
      </c>
      <c r="H209" s="18">
        <v>361583.9</v>
      </c>
      <c r="I209" s="18">
        <v>0</v>
      </c>
      <c r="J209" s="18">
        <v>0</v>
      </c>
      <c r="K209" s="18">
        <v>0</v>
      </c>
      <c r="L209" s="13">
        <f t="shared" si="0"/>
        <v>361583.9</v>
      </c>
      <c r="M209" s="8"/>
      <c r="N209" s="164"/>
    </row>
    <row r="210" spans="1:14" s="3" customFormat="1" ht="12.2" customHeight="1" x14ac:dyDescent="0.15">
      <c r="A210" s="1" t="s">
        <v>449</v>
      </c>
      <c r="B210" s="2" t="s">
        <v>341</v>
      </c>
      <c r="C210" s="2" t="s">
        <v>343</v>
      </c>
      <c r="D210" s="2" t="s">
        <v>431</v>
      </c>
      <c r="E210" s="6">
        <v>2800</v>
      </c>
      <c r="F210" s="18">
        <v>52036.32</v>
      </c>
      <c r="G210" s="18">
        <v>25587.989999999998</v>
      </c>
      <c r="H210" s="18">
        <v>13206.72</v>
      </c>
      <c r="I210" s="18">
        <v>17483.98</v>
      </c>
      <c r="J210" s="18">
        <v>619.13</v>
      </c>
      <c r="K210" s="18">
        <v>0</v>
      </c>
      <c r="L210" s="13">
        <f>SUM(F210:K210)</f>
        <v>108934.14</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3200044.6799999997</v>
      </c>
      <c r="G212" s="38">
        <f t="shared" si="1"/>
        <v>1666715.2499999995</v>
      </c>
      <c r="H212" s="38">
        <f t="shared" si="1"/>
        <v>794353.06666666665</v>
      </c>
      <c r="I212" s="38">
        <f t="shared" si="1"/>
        <v>409805.29666666663</v>
      </c>
      <c r="J212" s="38">
        <f t="shared" si="1"/>
        <v>22564.78</v>
      </c>
      <c r="K212" s="38">
        <f t="shared" si="1"/>
        <v>4800.7833333333328</v>
      </c>
      <c r="L212" s="38">
        <f t="shared" si="1"/>
        <v>6098283.8566666665</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1438561.0799999998</v>
      </c>
      <c r="G216" s="18">
        <v>775776.01333333307</v>
      </c>
      <c r="H216" s="18">
        <v>16475.57</v>
      </c>
      <c r="I216" s="18">
        <v>53796.14</v>
      </c>
      <c r="J216" s="18">
        <v>21549.719999999998</v>
      </c>
      <c r="K216" s="18">
        <v>110</v>
      </c>
      <c r="L216" s="13">
        <f>SUM(F216:K216)</f>
        <v>2306268.523333333</v>
      </c>
      <c r="M216" s="8"/>
      <c r="N216" s="164"/>
    </row>
    <row r="217" spans="1:14" s="3" customFormat="1" ht="12.2" customHeight="1" x14ac:dyDescent="0.15">
      <c r="A217" s="1" t="s">
        <v>439</v>
      </c>
      <c r="B217" s="2" t="s">
        <v>346</v>
      </c>
      <c r="C217" s="2" t="s">
        <v>291</v>
      </c>
      <c r="D217" s="2" t="s">
        <v>431</v>
      </c>
      <c r="E217" s="6">
        <v>1200</v>
      </c>
      <c r="F217" s="18">
        <v>228875.53</v>
      </c>
      <c r="G217" s="18">
        <v>144603.68</v>
      </c>
      <c r="H217" s="18">
        <v>186951.63</v>
      </c>
      <c r="I217" s="18">
        <v>3398.39</v>
      </c>
      <c r="J217" s="18">
        <v>231.89</v>
      </c>
      <c r="K217" s="18">
        <v>0</v>
      </c>
      <c r="L217" s="13">
        <f>SUM(F217:K217)</f>
        <v>564061.12</v>
      </c>
      <c r="M217" s="8"/>
      <c r="N217" s="1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4"/>
    </row>
    <row r="219" spans="1:14" s="3" customFormat="1" ht="12.2" customHeight="1" x14ac:dyDescent="0.15">
      <c r="A219" s="1" t="s">
        <v>441</v>
      </c>
      <c r="B219" s="2" t="s">
        <v>346</v>
      </c>
      <c r="C219" s="2" t="s">
        <v>293</v>
      </c>
      <c r="D219" s="2" t="s">
        <v>431</v>
      </c>
      <c r="E219" s="6">
        <v>1400</v>
      </c>
      <c r="F219" s="18">
        <v>32500</v>
      </c>
      <c r="G219" s="18">
        <v>5654.55</v>
      </c>
      <c r="H219" s="18">
        <v>8535.7800000000007</v>
      </c>
      <c r="I219" s="18">
        <v>3246.21</v>
      </c>
      <c r="J219" s="18">
        <v>2689.83</v>
      </c>
      <c r="K219" s="18">
        <v>1330</v>
      </c>
      <c r="L219" s="13">
        <f>SUM(F219:K219)</f>
        <v>53956.37</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253198.6</v>
      </c>
      <c r="G221" s="18">
        <v>133381.57</v>
      </c>
      <c r="H221" s="18">
        <v>51131.06</v>
      </c>
      <c r="I221" s="18">
        <v>3448.6366666666663</v>
      </c>
      <c r="J221" s="18">
        <v>219.36</v>
      </c>
      <c r="K221" s="18">
        <v>45</v>
      </c>
      <c r="L221" s="13">
        <f t="shared" ref="L221:L227" si="2">SUM(F221:K221)</f>
        <v>441424.22666666668</v>
      </c>
      <c r="M221" s="8"/>
      <c r="N221" s="164"/>
    </row>
    <row r="222" spans="1:14" s="3" customFormat="1" ht="12.2" customHeight="1" x14ac:dyDescent="0.15">
      <c r="A222" s="1" t="s">
        <v>443</v>
      </c>
      <c r="B222" s="2" t="s">
        <v>346</v>
      </c>
      <c r="C222" s="2" t="s">
        <v>295</v>
      </c>
      <c r="D222" s="2" t="s">
        <v>431</v>
      </c>
      <c r="E222" s="6">
        <v>2200</v>
      </c>
      <c r="F222" s="18">
        <v>31368.859999999997</v>
      </c>
      <c r="G222" s="18">
        <v>40858.800000000003</v>
      </c>
      <c r="H222" s="18">
        <v>21.07</v>
      </c>
      <c r="I222" s="18">
        <v>4699.49</v>
      </c>
      <c r="J222" s="18">
        <v>0</v>
      </c>
      <c r="K222" s="18">
        <v>0</v>
      </c>
      <c r="L222" s="13">
        <f t="shared" si="2"/>
        <v>76948.220000000016</v>
      </c>
      <c r="M222" s="8"/>
      <c r="N222" s="164"/>
    </row>
    <row r="223" spans="1:14" s="3" customFormat="1" ht="12.2" customHeight="1" x14ac:dyDescent="0.15">
      <c r="A223" s="1" t="s">
        <v>444</v>
      </c>
      <c r="B223" s="2" t="s">
        <v>346</v>
      </c>
      <c r="C223" s="2" t="s">
        <v>296</v>
      </c>
      <c r="D223" s="2" t="s">
        <v>431</v>
      </c>
      <c r="E223" s="6">
        <v>2300</v>
      </c>
      <c r="F223" s="18">
        <v>190249.53666666668</v>
      </c>
      <c r="G223" s="18">
        <v>72294.383333333331</v>
      </c>
      <c r="H223" s="18">
        <v>48767.57999999998</v>
      </c>
      <c r="I223" s="18">
        <v>1152.1266666666666</v>
      </c>
      <c r="J223" s="18">
        <v>66.66</v>
      </c>
      <c r="K223" s="18">
        <v>2709.7466666666669</v>
      </c>
      <c r="L223" s="13">
        <f t="shared" si="2"/>
        <v>315240.03333333327</v>
      </c>
      <c r="M223" s="8"/>
      <c r="N223" s="164"/>
    </row>
    <row r="224" spans="1:14" s="3" customFormat="1" ht="12.2" customHeight="1" x14ac:dyDescent="0.15">
      <c r="A224" s="1" t="s">
        <v>445</v>
      </c>
      <c r="B224" s="2" t="s">
        <v>346</v>
      </c>
      <c r="C224" s="2" t="s">
        <v>297</v>
      </c>
      <c r="D224" s="2" t="s">
        <v>431</v>
      </c>
      <c r="E224" s="6">
        <v>2400</v>
      </c>
      <c r="F224" s="18">
        <v>234202.87</v>
      </c>
      <c r="G224" s="18">
        <v>168068.34</v>
      </c>
      <c r="H224" s="18">
        <v>12730.230000000001</v>
      </c>
      <c r="I224" s="18">
        <v>2411.33</v>
      </c>
      <c r="J224" s="18">
        <v>0</v>
      </c>
      <c r="K224" s="18">
        <v>1899.9</v>
      </c>
      <c r="L224" s="13">
        <f t="shared" si="2"/>
        <v>419312.67</v>
      </c>
      <c r="M224" s="8"/>
      <c r="N224" s="164"/>
    </row>
    <row r="225" spans="1:14" s="3" customFormat="1" ht="12.2" customHeight="1" x14ac:dyDescent="0.15">
      <c r="A225" s="1" t="s">
        <v>446</v>
      </c>
      <c r="B225" s="2" t="s">
        <v>346</v>
      </c>
      <c r="C225" s="2" t="s">
        <v>298</v>
      </c>
      <c r="D225" s="2" t="s">
        <v>431</v>
      </c>
      <c r="E225" s="6">
        <v>2500</v>
      </c>
      <c r="F225" s="18">
        <v>72390.133333333331</v>
      </c>
      <c r="G225" s="18">
        <v>35397.23333333333</v>
      </c>
      <c r="H225" s="18">
        <v>13125.25</v>
      </c>
      <c r="I225" s="18">
        <v>9213.4433333333327</v>
      </c>
      <c r="J225" s="18">
        <v>0</v>
      </c>
      <c r="K225" s="18">
        <v>1330.8066666666668</v>
      </c>
      <c r="L225" s="13">
        <f t="shared" si="2"/>
        <v>131456.86666666667</v>
      </c>
      <c r="M225" s="8"/>
      <c r="N225" s="164"/>
    </row>
    <row r="226" spans="1:14" s="3" customFormat="1" ht="12.2" customHeight="1" x14ac:dyDescent="0.15">
      <c r="A226" s="1" t="s">
        <v>447</v>
      </c>
      <c r="B226" s="2" t="s">
        <v>346</v>
      </c>
      <c r="C226" s="2" t="s">
        <v>299</v>
      </c>
      <c r="D226" s="2" t="s">
        <v>431</v>
      </c>
      <c r="E226" s="6">
        <v>2600</v>
      </c>
      <c r="F226" s="18">
        <v>155968</v>
      </c>
      <c r="G226" s="18">
        <v>117170.4</v>
      </c>
      <c r="H226" s="18">
        <v>176452.92666666667</v>
      </c>
      <c r="I226" s="18">
        <v>140169.26</v>
      </c>
      <c r="J226" s="18">
        <v>7049.12</v>
      </c>
      <c r="K226" s="18">
        <v>0</v>
      </c>
      <c r="L226" s="13">
        <f t="shared" si="2"/>
        <v>596809.70666666667</v>
      </c>
      <c r="M226" s="8"/>
      <c r="N226" s="164"/>
    </row>
    <row r="227" spans="1:14" s="3" customFormat="1" ht="12.2" customHeight="1" x14ac:dyDescent="0.15">
      <c r="A227" s="1" t="s">
        <v>448</v>
      </c>
      <c r="B227" s="2" t="s">
        <v>346</v>
      </c>
      <c r="C227" s="2" t="s">
        <v>300</v>
      </c>
      <c r="D227" s="2" t="s">
        <v>431</v>
      </c>
      <c r="E227" s="6">
        <v>2700</v>
      </c>
      <c r="F227" s="18">
        <v>0</v>
      </c>
      <c r="G227" s="18">
        <v>0</v>
      </c>
      <c r="H227" s="18">
        <v>264543.07</v>
      </c>
      <c r="I227" s="18">
        <v>0</v>
      </c>
      <c r="J227" s="18">
        <v>0</v>
      </c>
      <c r="K227" s="18">
        <v>0</v>
      </c>
      <c r="L227" s="13">
        <f t="shared" si="2"/>
        <v>264543.07</v>
      </c>
      <c r="M227" s="8"/>
      <c r="N227" s="164"/>
    </row>
    <row r="228" spans="1:14" s="3" customFormat="1" ht="12.2" customHeight="1" x14ac:dyDescent="0.15">
      <c r="A228" s="1" t="s">
        <v>449</v>
      </c>
      <c r="B228" s="2" t="s">
        <v>346</v>
      </c>
      <c r="C228" s="2" t="s">
        <v>343</v>
      </c>
      <c r="D228" s="2" t="s">
        <v>431</v>
      </c>
      <c r="E228" s="6">
        <v>2800</v>
      </c>
      <c r="F228" s="18">
        <v>59875.09</v>
      </c>
      <c r="G228" s="18">
        <v>29364.18</v>
      </c>
      <c r="H228" s="18">
        <v>13459.76</v>
      </c>
      <c r="I228" s="18">
        <v>17483.98</v>
      </c>
      <c r="J228" s="18">
        <v>586.12</v>
      </c>
      <c r="K228" s="18">
        <v>0</v>
      </c>
      <c r="L228" s="13">
        <f>SUM(F228:K228)</f>
        <v>120769.12999999998</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2697189.7</v>
      </c>
      <c r="G230" s="38">
        <f>SUM(G216:G229)</f>
        <v>1522569.15</v>
      </c>
      <c r="H230" s="38">
        <f>SUM(H216:H229)</f>
        <v>792193.92666666675</v>
      </c>
      <c r="I230" s="38">
        <f>SUM(I216:I229)</f>
        <v>239019.00666666668</v>
      </c>
      <c r="J230" s="38">
        <f>SUM(J216:J229)</f>
        <v>32392.699999999993</v>
      </c>
      <c r="K230" s="38">
        <f t="shared" si="3"/>
        <v>7425.4533333333347</v>
      </c>
      <c r="L230" s="38">
        <f t="shared" si="3"/>
        <v>5290789.9366666665</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1341559.26</v>
      </c>
      <c r="G234" s="18">
        <v>756905.25333333341</v>
      </c>
      <c r="H234" s="18">
        <v>31131.989999999998</v>
      </c>
      <c r="I234" s="18">
        <v>55976.79</v>
      </c>
      <c r="J234" s="18">
        <v>29609.919999999998</v>
      </c>
      <c r="K234" s="18">
        <v>820</v>
      </c>
      <c r="L234" s="13">
        <f>SUM(F234:K234)</f>
        <v>2216003.2133333338</v>
      </c>
      <c r="M234" s="8"/>
      <c r="N234" s="164"/>
    </row>
    <row r="235" spans="1:14" s="3" customFormat="1" ht="12.2" customHeight="1" x14ac:dyDescent="0.15">
      <c r="A235" s="1" t="s">
        <v>439</v>
      </c>
      <c r="B235" s="2" t="s">
        <v>350</v>
      </c>
      <c r="C235" s="2" t="s">
        <v>291</v>
      </c>
      <c r="D235" s="2" t="s">
        <v>431</v>
      </c>
      <c r="E235" s="6">
        <v>1200</v>
      </c>
      <c r="F235" s="18">
        <v>189101.58000000002</v>
      </c>
      <c r="G235" s="18">
        <v>111786.70999999999</v>
      </c>
      <c r="H235" s="18">
        <v>91340.2</v>
      </c>
      <c r="I235" s="18">
        <v>1725.19</v>
      </c>
      <c r="J235" s="18">
        <v>116.37</v>
      </c>
      <c r="K235" s="18">
        <v>460</v>
      </c>
      <c r="L235" s="13">
        <f>SUM(F235:K235)</f>
        <v>394530.05000000005</v>
      </c>
      <c r="M235" s="8"/>
      <c r="N235" s="164"/>
    </row>
    <row r="236" spans="1:14" s="3" customFormat="1" ht="12.2" customHeight="1" x14ac:dyDescent="0.15">
      <c r="A236" s="1" t="s">
        <v>440</v>
      </c>
      <c r="B236" s="2" t="s">
        <v>350</v>
      </c>
      <c r="C236" s="2" t="s">
        <v>292</v>
      </c>
      <c r="D236" s="2" t="s">
        <v>431</v>
      </c>
      <c r="E236" s="6">
        <v>1300</v>
      </c>
      <c r="F236" s="18">
        <v>69245</v>
      </c>
      <c r="G236" s="18">
        <v>30910.85</v>
      </c>
      <c r="H236" s="18">
        <v>16259.369999999999</v>
      </c>
      <c r="I236" s="18">
        <v>5209.04</v>
      </c>
      <c r="J236" s="18">
        <v>0</v>
      </c>
      <c r="K236" s="18">
        <v>265.72000000000003</v>
      </c>
      <c r="L236" s="13">
        <f>SUM(F236:K236)</f>
        <v>121889.98</v>
      </c>
      <c r="M236" s="8"/>
      <c r="N236" s="164"/>
    </row>
    <row r="237" spans="1:14" s="3" customFormat="1" ht="12.2" customHeight="1" x14ac:dyDescent="0.15">
      <c r="A237" s="1" t="s">
        <v>441</v>
      </c>
      <c r="B237" s="2" t="s">
        <v>350</v>
      </c>
      <c r="C237" s="2" t="s">
        <v>293</v>
      </c>
      <c r="D237" s="2" t="s">
        <v>431</v>
      </c>
      <c r="E237" s="6">
        <v>1400</v>
      </c>
      <c r="F237" s="18">
        <v>112471.18</v>
      </c>
      <c r="G237" s="18">
        <v>13141.550000000001</v>
      </c>
      <c r="H237" s="18">
        <v>27847.4</v>
      </c>
      <c r="I237" s="18">
        <v>17423.95</v>
      </c>
      <c r="J237" s="18">
        <v>15983.37</v>
      </c>
      <c r="K237" s="18">
        <v>12561</v>
      </c>
      <c r="L237" s="13">
        <f>SUM(F237:K237)</f>
        <v>199428.45</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253899.29</v>
      </c>
      <c r="G239" s="18">
        <v>145109.12000000005</v>
      </c>
      <c r="H239" s="18">
        <v>77331.210000000006</v>
      </c>
      <c r="I239" s="18">
        <v>12576.966666666667</v>
      </c>
      <c r="J239" s="18">
        <v>418.36</v>
      </c>
      <c r="K239" s="18">
        <v>175</v>
      </c>
      <c r="L239" s="13">
        <f t="shared" ref="L239:L245" si="4">SUM(F239:K239)</f>
        <v>489509.94666666671</v>
      </c>
      <c r="M239" s="8"/>
      <c r="N239" s="164"/>
    </row>
    <row r="240" spans="1:14" s="3" customFormat="1" ht="12.2" customHeight="1" x14ac:dyDescent="0.15">
      <c r="A240" s="1" t="s">
        <v>443</v>
      </c>
      <c r="B240" s="2" t="s">
        <v>350</v>
      </c>
      <c r="C240" s="2" t="s">
        <v>295</v>
      </c>
      <c r="D240" s="2" t="s">
        <v>431</v>
      </c>
      <c r="E240" s="6">
        <v>2200</v>
      </c>
      <c r="F240" s="18">
        <v>72437.48</v>
      </c>
      <c r="G240" s="18">
        <v>34410.449999999997</v>
      </c>
      <c r="H240" s="18">
        <v>54.98</v>
      </c>
      <c r="I240" s="18">
        <v>9314.7599999999984</v>
      </c>
      <c r="J240" s="18">
        <v>573.13000000000011</v>
      </c>
      <c r="K240" s="18">
        <v>0</v>
      </c>
      <c r="L240" s="13">
        <f t="shared" si="4"/>
        <v>116790.79999999999</v>
      </c>
      <c r="M240" s="8"/>
      <c r="N240" s="164"/>
    </row>
    <row r="241" spans="1:14" s="3" customFormat="1" ht="12.2" customHeight="1" x14ac:dyDescent="0.15">
      <c r="A241" s="1" t="s">
        <v>444</v>
      </c>
      <c r="B241" s="2" t="s">
        <v>350</v>
      </c>
      <c r="C241" s="2" t="s">
        <v>296</v>
      </c>
      <c r="D241" s="2" t="s">
        <v>431</v>
      </c>
      <c r="E241" s="6">
        <v>2300</v>
      </c>
      <c r="F241" s="18">
        <v>190293.46666666667</v>
      </c>
      <c r="G241" s="18">
        <v>72297.91333333333</v>
      </c>
      <c r="H241" s="18">
        <v>55423.929999999986</v>
      </c>
      <c r="I241" s="18">
        <v>1152.1266666666666</v>
      </c>
      <c r="J241" s="18">
        <v>66.66</v>
      </c>
      <c r="K241" s="18">
        <v>2709.7366666666667</v>
      </c>
      <c r="L241" s="13">
        <f t="shared" si="4"/>
        <v>321943.83333333331</v>
      </c>
      <c r="M241" s="8"/>
      <c r="N241" s="164"/>
    </row>
    <row r="242" spans="1:14" s="3" customFormat="1" ht="12.2" customHeight="1" x14ac:dyDescent="0.15">
      <c r="A242" s="1" t="s">
        <v>445</v>
      </c>
      <c r="B242" s="2" t="s">
        <v>350</v>
      </c>
      <c r="C242" s="2" t="s">
        <v>297</v>
      </c>
      <c r="D242" s="2" t="s">
        <v>431</v>
      </c>
      <c r="E242" s="6">
        <v>2400</v>
      </c>
      <c r="F242" s="18">
        <v>348817.81</v>
      </c>
      <c r="G242" s="18">
        <v>187448.55000000008</v>
      </c>
      <c r="H242" s="18">
        <v>12503.82</v>
      </c>
      <c r="I242" s="18">
        <v>4545.96</v>
      </c>
      <c r="J242" s="18">
        <v>717.64</v>
      </c>
      <c r="K242" s="18">
        <v>8607.1</v>
      </c>
      <c r="L242" s="13">
        <f t="shared" si="4"/>
        <v>562640.88</v>
      </c>
      <c r="M242" s="8"/>
      <c r="N242" s="164"/>
    </row>
    <row r="243" spans="1:14" s="3" customFormat="1" ht="12.2" customHeight="1" x14ac:dyDescent="0.15">
      <c r="A243" s="1" t="s">
        <v>446</v>
      </c>
      <c r="B243" s="2" t="s">
        <v>350</v>
      </c>
      <c r="C243" s="2" t="s">
        <v>298</v>
      </c>
      <c r="D243" s="2" t="s">
        <v>431</v>
      </c>
      <c r="E243" s="6">
        <v>2500</v>
      </c>
      <c r="F243" s="18">
        <v>72390.133333333331</v>
      </c>
      <c r="G243" s="18">
        <v>35397.23333333333</v>
      </c>
      <c r="H243" s="18">
        <v>13125.25</v>
      </c>
      <c r="I243" s="18">
        <v>9213.4433333333327</v>
      </c>
      <c r="J243" s="18">
        <v>0</v>
      </c>
      <c r="K243" s="18">
        <v>1330.8066666666668</v>
      </c>
      <c r="L243" s="13">
        <f t="shared" si="4"/>
        <v>131456.86666666667</v>
      </c>
      <c r="M243" s="8"/>
      <c r="N243" s="164"/>
    </row>
    <row r="244" spans="1:14" s="3" customFormat="1" ht="12.2" customHeight="1" x14ac:dyDescent="0.15">
      <c r="A244" s="1" t="s">
        <v>447</v>
      </c>
      <c r="B244" s="2" t="s">
        <v>350</v>
      </c>
      <c r="C244" s="2" t="s">
        <v>299</v>
      </c>
      <c r="D244" s="2" t="s">
        <v>431</v>
      </c>
      <c r="E244" s="6">
        <v>2600</v>
      </c>
      <c r="F244" s="18">
        <v>154133.29999999999</v>
      </c>
      <c r="G244" s="18">
        <v>81128.51999999999</v>
      </c>
      <c r="H244" s="18">
        <v>267491.95666666661</v>
      </c>
      <c r="I244" s="18">
        <v>187380.8</v>
      </c>
      <c r="J244" s="18">
        <v>11302.21</v>
      </c>
      <c r="K244" s="18">
        <v>0</v>
      </c>
      <c r="L244" s="13">
        <f t="shared" si="4"/>
        <v>701436.78666666662</v>
      </c>
      <c r="M244" s="8"/>
      <c r="N244" s="164"/>
    </row>
    <row r="245" spans="1:14" s="3" customFormat="1" ht="12.2" customHeight="1" x14ac:dyDescent="0.15">
      <c r="A245" s="1" t="s">
        <v>448</v>
      </c>
      <c r="B245" s="2" t="s">
        <v>350</v>
      </c>
      <c r="C245" s="2" t="s">
        <v>300</v>
      </c>
      <c r="D245" s="2" t="s">
        <v>431</v>
      </c>
      <c r="E245" s="6">
        <v>2700</v>
      </c>
      <c r="F245" s="18">
        <v>0</v>
      </c>
      <c r="G245" s="18">
        <v>0</v>
      </c>
      <c r="H245" s="18">
        <v>282584.59999999992</v>
      </c>
      <c r="I245" s="18">
        <v>0</v>
      </c>
      <c r="J245" s="18">
        <v>0</v>
      </c>
      <c r="K245" s="18">
        <v>0</v>
      </c>
      <c r="L245" s="13">
        <f t="shared" si="4"/>
        <v>282584.59999999992</v>
      </c>
      <c r="M245" s="8"/>
      <c r="N245" s="164"/>
    </row>
    <row r="246" spans="1:14" s="3" customFormat="1" ht="12.2" customHeight="1" x14ac:dyDescent="0.15">
      <c r="A246" s="1" t="s">
        <v>449</v>
      </c>
      <c r="B246" s="2" t="s">
        <v>350</v>
      </c>
      <c r="C246" s="2" t="s">
        <v>343</v>
      </c>
      <c r="D246" s="2" t="s">
        <v>431</v>
      </c>
      <c r="E246" s="6">
        <v>2800</v>
      </c>
      <c r="F246" s="18">
        <v>100846.94</v>
      </c>
      <c r="G246" s="18">
        <v>49781.15</v>
      </c>
      <c r="H246" s="18">
        <v>14764.509999999998</v>
      </c>
      <c r="I246" s="18">
        <v>17809.400000000001</v>
      </c>
      <c r="J246" s="18">
        <v>740.06</v>
      </c>
      <c r="K246" s="18">
        <v>0</v>
      </c>
      <c r="L246" s="13">
        <f>SUM(F246:K246)</f>
        <v>183942.06</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2905195.44</v>
      </c>
      <c r="G248" s="38">
        <f t="shared" si="5"/>
        <v>1518317.3</v>
      </c>
      <c r="H248" s="38">
        <f t="shared" si="5"/>
        <v>889859.21666666656</v>
      </c>
      <c r="I248" s="38">
        <f t="shared" si="5"/>
        <v>322328.4266666667</v>
      </c>
      <c r="J248" s="38">
        <f t="shared" si="5"/>
        <v>59527.719999999994</v>
      </c>
      <c r="K248" s="38">
        <f t="shared" si="5"/>
        <v>26929.363333333331</v>
      </c>
      <c r="L248" s="38">
        <f t="shared" si="5"/>
        <v>5722157.4666666659</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4"/>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3">
        <f t="shared" si="6"/>
        <v>0</v>
      </c>
      <c r="M252" s="8"/>
      <c r="N252" s="164"/>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4"/>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3">
        <f t="shared" si="6"/>
        <v>0</v>
      </c>
      <c r="M254" s="8"/>
      <c r="N254" s="164"/>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3">
        <f t="shared" si="6"/>
        <v>0</v>
      </c>
      <c r="M255" s="8"/>
      <c r="N255" s="164"/>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8802429.8200000003</v>
      </c>
      <c r="G258" s="38">
        <f t="shared" si="8"/>
        <v>4707601.6999999993</v>
      </c>
      <c r="H258" s="38">
        <f t="shared" si="8"/>
        <v>2476406.21</v>
      </c>
      <c r="I258" s="38">
        <f t="shared" si="8"/>
        <v>971152.73</v>
      </c>
      <c r="J258" s="38">
        <f t="shared" si="8"/>
        <v>114485.19999999998</v>
      </c>
      <c r="K258" s="38">
        <f t="shared" si="8"/>
        <v>39155.599999999999</v>
      </c>
      <c r="L258" s="38">
        <f t="shared" si="8"/>
        <v>17111231.259999998</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1475000</v>
      </c>
      <c r="L261" s="13">
        <f>SUM(F261:K261)</f>
        <v>1475000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278258.75</v>
      </c>
      <c r="L262" s="13">
        <f>SUM(F262:K262)</f>
        <v>278258.75</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26700.5</v>
      </c>
      <c r="L264" s="13">
        <f>SUM(F264:K264)</f>
        <v>26700.5</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60000</v>
      </c>
      <c r="L267" s="13">
        <f t="shared" si="9"/>
        <v>60000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0</v>
      </c>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v>0</v>
      </c>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1839959.25</v>
      </c>
      <c r="L271" s="38">
        <f t="shared" si="9"/>
        <v>1839959.25</v>
      </c>
      <c r="M271" s="8"/>
      <c r="N271" s="164"/>
    </row>
    <row r="272" spans="1:14" s="33" customFormat="1" ht="12.2" customHeight="1" thickTop="1" x14ac:dyDescent="0.2">
      <c r="A272" s="40" t="s">
        <v>464</v>
      </c>
      <c r="B272" s="37">
        <v>10</v>
      </c>
      <c r="C272" s="37">
        <v>18</v>
      </c>
      <c r="D272" s="36" t="s">
        <v>431</v>
      </c>
      <c r="E272" s="37"/>
      <c r="F272" s="39">
        <f t="shared" ref="F272:L272" si="11">F258+F271</f>
        <v>8802429.8200000003</v>
      </c>
      <c r="G272" s="39">
        <f t="shared" si="11"/>
        <v>4707601.6999999993</v>
      </c>
      <c r="H272" s="39">
        <f t="shared" si="11"/>
        <v>2476406.21</v>
      </c>
      <c r="I272" s="39">
        <f t="shared" si="11"/>
        <v>971152.73</v>
      </c>
      <c r="J272" s="39">
        <f t="shared" si="11"/>
        <v>114485.19999999998</v>
      </c>
      <c r="K272" s="39">
        <f t="shared" si="11"/>
        <v>1879114.85</v>
      </c>
      <c r="L272" s="39">
        <f t="shared" si="11"/>
        <v>18951190.509999998</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156989.75912725154</v>
      </c>
      <c r="G277" s="18">
        <v>89032.494905858344</v>
      </c>
      <c r="H277" s="18">
        <v>5642.2904536286806</v>
      </c>
      <c r="I277" s="18">
        <v>34409.056632118925</v>
      </c>
      <c r="J277" s="18">
        <v>357.04804057126211</v>
      </c>
      <c r="K277" s="18">
        <v>0</v>
      </c>
      <c r="L277" s="13">
        <f>SUM(F277:K277)</f>
        <v>286430.64915942878</v>
      </c>
      <c r="M277" s="8"/>
      <c r="N277" s="164"/>
    </row>
    <row r="278" spans="1:14" s="3" customFormat="1" ht="12.2" customHeight="1" x14ac:dyDescent="0.15">
      <c r="A278" s="1" t="s">
        <v>439</v>
      </c>
      <c r="B278" s="2" t="s">
        <v>357</v>
      </c>
      <c r="C278" s="2" t="s">
        <v>291</v>
      </c>
      <c r="D278" s="2" t="s">
        <v>431</v>
      </c>
      <c r="E278" s="6">
        <v>1200</v>
      </c>
      <c r="F278" s="18">
        <v>86612.161648032663</v>
      </c>
      <c r="G278" s="18">
        <v>57789.742611133792</v>
      </c>
      <c r="H278" s="18">
        <v>0</v>
      </c>
      <c r="I278" s="18">
        <v>0</v>
      </c>
      <c r="J278" s="18">
        <v>0</v>
      </c>
      <c r="K278" s="18">
        <v>0</v>
      </c>
      <c r="L278" s="13">
        <f>SUM(F278:K278)</f>
        <v>144401.90425916645</v>
      </c>
      <c r="M278" s="8"/>
      <c r="N278" s="1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4"/>
    </row>
    <row r="280" spans="1:14" s="3" customFormat="1" ht="12.2" customHeight="1" x14ac:dyDescent="0.15">
      <c r="A280" s="1" t="s">
        <v>441</v>
      </c>
      <c r="B280" s="2" t="s">
        <v>357</v>
      </c>
      <c r="C280" s="2" t="s">
        <v>293</v>
      </c>
      <c r="D280" s="2" t="s">
        <v>431</v>
      </c>
      <c r="E280" s="6">
        <v>1400</v>
      </c>
      <c r="F280" s="18">
        <v>3143.105697464297</v>
      </c>
      <c r="G280" s="18">
        <v>698.59730189449158</v>
      </c>
      <c r="H280" s="18">
        <v>1345.2674486738563</v>
      </c>
      <c r="I280" s="18">
        <v>198.86944144564271</v>
      </c>
      <c r="J280" s="18">
        <v>0</v>
      </c>
      <c r="K280" s="18">
        <v>0</v>
      </c>
      <c r="L280" s="13">
        <f>SUM(F280:K280)</f>
        <v>5385.8398894782877</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54393.732792072289</v>
      </c>
      <c r="G282" s="18">
        <v>39527.366136753139</v>
      </c>
      <c r="H282" s="18">
        <v>2171.7105425823379</v>
      </c>
      <c r="I282" s="18">
        <v>4803.7470139317993</v>
      </c>
      <c r="J282" s="18">
        <v>0</v>
      </c>
      <c r="K282" s="18">
        <v>0</v>
      </c>
      <c r="L282" s="13">
        <f t="shared" ref="L282:L288" si="12">SUM(F282:K282)</f>
        <v>100896.55648533958</v>
      </c>
      <c r="M282" s="8"/>
      <c r="N282" s="164"/>
    </row>
    <row r="283" spans="1:14" s="3" customFormat="1" ht="12.2" customHeight="1" x14ac:dyDescent="0.15">
      <c r="A283" s="1" t="s">
        <v>443</v>
      </c>
      <c r="B283" s="2" t="s">
        <v>357</v>
      </c>
      <c r="C283" s="2" t="s">
        <v>295</v>
      </c>
      <c r="D283" s="2" t="s">
        <v>431</v>
      </c>
      <c r="E283" s="6">
        <v>2200</v>
      </c>
      <c r="F283" s="18">
        <v>5395.0618041387361</v>
      </c>
      <c r="G283" s="18">
        <v>1411.1261812882544</v>
      </c>
      <c r="H283" s="18">
        <v>10945.204063071993</v>
      </c>
      <c r="I283" s="18">
        <v>58.445747478869144</v>
      </c>
      <c r="J283" s="18">
        <v>0</v>
      </c>
      <c r="K283" s="18">
        <v>0</v>
      </c>
      <c r="L283" s="13">
        <f t="shared" si="12"/>
        <v>17809.837795977852</v>
      </c>
      <c r="M283" s="8"/>
      <c r="N283" s="164"/>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3">
        <f t="shared" si="12"/>
        <v>0</v>
      </c>
      <c r="M284" s="8"/>
      <c r="N284" s="164"/>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4"/>
    </row>
    <row r="287" spans="1:14" s="3" customFormat="1" ht="12.2" customHeight="1" x14ac:dyDescent="0.15">
      <c r="A287" s="1" t="s">
        <v>447</v>
      </c>
      <c r="B287" s="2" t="s">
        <v>357</v>
      </c>
      <c r="C287" s="2" t="s">
        <v>299</v>
      </c>
      <c r="D287" s="2" t="s">
        <v>431</v>
      </c>
      <c r="E287" s="6">
        <v>2600</v>
      </c>
      <c r="F287" s="18">
        <v>0</v>
      </c>
      <c r="G287" s="18">
        <v>0</v>
      </c>
      <c r="H287" s="18">
        <v>12889.601862547364</v>
      </c>
      <c r="I287" s="18">
        <v>1065.616613232294</v>
      </c>
      <c r="J287" s="18">
        <v>19872.037598367828</v>
      </c>
      <c r="K287" s="18">
        <v>0</v>
      </c>
      <c r="L287" s="13">
        <f t="shared" si="12"/>
        <v>33827.256074147488</v>
      </c>
      <c r="M287" s="8"/>
      <c r="N287" s="164"/>
    </row>
    <row r="288" spans="1:14" s="3" customFormat="1" ht="12.2" customHeight="1" x14ac:dyDescent="0.15">
      <c r="A288" s="1" t="s">
        <v>448</v>
      </c>
      <c r="B288" s="2" t="s">
        <v>357</v>
      </c>
      <c r="C288" s="2" t="s">
        <v>300</v>
      </c>
      <c r="D288" s="2" t="s">
        <v>431</v>
      </c>
      <c r="E288" s="6">
        <v>2700</v>
      </c>
      <c r="F288" s="18">
        <v>0</v>
      </c>
      <c r="G288" s="18">
        <v>0</v>
      </c>
      <c r="H288" s="18">
        <v>1005.2813603031188</v>
      </c>
      <c r="I288" s="18">
        <v>0</v>
      </c>
      <c r="J288" s="18">
        <v>0</v>
      </c>
      <c r="K288" s="18">
        <v>0</v>
      </c>
      <c r="L288" s="13">
        <f t="shared" si="12"/>
        <v>1005.2813603031188</v>
      </c>
      <c r="M288" s="8"/>
      <c r="N288" s="1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306533.82106895954</v>
      </c>
      <c r="G291" s="39">
        <f t="shared" si="13"/>
        <v>188459.32713692801</v>
      </c>
      <c r="H291" s="39">
        <f t="shared" si="13"/>
        <v>33999.35573080735</v>
      </c>
      <c r="I291" s="39">
        <f t="shared" si="13"/>
        <v>40535.735448207532</v>
      </c>
      <c r="J291" s="39">
        <f t="shared" si="13"/>
        <v>20229.08563893909</v>
      </c>
      <c r="K291" s="39">
        <f t="shared" si="13"/>
        <v>0</v>
      </c>
      <c r="L291" s="38">
        <f t="shared" si="13"/>
        <v>589757.32502384158</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31754.673704575929</v>
      </c>
      <c r="G296" s="18">
        <v>16039.846947828619</v>
      </c>
      <c r="H296" s="18">
        <v>1195.8490229087731</v>
      </c>
      <c r="I296" s="18">
        <v>28388.64944132906</v>
      </c>
      <c r="J296" s="18">
        <v>7868.9878416788106</v>
      </c>
      <c r="K296" s="18">
        <v>798.53</v>
      </c>
      <c r="L296" s="13">
        <f>SUM(F296:K296)</f>
        <v>86046.536958321201</v>
      </c>
      <c r="M296" s="8"/>
      <c r="N296" s="164"/>
    </row>
    <row r="297" spans="1:14" s="3" customFormat="1" ht="12.2" customHeight="1" x14ac:dyDescent="0.15">
      <c r="A297" s="1" t="s">
        <v>439</v>
      </c>
      <c r="B297" s="2" t="s">
        <v>358</v>
      </c>
      <c r="C297" s="2" t="s">
        <v>291</v>
      </c>
      <c r="D297" s="2" t="s">
        <v>431</v>
      </c>
      <c r="E297" s="6">
        <v>1200</v>
      </c>
      <c r="F297" s="18">
        <v>56911.131430953079</v>
      </c>
      <c r="G297" s="18">
        <v>42080.136971495202</v>
      </c>
      <c r="H297" s="18">
        <v>0</v>
      </c>
      <c r="I297" s="18">
        <v>0</v>
      </c>
      <c r="J297" s="18">
        <v>0</v>
      </c>
      <c r="K297" s="18">
        <v>0</v>
      </c>
      <c r="L297" s="13">
        <f>SUM(F297:K297)</f>
        <v>98991.268402448273</v>
      </c>
      <c r="M297" s="8"/>
      <c r="N297" s="1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4"/>
    </row>
    <row r="299" spans="1:14" s="3" customFormat="1" ht="12.2" customHeight="1" x14ac:dyDescent="0.15">
      <c r="A299" s="1" t="s">
        <v>441</v>
      </c>
      <c r="B299" s="2" t="s">
        <v>358</v>
      </c>
      <c r="C299" s="2" t="s">
        <v>293</v>
      </c>
      <c r="D299" s="2" t="s">
        <v>431</v>
      </c>
      <c r="E299" s="6">
        <v>1400</v>
      </c>
      <c r="F299" s="18">
        <v>2288.6815598950748</v>
      </c>
      <c r="G299" s="18">
        <v>508.69010352666868</v>
      </c>
      <c r="H299" s="18">
        <v>979.56896753133208</v>
      </c>
      <c r="I299" s="18">
        <v>144.80862792188867</v>
      </c>
      <c r="J299" s="18">
        <v>0</v>
      </c>
      <c r="K299" s="18">
        <v>0</v>
      </c>
      <c r="L299" s="13">
        <f>SUM(F299:K299)</f>
        <v>3921.7492588749642</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38223.798311396095</v>
      </c>
      <c r="G301" s="18">
        <v>28404.660328417376</v>
      </c>
      <c r="H301" s="18">
        <v>1581.3511700378897</v>
      </c>
      <c r="I301" s="18">
        <v>2270.0707674730402</v>
      </c>
      <c r="J301" s="18">
        <v>0</v>
      </c>
      <c r="K301" s="18">
        <v>0</v>
      </c>
      <c r="L301" s="13">
        <f t="shared" ref="L301:L307" si="14">SUM(F301:K301)</f>
        <v>70479.880577324395</v>
      </c>
      <c r="M301" s="8"/>
      <c r="N301" s="164"/>
    </row>
    <row r="302" spans="1:14" s="3" customFormat="1" ht="12.2" customHeight="1" x14ac:dyDescent="0.15">
      <c r="A302" s="1" t="s">
        <v>443</v>
      </c>
      <c r="B302" s="2" t="s">
        <v>358</v>
      </c>
      <c r="C302" s="2" t="s">
        <v>295</v>
      </c>
      <c r="D302" s="2" t="s">
        <v>431</v>
      </c>
      <c r="E302" s="6">
        <v>2200</v>
      </c>
      <c r="F302" s="18">
        <v>3928.4642815505686</v>
      </c>
      <c r="G302" s="18">
        <v>1027.5246143981346</v>
      </c>
      <c r="H302" s="18">
        <v>7969.8518343340129</v>
      </c>
      <c r="I302" s="18">
        <v>42.557812999125623</v>
      </c>
      <c r="J302" s="18">
        <v>0</v>
      </c>
      <c r="K302" s="18">
        <v>0</v>
      </c>
      <c r="L302" s="13">
        <f t="shared" si="14"/>
        <v>12968.398543281843</v>
      </c>
      <c r="M302" s="8"/>
      <c r="N302" s="164"/>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4"/>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4"/>
    </row>
    <row r="306" spans="1:14" s="3" customFormat="1" ht="12.2" customHeight="1" x14ac:dyDescent="0.15">
      <c r="A306" s="1" t="s">
        <v>447</v>
      </c>
      <c r="B306" s="2" t="s">
        <v>358</v>
      </c>
      <c r="C306" s="2" t="s">
        <v>299</v>
      </c>
      <c r="D306" s="2" t="s">
        <v>431</v>
      </c>
      <c r="E306" s="6">
        <v>2600</v>
      </c>
      <c r="F306" s="18">
        <v>0</v>
      </c>
      <c r="G306" s="18">
        <v>0</v>
      </c>
      <c r="H306" s="18">
        <v>9385.683122588167</v>
      </c>
      <c r="I306" s="18">
        <v>775.93861847857772</v>
      </c>
      <c r="J306" s="18">
        <v>14470.008452346256</v>
      </c>
      <c r="K306" s="18">
        <v>0</v>
      </c>
      <c r="L306" s="13">
        <f t="shared" si="14"/>
        <v>24631.630193413002</v>
      </c>
      <c r="M306" s="8"/>
      <c r="N306" s="164"/>
    </row>
    <row r="307" spans="1:14" s="3" customFormat="1" ht="12.2" customHeight="1" x14ac:dyDescent="0.15">
      <c r="A307" s="1" t="s">
        <v>448</v>
      </c>
      <c r="B307" s="2" t="s">
        <v>358</v>
      </c>
      <c r="C307" s="2" t="s">
        <v>300</v>
      </c>
      <c r="D307" s="2" t="s">
        <v>431</v>
      </c>
      <c r="E307" s="6">
        <v>2700</v>
      </c>
      <c r="F307" s="18">
        <v>0</v>
      </c>
      <c r="G307" s="18">
        <v>0</v>
      </c>
      <c r="H307" s="18">
        <v>981.00494456426702</v>
      </c>
      <c r="I307" s="18">
        <v>0</v>
      </c>
      <c r="J307" s="18">
        <v>0</v>
      </c>
      <c r="K307" s="18">
        <v>0</v>
      </c>
      <c r="L307" s="13">
        <f t="shared" si="14"/>
        <v>981.00494456426702</v>
      </c>
      <c r="M307" s="8"/>
      <c r="N307" s="164"/>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133106.74928837075</v>
      </c>
      <c r="G310" s="39">
        <f t="shared" si="15"/>
        <v>88060.858965666004</v>
      </c>
      <c r="H310" s="39">
        <f t="shared" si="15"/>
        <v>22093.309061964443</v>
      </c>
      <c r="I310" s="39">
        <f t="shared" si="15"/>
        <v>31622.025268201691</v>
      </c>
      <c r="J310" s="39">
        <f t="shared" si="15"/>
        <v>22338.996294025066</v>
      </c>
      <c r="K310" s="39">
        <f t="shared" si="15"/>
        <v>798.53</v>
      </c>
      <c r="L310" s="38">
        <f t="shared" si="15"/>
        <v>298020.46887822793</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33448.057168172549</v>
      </c>
      <c r="G315" s="18">
        <v>16148.00814631303</v>
      </c>
      <c r="H315" s="18">
        <v>1238.2405234625476</v>
      </c>
      <c r="I315" s="18">
        <v>39986.593926552028</v>
      </c>
      <c r="J315" s="18">
        <v>269.20411774992715</v>
      </c>
      <c r="K315" s="18">
        <v>618.53</v>
      </c>
      <c r="L315" s="13">
        <f>SUM(F315:K315)</f>
        <v>91708.633882250084</v>
      </c>
      <c r="M315" s="8"/>
      <c r="N315" s="164"/>
    </row>
    <row r="316" spans="1:14" s="3" customFormat="1" ht="12.2" customHeight="1" x14ac:dyDescent="0.15">
      <c r="A316" s="1" t="s">
        <v>439</v>
      </c>
      <c r="B316" s="2" t="s">
        <v>359</v>
      </c>
      <c r="C316" s="2" t="s">
        <v>291</v>
      </c>
      <c r="D316" s="2" t="s">
        <v>431</v>
      </c>
      <c r="E316" s="6">
        <v>1200</v>
      </c>
      <c r="F316" s="18">
        <v>58928.566921014288</v>
      </c>
      <c r="G316" s="18">
        <v>43571.830417371035</v>
      </c>
      <c r="H316" s="18">
        <v>0</v>
      </c>
      <c r="I316" s="18">
        <v>0</v>
      </c>
      <c r="J316" s="18">
        <v>0</v>
      </c>
      <c r="K316" s="18">
        <v>0</v>
      </c>
      <c r="L316" s="13">
        <f>SUM(F316:K316)</f>
        <v>102500.39733838532</v>
      </c>
      <c r="M316" s="8"/>
      <c r="N316" s="164"/>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4"/>
    </row>
    <row r="318" spans="1:14" s="3" customFormat="1" ht="12.2" customHeight="1" x14ac:dyDescent="0.15">
      <c r="A318" s="1" t="s">
        <v>441</v>
      </c>
      <c r="B318" s="2" t="s">
        <v>359</v>
      </c>
      <c r="C318" s="2" t="s">
        <v>293</v>
      </c>
      <c r="D318" s="2" t="s">
        <v>431</v>
      </c>
      <c r="E318" s="6">
        <v>1400</v>
      </c>
      <c r="F318" s="18">
        <v>3369.8127426406299</v>
      </c>
      <c r="G318" s="18">
        <v>603.22259457884002</v>
      </c>
      <c r="H318" s="18">
        <v>1509.2935837948121</v>
      </c>
      <c r="I318" s="18">
        <v>4124.3119306324688</v>
      </c>
      <c r="J318" s="18">
        <v>0</v>
      </c>
      <c r="K318" s="18">
        <v>0</v>
      </c>
      <c r="L318" s="13">
        <f>SUM(F318:K318)</f>
        <v>9606.6408516467509</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39578.788896531623</v>
      </c>
      <c r="G320" s="18">
        <v>29411.573534829502</v>
      </c>
      <c r="H320" s="18">
        <v>1637.4082873797729</v>
      </c>
      <c r="I320" s="18">
        <v>2350.542218595162</v>
      </c>
      <c r="J320" s="18">
        <v>0</v>
      </c>
      <c r="K320" s="18">
        <v>0</v>
      </c>
      <c r="L320" s="13">
        <f t="shared" ref="L320:L326" si="16">SUM(F320:K320)</f>
        <v>72978.312937336057</v>
      </c>
      <c r="M320" s="8"/>
      <c r="N320" s="164"/>
    </row>
    <row r="321" spans="1:14" s="3" customFormat="1" ht="12.2" customHeight="1" x14ac:dyDescent="0.15">
      <c r="A321" s="1" t="s">
        <v>443</v>
      </c>
      <c r="B321" s="2" t="s">
        <v>359</v>
      </c>
      <c r="C321" s="2" t="s">
        <v>295</v>
      </c>
      <c r="D321" s="2" t="s">
        <v>431</v>
      </c>
      <c r="E321" s="6">
        <v>2200</v>
      </c>
      <c r="F321" s="18">
        <v>4067.7239143106967</v>
      </c>
      <c r="G321" s="18">
        <v>1063.9492043136113</v>
      </c>
      <c r="H321" s="18">
        <v>8252.3741025939962</v>
      </c>
      <c r="I321" s="18">
        <v>44.066439522005247</v>
      </c>
      <c r="J321" s="18">
        <v>0</v>
      </c>
      <c r="K321" s="18">
        <v>0</v>
      </c>
      <c r="L321" s="13">
        <f t="shared" si="16"/>
        <v>13428.11366074031</v>
      </c>
      <c r="M321" s="8"/>
      <c r="N321" s="164"/>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3">
        <f t="shared" si="16"/>
        <v>0</v>
      </c>
      <c r="M322" s="8"/>
      <c r="N322" s="164"/>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4"/>
    </row>
    <row r="325" spans="1:14" s="3" customFormat="1" ht="12.2" customHeight="1" x14ac:dyDescent="0.15">
      <c r="A325" s="1" t="s">
        <v>447</v>
      </c>
      <c r="B325" s="2" t="s">
        <v>359</v>
      </c>
      <c r="C325" s="2" t="s">
        <v>299</v>
      </c>
      <c r="D325" s="2" t="s">
        <v>431</v>
      </c>
      <c r="E325" s="6">
        <v>2600</v>
      </c>
      <c r="F325" s="18">
        <v>0</v>
      </c>
      <c r="G325" s="18">
        <v>0</v>
      </c>
      <c r="H325" s="18">
        <v>9718.3950148644726</v>
      </c>
      <c r="I325" s="18">
        <v>803.44476828912866</v>
      </c>
      <c r="J325" s="18">
        <v>14982.953949285924</v>
      </c>
      <c r="K325" s="18">
        <v>0</v>
      </c>
      <c r="L325" s="13">
        <f t="shared" si="16"/>
        <v>25504.793732439524</v>
      </c>
      <c r="M325" s="8"/>
      <c r="N325" s="164"/>
    </row>
    <row r="326" spans="1:14" s="3" customFormat="1" ht="12.2" customHeight="1" x14ac:dyDescent="0.15">
      <c r="A326" s="1" t="s">
        <v>448</v>
      </c>
      <c r="B326" s="2" t="s">
        <v>359</v>
      </c>
      <c r="C326" s="2" t="s">
        <v>300</v>
      </c>
      <c r="D326" s="2" t="s">
        <v>431</v>
      </c>
      <c r="E326" s="6">
        <v>2700</v>
      </c>
      <c r="F326" s="18">
        <v>0</v>
      </c>
      <c r="G326" s="18">
        <v>0</v>
      </c>
      <c r="H326" s="18">
        <v>757.95369513261448</v>
      </c>
      <c r="I326" s="18">
        <v>0</v>
      </c>
      <c r="J326" s="18">
        <v>0</v>
      </c>
      <c r="K326" s="18">
        <v>0</v>
      </c>
      <c r="L326" s="13">
        <f t="shared" si="16"/>
        <v>757.95369513261448</v>
      </c>
      <c r="M326" s="8"/>
      <c r="N326" s="164"/>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139392.94964266976</v>
      </c>
      <c r="G329" s="39">
        <f t="shared" si="17"/>
        <v>90798.583897406017</v>
      </c>
      <c r="H329" s="39">
        <f t="shared" si="17"/>
        <v>23113.665207228216</v>
      </c>
      <c r="I329" s="39">
        <f t="shared" si="17"/>
        <v>47308.95928359079</v>
      </c>
      <c r="J329" s="39">
        <f t="shared" si="17"/>
        <v>15252.158067035851</v>
      </c>
      <c r="K329" s="39">
        <f t="shared" si="17"/>
        <v>618.53</v>
      </c>
      <c r="L329" s="38">
        <f t="shared" si="17"/>
        <v>316484.84609793068</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3">
        <f t="shared" ref="L333:L338" si="18">SUM(F333:K333)</f>
        <v>0</v>
      </c>
      <c r="M333" s="8"/>
      <c r="N333" s="164"/>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3">
        <f t="shared" si="18"/>
        <v>0</v>
      </c>
      <c r="M334" s="8"/>
      <c r="N334" s="164"/>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4"/>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8"/>
        <v>0</v>
      </c>
      <c r="M336" s="8"/>
      <c r="N336" s="164"/>
    </row>
    <row r="337" spans="1:43" s="3" customFormat="1" ht="12.2" customHeight="1" thickBot="1" x14ac:dyDescent="0.2">
      <c r="A337" s="1" t="s">
        <v>584</v>
      </c>
      <c r="B337" s="6">
        <v>14</v>
      </c>
      <c r="C337" s="6">
        <v>5</v>
      </c>
      <c r="D337" s="2" t="s">
        <v>431</v>
      </c>
      <c r="E337" s="6">
        <v>4000</v>
      </c>
      <c r="F337" s="18">
        <v>0</v>
      </c>
      <c r="G337" s="18">
        <v>0</v>
      </c>
      <c r="H337" s="18">
        <v>0</v>
      </c>
      <c r="I337" s="18">
        <v>0</v>
      </c>
      <c r="J337" s="18">
        <v>0</v>
      </c>
      <c r="K337" s="18">
        <v>0</v>
      </c>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579033.52</v>
      </c>
      <c r="G339" s="38">
        <f t="shared" si="20"/>
        <v>367318.77</v>
      </c>
      <c r="H339" s="38">
        <f t="shared" si="20"/>
        <v>79206.330000000016</v>
      </c>
      <c r="I339" s="38">
        <f t="shared" si="20"/>
        <v>119466.72</v>
      </c>
      <c r="J339" s="38">
        <f t="shared" si="20"/>
        <v>57820.240000000005</v>
      </c>
      <c r="K339" s="38">
        <f t="shared" si="20"/>
        <v>1417.06</v>
      </c>
      <c r="L339" s="38">
        <f t="shared" si="20"/>
        <v>1204262.6400000001</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v>0</v>
      </c>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v>0</v>
      </c>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91474.45</v>
      </c>
      <c r="L345" s="13">
        <f t="shared" ref="L345:L351" si="21">SUM(F345:K345)</f>
        <v>91474.45</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v>0</v>
      </c>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v>0</v>
      </c>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v>0</v>
      </c>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v>0</v>
      </c>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v>0</v>
      </c>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91474.45</v>
      </c>
      <c r="L352" s="38">
        <f>SUM(L342:L351)</f>
        <v>91474.45</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579033.52</v>
      </c>
      <c r="G353" s="38">
        <f>G339</f>
        <v>367318.77</v>
      </c>
      <c r="H353" s="38">
        <f>H339</f>
        <v>79206.330000000016</v>
      </c>
      <c r="I353" s="38">
        <f>I339</f>
        <v>119466.72</v>
      </c>
      <c r="J353" s="38">
        <f>J339</f>
        <v>57820.240000000005</v>
      </c>
      <c r="K353" s="38">
        <f>K339+K352</f>
        <v>92891.51</v>
      </c>
      <c r="L353" s="38">
        <f>L339+L352</f>
        <v>1295737.0900000001</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0</v>
      </c>
      <c r="G359" s="18">
        <v>0</v>
      </c>
      <c r="H359" s="18">
        <f>(445639.09+6161.23+37277.44)/3</f>
        <v>163025.92000000001</v>
      </c>
      <c r="I359" s="18">
        <v>0</v>
      </c>
      <c r="J359" s="18">
        <v>0</v>
      </c>
      <c r="K359" s="18">
        <v>0</v>
      </c>
      <c r="L359" s="13">
        <f>SUM(F359:K359)</f>
        <v>163025.92000000001</v>
      </c>
      <c r="M359" s="8"/>
      <c r="N359" s="164"/>
    </row>
    <row r="360" spans="1:22" s="3" customFormat="1" ht="12.2" customHeight="1" x14ac:dyDescent="0.15">
      <c r="A360" s="1" t="s">
        <v>542</v>
      </c>
      <c r="B360" s="2" t="s">
        <v>366</v>
      </c>
      <c r="C360" s="6">
        <v>2</v>
      </c>
      <c r="D360" s="2" t="s">
        <v>431</v>
      </c>
      <c r="E360" s="6"/>
      <c r="F360" s="18">
        <v>0</v>
      </c>
      <c r="G360" s="18">
        <v>0</v>
      </c>
      <c r="H360" s="18">
        <f>(445639.09+6161.23+37277.44)/3</f>
        <v>163025.92000000001</v>
      </c>
      <c r="I360" s="18">
        <v>0</v>
      </c>
      <c r="J360" s="18">
        <v>0</v>
      </c>
      <c r="K360" s="18">
        <v>0</v>
      </c>
      <c r="L360" s="13">
        <f>SUM(F360:K360)</f>
        <v>163025.92000000001</v>
      </c>
      <c r="M360" s="8"/>
      <c r="N360" s="164"/>
    </row>
    <row r="361" spans="1:22" s="3" customFormat="1" ht="12.2" customHeight="1" x14ac:dyDescent="0.15">
      <c r="A361" s="3" t="s">
        <v>543</v>
      </c>
      <c r="B361" s="2" t="s">
        <v>366</v>
      </c>
      <c r="C361" s="6">
        <v>3</v>
      </c>
      <c r="D361" s="2" t="s">
        <v>431</v>
      </c>
      <c r="E361" s="6"/>
      <c r="F361" s="18">
        <v>0</v>
      </c>
      <c r="G361" s="18">
        <v>0</v>
      </c>
      <c r="H361" s="18">
        <f>(445639.09+6161.23+37277.44)/3</f>
        <v>163025.92000000001</v>
      </c>
      <c r="I361" s="18">
        <v>0</v>
      </c>
      <c r="J361" s="18">
        <v>0</v>
      </c>
      <c r="K361" s="18">
        <v>0</v>
      </c>
      <c r="L361" s="13">
        <f>SUM(F361:K361)</f>
        <v>163025.92000000001</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v>0</v>
      </c>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489077.76000000001</v>
      </c>
      <c r="I363" s="38">
        <f t="shared" si="22"/>
        <v>0</v>
      </c>
      <c r="J363" s="38">
        <f t="shared" si="22"/>
        <v>0</v>
      </c>
      <c r="K363" s="38">
        <f t="shared" si="22"/>
        <v>0</v>
      </c>
      <c r="L363" s="38">
        <f t="shared" si="22"/>
        <v>489077.76000000001</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0</v>
      </c>
      <c r="G368" s="18">
        <v>0</v>
      </c>
      <c r="H368" s="18">
        <v>0</v>
      </c>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0</v>
      </c>
      <c r="G369" s="53">
        <v>0</v>
      </c>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164"/>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164"/>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164"/>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164"/>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164"/>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164"/>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v>0</v>
      </c>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v>0</v>
      </c>
      <c r="G388" s="18">
        <v>0</v>
      </c>
      <c r="H388" s="18">
        <v>0</v>
      </c>
      <c r="I388" s="18">
        <v>0</v>
      </c>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v>0</v>
      </c>
      <c r="G389" s="18">
        <v>0</v>
      </c>
      <c r="H389" s="18">
        <v>0</v>
      </c>
      <c r="I389" s="18">
        <v>0</v>
      </c>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v>0</v>
      </c>
      <c r="G390" s="18">
        <v>0</v>
      </c>
      <c r="H390" s="18">
        <v>0</v>
      </c>
      <c r="I390" s="18">
        <v>0</v>
      </c>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v>0</v>
      </c>
      <c r="G391" s="18">
        <v>0</v>
      </c>
      <c r="H391" s="18">
        <v>0</v>
      </c>
      <c r="I391" s="18">
        <v>0</v>
      </c>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v>0</v>
      </c>
      <c r="G392" s="18">
        <v>0</v>
      </c>
      <c r="H392" s="18">
        <v>0</v>
      </c>
      <c r="I392" s="18">
        <v>0</v>
      </c>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v>0</v>
      </c>
      <c r="G393" s="18">
        <v>60000</v>
      </c>
      <c r="H393" s="18">
        <v>0</v>
      </c>
      <c r="I393" s="18">
        <v>0</v>
      </c>
      <c r="J393" s="23" t="s">
        <v>288</v>
      </c>
      <c r="K393" s="23" t="s">
        <v>288</v>
      </c>
      <c r="L393" s="13">
        <f t="shared" si="25"/>
        <v>60000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60000</v>
      </c>
      <c r="H394" s="97">
        <f>SUM(H388:H393)</f>
        <v>0</v>
      </c>
      <c r="I394" s="54">
        <f>SUM(I388:I393)</f>
        <v>0</v>
      </c>
      <c r="J394" s="42" t="s">
        <v>288</v>
      </c>
      <c r="K394" s="42" t="s">
        <v>288</v>
      </c>
      <c r="L394" s="38">
        <f>SUM(L388:L393)</f>
        <v>60000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v>0</v>
      </c>
      <c r="G396" s="18">
        <v>0</v>
      </c>
      <c r="H396" s="18">
        <v>0</v>
      </c>
      <c r="I396" s="18">
        <v>0</v>
      </c>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v>0</v>
      </c>
      <c r="G397" s="18">
        <v>0</v>
      </c>
      <c r="H397" s="18">
        <v>0</v>
      </c>
      <c r="I397" s="18">
        <v>0</v>
      </c>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v>0</v>
      </c>
      <c r="G398" s="18">
        <v>0</v>
      </c>
      <c r="H398" s="18">
        <v>0</v>
      </c>
      <c r="I398" s="18">
        <v>0</v>
      </c>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v>0</v>
      </c>
      <c r="G399" s="18">
        <v>0</v>
      </c>
      <c r="H399" s="18">
        <v>0</v>
      </c>
      <c r="I399" s="18">
        <v>0</v>
      </c>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v>0</v>
      </c>
      <c r="G400" s="18">
        <v>0</v>
      </c>
      <c r="H400" s="18">
        <v>0</v>
      </c>
      <c r="I400" s="18">
        <v>0</v>
      </c>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v>0</v>
      </c>
      <c r="G401" s="18">
        <v>0</v>
      </c>
      <c r="H401" s="18">
        <v>0</v>
      </c>
      <c r="I401" s="18">
        <v>0</v>
      </c>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v>0</v>
      </c>
      <c r="G404" s="18">
        <v>0</v>
      </c>
      <c r="H404" s="18">
        <v>0</v>
      </c>
      <c r="I404" s="18">
        <v>0</v>
      </c>
      <c r="J404" s="23" t="s">
        <v>288</v>
      </c>
      <c r="K404" s="23" t="s">
        <v>288</v>
      </c>
      <c r="L404" s="13">
        <f>SUM(F404:K404)</f>
        <v>0</v>
      </c>
      <c r="M404" s="8"/>
      <c r="N404" s="164"/>
    </row>
    <row r="405" spans="1:21" s="3" customFormat="1" ht="12.2" customHeight="1" x14ac:dyDescent="0.15">
      <c r="A405" s="82"/>
      <c r="B405" s="2" t="s">
        <v>381</v>
      </c>
      <c r="C405" s="6">
        <v>16</v>
      </c>
      <c r="D405" s="2" t="s">
        <v>432</v>
      </c>
      <c r="E405" s="6"/>
      <c r="F405" s="18">
        <v>0</v>
      </c>
      <c r="G405" s="18">
        <v>0</v>
      </c>
      <c r="H405" s="18">
        <v>0</v>
      </c>
      <c r="I405" s="18">
        <v>0</v>
      </c>
      <c r="J405" s="23" t="s">
        <v>288</v>
      </c>
      <c r="K405" s="23" t="s">
        <v>288</v>
      </c>
      <c r="L405" s="13">
        <f>SUM(F405:K405)</f>
        <v>0</v>
      </c>
      <c r="M405" s="8"/>
      <c r="N405" s="164"/>
    </row>
    <row r="406" spans="1:21" s="3" customFormat="1" ht="12.2" customHeight="1" x14ac:dyDescent="0.15">
      <c r="A406" s="82"/>
      <c r="B406" s="2" t="s">
        <v>381</v>
      </c>
      <c r="C406" s="6">
        <v>17</v>
      </c>
      <c r="D406" s="2" t="s">
        <v>432</v>
      </c>
      <c r="E406" s="6"/>
      <c r="F406" s="18">
        <v>0</v>
      </c>
      <c r="G406" s="18">
        <v>0</v>
      </c>
      <c r="H406" s="18">
        <v>0</v>
      </c>
      <c r="I406" s="18">
        <v>0</v>
      </c>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v>0</v>
      </c>
      <c r="G407" s="18">
        <v>0</v>
      </c>
      <c r="H407" s="18">
        <v>0</v>
      </c>
      <c r="I407" s="18">
        <v>0</v>
      </c>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60000</v>
      </c>
      <c r="H409" s="38">
        <f>H394+H402+H408</f>
        <v>0</v>
      </c>
      <c r="I409" s="38">
        <f>I394+I402+I408</f>
        <v>0</v>
      </c>
      <c r="J409" s="23" t="s">
        <v>288</v>
      </c>
      <c r="K409" s="23" t="s">
        <v>288</v>
      </c>
      <c r="L409" s="38">
        <f>L394+L402+L408</f>
        <v>60000</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v>0</v>
      </c>
      <c r="G414" s="18">
        <v>0</v>
      </c>
      <c r="H414" s="18">
        <v>0</v>
      </c>
      <c r="I414" s="18">
        <v>0</v>
      </c>
      <c r="J414" s="18">
        <v>0</v>
      </c>
      <c r="K414" s="18">
        <v>0</v>
      </c>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v>0</v>
      </c>
      <c r="G415" s="18">
        <v>0</v>
      </c>
      <c r="H415" s="18">
        <v>0</v>
      </c>
      <c r="I415" s="18">
        <v>0</v>
      </c>
      <c r="J415" s="18">
        <v>0</v>
      </c>
      <c r="K415" s="18">
        <v>0</v>
      </c>
      <c r="L415" s="13">
        <f t="shared" si="27"/>
        <v>0</v>
      </c>
      <c r="N415" s="164"/>
    </row>
    <row r="416" spans="1:21" s="3" customFormat="1" ht="12.2" customHeight="1" x14ac:dyDescent="0.15">
      <c r="A416" s="62" t="s">
        <v>552</v>
      </c>
      <c r="B416" s="6">
        <v>17</v>
      </c>
      <c r="C416" s="6">
        <v>3</v>
      </c>
      <c r="D416" s="2" t="s">
        <v>432</v>
      </c>
      <c r="E416" s="6"/>
      <c r="F416" s="18">
        <v>0</v>
      </c>
      <c r="G416" s="18">
        <v>0</v>
      </c>
      <c r="H416" s="18">
        <v>0</v>
      </c>
      <c r="I416" s="18">
        <v>0</v>
      </c>
      <c r="J416" s="18">
        <v>0</v>
      </c>
      <c r="K416" s="18">
        <v>0</v>
      </c>
      <c r="L416" s="13">
        <f t="shared" si="27"/>
        <v>0</v>
      </c>
      <c r="M416" s="8"/>
      <c r="N416" s="164"/>
    </row>
    <row r="417" spans="1:21" s="3" customFormat="1" ht="12.2" customHeight="1" x14ac:dyDescent="0.15">
      <c r="A417" s="62" t="s">
        <v>553</v>
      </c>
      <c r="B417" s="6">
        <v>17</v>
      </c>
      <c r="C417" s="6">
        <v>4</v>
      </c>
      <c r="D417" s="2" t="s">
        <v>432</v>
      </c>
      <c r="E417" s="6"/>
      <c r="F417" s="18">
        <v>0</v>
      </c>
      <c r="G417" s="18">
        <v>0</v>
      </c>
      <c r="H417" s="18">
        <v>0</v>
      </c>
      <c r="I417" s="18">
        <v>0</v>
      </c>
      <c r="J417" s="18">
        <v>0</v>
      </c>
      <c r="K417" s="18">
        <v>0</v>
      </c>
      <c r="L417" s="13">
        <f t="shared" si="27"/>
        <v>0</v>
      </c>
      <c r="M417" s="8"/>
      <c r="N417" s="164"/>
    </row>
    <row r="418" spans="1:21" s="3" customFormat="1" ht="12.2" customHeight="1" x14ac:dyDescent="0.15">
      <c r="A418" s="62" t="s">
        <v>554</v>
      </c>
      <c r="B418" s="6">
        <v>17</v>
      </c>
      <c r="C418" s="6">
        <v>5</v>
      </c>
      <c r="D418" s="2" t="s">
        <v>432</v>
      </c>
      <c r="E418" s="6"/>
      <c r="F418" s="18">
        <v>0</v>
      </c>
      <c r="G418" s="18">
        <v>0</v>
      </c>
      <c r="H418" s="18">
        <v>0</v>
      </c>
      <c r="I418" s="18">
        <v>0</v>
      </c>
      <c r="J418" s="18">
        <v>0</v>
      </c>
      <c r="K418" s="18">
        <v>0</v>
      </c>
      <c r="L418" s="13">
        <f t="shared" si="27"/>
        <v>0</v>
      </c>
      <c r="M418" s="8"/>
      <c r="N418" s="164"/>
    </row>
    <row r="419" spans="1:21" s="3" customFormat="1" ht="12.2" customHeight="1" thickBot="1" x14ac:dyDescent="0.2">
      <c r="A419" s="62" t="s">
        <v>555</v>
      </c>
      <c r="B419" s="6">
        <v>17</v>
      </c>
      <c r="C419" s="6">
        <v>6</v>
      </c>
      <c r="D419" s="2" t="s">
        <v>432</v>
      </c>
      <c r="E419" s="6"/>
      <c r="F419" s="18">
        <v>0</v>
      </c>
      <c r="G419" s="18">
        <v>0</v>
      </c>
      <c r="H419" s="18">
        <v>57898.48</v>
      </c>
      <c r="I419" s="18">
        <v>0</v>
      </c>
      <c r="J419" s="18">
        <v>0</v>
      </c>
      <c r="K419" s="18">
        <v>0</v>
      </c>
      <c r="L419" s="13">
        <f t="shared" si="27"/>
        <v>57898.48</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57898.48</v>
      </c>
      <c r="I420" s="97">
        <f t="shared" si="28"/>
        <v>0</v>
      </c>
      <c r="J420" s="97">
        <f t="shared" si="28"/>
        <v>0</v>
      </c>
      <c r="K420" s="97">
        <f t="shared" si="28"/>
        <v>0</v>
      </c>
      <c r="L420" s="38">
        <f t="shared" si="28"/>
        <v>57898.48</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v>0</v>
      </c>
      <c r="G422" s="18">
        <v>0</v>
      </c>
      <c r="H422" s="18">
        <v>0</v>
      </c>
      <c r="I422" s="18">
        <v>0</v>
      </c>
      <c r="J422" s="18">
        <v>0</v>
      </c>
      <c r="K422" s="18">
        <v>0</v>
      </c>
      <c r="L422" s="13">
        <f t="shared" ref="L422:L427" si="29">SUM(F422:K422)</f>
        <v>0</v>
      </c>
      <c r="M422" s="8"/>
      <c r="N422" s="164"/>
    </row>
    <row r="423" spans="1:21" s="3" customFormat="1" ht="12.2" customHeight="1" x14ac:dyDescent="0.15">
      <c r="A423" s="62" t="s">
        <v>557</v>
      </c>
      <c r="B423" s="6">
        <v>17</v>
      </c>
      <c r="C423" s="6">
        <v>9</v>
      </c>
      <c r="D423" s="2" t="s">
        <v>432</v>
      </c>
      <c r="E423" s="6"/>
      <c r="F423" s="18">
        <v>0</v>
      </c>
      <c r="G423" s="18">
        <v>0</v>
      </c>
      <c r="H423" s="18">
        <v>0</v>
      </c>
      <c r="I423" s="18">
        <v>0</v>
      </c>
      <c r="J423" s="18">
        <v>0</v>
      </c>
      <c r="K423" s="18">
        <v>0</v>
      </c>
      <c r="L423" s="13">
        <f t="shared" si="29"/>
        <v>0</v>
      </c>
      <c r="M423" s="8"/>
      <c r="N423" s="164"/>
    </row>
    <row r="424" spans="1:21" s="3" customFormat="1" ht="12.2" customHeight="1" x14ac:dyDescent="0.15">
      <c r="A424" s="62" t="s">
        <v>515</v>
      </c>
      <c r="B424" s="6">
        <v>17</v>
      </c>
      <c r="C424" s="6">
        <v>10</v>
      </c>
      <c r="D424" s="2" t="s">
        <v>432</v>
      </c>
      <c r="E424" s="6"/>
      <c r="F424" s="18">
        <v>0</v>
      </c>
      <c r="G424" s="18">
        <v>0</v>
      </c>
      <c r="H424" s="18">
        <v>0</v>
      </c>
      <c r="I424" s="18">
        <v>0</v>
      </c>
      <c r="J424" s="18">
        <v>0</v>
      </c>
      <c r="K424" s="18">
        <v>0</v>
      </c>
      <c r="L424" s="13">
        <f t="shared" si="29"/>
        <v>0</v>
      </c>
      <c r="M424" s="8"/>
      <c r="N424" s="164"/>
    </row>
    <row r="425" spans="1:21" s="3" customFormat="1" ht="12.2" customHeight="1" x14ac:dyDescent="0.15">
      <c r="A425" s="62" t="s">
        <v>558</v>
      </c>
      <c r="B425" s="6">
        <v>17</v>
      </c>
      <c r="C425" s="6">
        <v>11</v>
      </c>
      <c r="D425" s="2" t="s">
        <v>432</v>
      </c>
      <c r="E425" s="6"/>
      <c r="F425" s="18">
        <v>0</v>
      </c>
      <c r="G425" s="18">
        <v>0</v>
      </c>
      <c r="H425" s="18">
        <v>0</v>
      </c>
      <c r="I425" s="18">
        <v>0</v>
      </c>
      <c r="J425" s="18">
        <v>0</v>
      </c>
      <c r="K425" s="18">
        <v>0</v>
      </c>
      <c r="L425" s="13">
        <f t="shared" si="29"/>
        <v>0</v>
      </c>
      <c r="M425" s="8"/>
      <c r="N425" s="164"/>
    </row>
    <row r="426" spans="1:21" s="3" customFormat="1" ht="12.2" customHeight="1" x14ac:dyDescent="0.15">
      <c r="A426" s="62" t="s">
        <v>559</v>
      </c>
      <c r="B426" s="6">
        <v>17</v>
      </c>
      <c r="C426" s="6">
        <v>12</v>
      </c>
      <c r="D426" s="2" t="s">
        <v>432</v>
      </c>
      <c r="E426" s="6"/>
      <c r="F426" s="18">
        <v>0</v>
      </c>
      <c r="G426" s="18">
        <v>0</v>
      </c>
      <c r="H426" s="18">
        <v>0</v>
      </c>
      <c r="I426" s="18">
        <v>0</v>
      </c>
      <c r="J426" s="18">
        <v>0</v>
      </c>
      <c r="K426" s="18">
        <v>0</v>
      </c>
      <c r="L426" s="13">
        <f t="shared" si="29"/>
        <v>0</v>
      </c>
      <c r="M426" s="8"/>
      <c r="N426" s="164"/>
    </row>
    <row r="427" spans="1:21" s="3" customFormat="1" ht="12.2" customHeight="1" thickBot="1" x14ac:dyDescent="0.2">
      <c r="A427" s="62" t="s">
        <v>510</v>
      </c>
      <c r="B427" s="6">
        <v>17</v>
      </c>
      <c r="C427" s="6">
        <v>13</v>
      </c>
      <c r="D427" s="2" t="s">
        <v>432</v>
      </c>
      <c r="E427" s="6"/>
      <c r="F427" s="18">
        <v>0</v>
      </c>
      <c r="G427" s="18">
        <v>0</v>
      </c>
      <c r="H427" s="18">
        <v>0</v>
      </c>
      <c r="I427" s="18">
        <v>0</v>
      </c>
      <c r="J427" s="18">
        <v>0</v>
      </c>
      <c r="K427" s="18">
        <v>0</v>
      </c>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v>0</v>
      </c>
      <c r="G430" s="18">
        <v>0</v>
      </c>
      <c r="H430" s="18">
        <v>0</v>
      </c>
      <c r="I430" s="18">
        <v>0</v>
      </c>
      <c r="J430" s="18">
        <v>0</v>
      </c>
      <c r="K430" s="18">
        <v>0</v>
      </c>
      <c r="L430" s="13">
        <f>SUM(F430:K430)</f>
        <v>0</v>
      </c>
      <c r="M430" s="8"/>
      <c r="N430" s="164"/>
    </row>
    <row r="431" spans="1:21" ht="12.2" customHeight="1" x14ac:dyDescent="0.2">
      <c r="A431" s="82"/>
      <c r="B431" s="6">
        <v>17</v>
      </c>
      <c r="C431" s="6">
        <v>16</v>
      </c>
      <c r="D431" s="2" t="s">
        <v>432</v>
      </c>
      <c r="E431" s="6"/>
      <c r="F431" s="18">
        <v>0</v>
      </c>
      <c r="G431" s="18">
        <v>0</v>
      </c>
      <c r="H431" s="18">
        <v>0</v>
      </c>
      <c r="I431" s="18">
        <v>0</v>
      </c>
      <c r="J431" s="18">
        <v>0</v>
      </c>
      <c r="K431" s="18">
        <v>0</v>
      </c>
      <c r="L431" s="13">
        <f>SUM(F431:K431)</f>
        <v>0</v>
      </c>
      <c r="N431" s="130"/>
    </row>
    <row r="432" spans="1:21" s="3" customFormat="1" ht="12.2" customHeight="1" x14ac:dyDescent="0.15">
      <c r="A432" s="82"/>
      <c r="B432" s="6">
        <v>17</v>
      </c>
      <c r="C432" s="6">
        <v>17</v>
      </c>
      <c r="D432" s="2" t="s">
        <v>432</v>
      </c>
      <c r="E432" s="6"/>
      <c r="F432" s="18">
        <v>0</v>
      </c>
      <c r="G432" s="18">
        <v>0</v>
      </c>
      <c r="H432" s="18">
        <v>0</v>
      </c>
      <c r="I432" s="18">
        <v>0</v>
      </c>
      <c r="J432" s="18">
        <v>0</v>
      </c>
      <c r="K432" s="18">
        <v>0</v>
      </c>
      <c r="L432" s="13">
        <f>SUM(F432:K432)</f>
        <v>0</v>
      </c>
      <c r="M432" s="8"/>
      <c r="N432" s="164"/>
    </row>
    <row r="433" spans="1:14" s="3" customFormat="1" ht="12.2" customHeight="1" thickBot="1" x14ac:dyDescent="0.2">
      <c r="A433" s="82"/>
      <c r="B433" s="6">
        <v>17</v>
      </c>
      <c r="C433" s="6">
        <v>18</v>
      </c>
      <c r="D433" s="2" t="s">
        <v>432</v>
      </c>
      <c r="E433" s="6"/>
      <c r="F433" s="18">
        <v>0</v>
      </c>
      <c r="G433" s="18">
        <v>0</v>
      </c>
      <c r="H433" s="18">
        <v>0</v>
      </c>
      <c r="I433" s="18">
        <v>0</v>
      </c>
      <c r="J433" s="18">
        <v>0</v>
      </c>
      <c r="K433" s="18">
        <v>0</v>
      </c>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57898.48</v>
      </c>
      <c r="I435" s="38">
        <f t="shared" si="32"/>
        <v>0</v>
      </c>
      <c r="J435" s="38">
        <f t="shared" si="32"/>
        <v>0</v>
      </c>
      <c r="K435" s="38">
        <f t="shared" si="32"/>
        <v>0</v>
      </c>
      <c r="L435" s="38">
        <f t="shared" si="32"/>
        <v>57898.48</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v>0</v>
      </c>
      <c r="G440" s="18">
        <v>0</v>
      </c>
      <c r="H440" s="18">
        <v>0</v>
      </c>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v>0</v>
      </c>
      <c r="G441" s="18">
        <v>0</v>
      </c>
      <c r="H441" s="18">
        <v>0</v>
      </c>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v>0</v>
      </c>
      <c r="G442" s="18">
        <v>0</v>
      </c>
      <c r="H442" s="18">
        <v>0</v>
      </c>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v>826366.66</v>
      </c>
      <c r="G443" s="18">
        <v>2331.17</v>
      </c>
      <c r="H443" s="18">
        <v>0</v>
      </c>
      <c r="I443" s="13">
        <f t="shared" si="33"/>
        <v>828697.83000000007</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v>0</v>
      </c>
      <c r="G444" s="18">
        <v>0</v>
      </c>
      <c r="H444" s="18">
        <v>0</v>
      </c>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v>0</v>
      </c>
      <c r="G445" s="18">
        <v>0</v>
      </c>
      <c r="H445" s="18">
        <v>0</v>
      </c>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v>0</v>
      </c>
      <c r="G446" s="18">
        <v>0</v>
      </c>
      <c r="H446" s="18">
        <v>0</v>
      </c>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826366.66</v>
      </c>
      <c r="G447" s="13">
        <f>SUM(G440:G446)</f>
        <v>2331.17</v>
      </c>
      <c r="H447" s="13">
        <f>SUM(H440:H446)</f>
        <v>0</v>
      </c>
      <c r="I447" s="13">
        <f>SUM(I440:I446)</f>
        <v>828697.83000000007</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v>0</v>
      </c>
      <c r="G449" s="18">
        <v>0</v>
      </c>
      <c r="H449" s="18">
        <v>0</v>
      </c>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v>0</v>
      </c>
      <c r="G450" s="18">
        <v>0</v>
      </c>
      <c r="H450" s="18">
        <v>0</v>
      </c>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v>0</v>
      </c>
      <c r="G451" s="18">
        <v>0</v>
      </c>
      <c r="H451" s="18">
        <v>0</v>
      </c>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v>0</v>
      </c>
      <c r="G452" s="18">
        <v>0</v>
      </c>
      <c r="H452" s="18">
        <v>0</v>
      </c>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v>0</v>
      </c>
      <c r="G455" s="18">
        <v>0</v>
      </c>
      <c r="H455" s="18">
        <v>0</v>
      </c>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v>0</v>
      </c>
      <c r="G456" s="18">
        <v>0</v>
      </c>
      <c r="H456" s="18">
        <v>0</v>
      </c>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v>0</v>
      </c>
      <c r="G457" s="18">
        <v>0</v>
      </c>
      <c r="H457" s="18">
        <v>0</v>
      </c>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v>0</v>
      </c>
      <c r="G458" s="18">
        <v>0</v>
      </c>
      <c r="H458" s="18">
        <v>0</v>
      </c>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v>0</v>
      </c>
      <c r="G459" s="18">
        <v>0</v>
      </c>
      <c r="H459" s="18">
        <v>0</v>
      </c>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826366.66</v>
      </c>
      <c r="G460" s="18">
        <v>2331.17</v>
      </c>
      <c r="H460" s="18">
        <v>0</v>
      </c>
      <c r="I460" s="13">
        <f t="shared" si="34"/>
        <v>828697.83000000007</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826366.66</v>
      </c>
      <c r="G461" s="65">
        <f>SUM(G455:G460)</f>
        <v>2331.17</v>
      </c>
      <c r="H461" s="65">
        <f>SUM(H455:H460)</f>
        <v>0</v>
      </c>
      <c r="I461" s="65">
        <f>SUM(I455:I460)</f>
        <v>828697.83000000007</v>
      </c>
      <c r="J461" s="23" t="s">
        <v>288</v>
      </c>
      <c r="K461" s="23" t="s">
        <v>288</v>
      </c>
      <c r="L461" s="23" t="s">
        <v>288</v>
      </c>
      <c r="N461" s="130"/>
    </row>
    <row r="462" spans="1:86" ht="12.2" customHeight="1" thickTop="1" x14ac:dyDescent="0.2">
      <c r="A462" s="40" t="s">
        <v>424</v>
      </c>
      <c r="B462" s="41">
        <v>18</v>
      </c>
      <c r="C462" s="64">
        <v>21</v>
      </c>
      <c r="D462" s="114" t="s">
        <v>432</v>
      </c>
      <c r="E462" s="64"/>
      <c r="F462" s="39">
        <f>F453+F461</f>
        <v>826366.66</v>
      </c>
      <c r="G462" s="39">
        <f>G453+G461</f>
        <v>2331.17</v>
      </c>
      <c r="H462" s="39">
        <f>H453+H461</f>
        <v>0</v>
      </c>
      <c r="I462" s="39">
        <f>I453+I461</f>
        <v>828697.83000000007</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1500149.91</v>
      </c>
      <c r="G466" s="18">
        <f>12392.58+7548.91</f>
        <v>19941.489999999998</v>
      </c>
      <c r="H466" s="18">
        <v>305.57</v>
      </c>
      <c r="I466" s="18">
        <v>0</v>
      </c>
      <c r="J466" s="18">
        <v>764169.02</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F194</f>
        <v>18944968.559999999</v>
      </c>
      <c r="G469" s="18">
        <f>G194</f>
        <v>458397.82999999996</v>
      </c>
      <c r="H469" s="18">
        <f>H194</f>
        <v>1295738.8299999998</v>
      </c>
      <c r="I469" s="18">
        <v>0</v>
      </c>
      <c r="J469" s="18">
        <v>60000</v>
      </c>
      <c r="K469" s="23" t="s">
        <v>288</v>
      </c>
      <c r="L469" s="23" t="s">
        <v>288</v>
      </c>
      <c r="N469" s="130"/>
    </row>
    <row r="470" spans="1:14" ht="12.2" customHeight="1" x14ac:dyDescent="0.2">
      <c r="A470" s="71" t="s">
        <v>611</v>
      </c>
      <c r="B470" s="22">
        <v>19</v>
      </c>
      <c r="C470" s="31">
        <v>3</v>
      </c>
      <c r="D470" s="2" t="s">
        <v>432</v>
      </c>
      <c r="E470" s="31"/>
      <c r="F470" s="18">
        <v>0</v>
      </c>
      <c r="G470" s="18">
        <v>20.58</v>
      </c>
      <c r="H470" s="18">
        <v>0</v>
      </c>
      <c r="I470" s="18">
        <v>0</v>
      </c>
      <c r="J470" s="18">
        <v>62427.29</v>
      </c>
      <c r="K470" s="23" t="s">
        <v>288</v>
      </c>
      <c r="L470" s="23" t="s">
        <v>288</v>
      </c>
      <c r="N470" s="130"/>
    </row>
    <row r="471" spans="1:14" ht="12.2" customHeight="1" x14ac:dyDescent="0.2">
      <c r="A471" s="32" t="s">
        <v>425</v>
      </c>
      <c r="B471" s="22">
        <v>19</v>
      </c>
      <c r="C471" s="31">
        <v>4</v>
      </c>
      <c r="D471" s="2" t="s">
        <v>432</v>
      </c>
      <c r="E471" s="31"/>
      <c r="F471" s="19">
        <f>SUM(F469:F470)</f>
        <v>18944968.559999999</v>
      </c>
      <c r="G471" s="19">
        <f>SUM(G469:G470)</f>
        <v>458418.41</v>
      </c>
      <c r="H471" s="19">
        <f>SUM(H469:H470)</f>
        <v>1295738.8299999998</v>
      </c>
      <c r="I471" s="19">
        <f>SUM(I469:I470)</f>
        <v>0</v>
      </c>
      <c r="J471" s="19">
        <f>SUM(J469:J470)</f>
        <v>122427.29000000001</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L272</f>
        <v>18951190.509999998</v>
      </c>
      <c r="G473" s="18">
        <f>L363</f>
        <v>489077.76000000001</v>
      </c>
      <c r="H473" s="18">
        <f>L353</f>
        <v>1295737.0900000001</v>
      </c>
      <c r="I473" s="18">
        <v>0</v>
      </c>
      <c r="J473" s="18">
        <v>57898.48</v>
      </c>
      <c r="K473" s="23" t="s">
        <v>288</v>
      </c>
      <c r="L473" s="23" t="s">
        <v>288</v>
      </c>
      <c r="N473" s="130"/>
    </row>
    <row r="474" spans="1:14" ht="12.2" customHeight="1" x14ac:dyDescent="0.2">
      <c r="A474" s="71" t="s">
        <v>613</v>
      </c>
      <c r="B474" s="22">
        <v>19</v>
      </c>
      <c r="C474" s="31">
        <v>6</v>
      </c>
      <c r="D474" s="2" t="s">
        <v>432</v>
      </c>
      <c r="E474" s="31"/>
      <c r="F474" s="18">
        <v>0</v>
      </c>
      <c r="G474" s="18">
        <f>-13180.49+2442.05</f>
        <v>-10738.439999999999</v>
      </c>
      <c r="H474" s="18">
        <v>0</v>
      </c>
      <c r="I474" s="18">
        <v>0</v>
      </c>
      <c r="J474" s="18">
        <v>0</v>
      </c>
      <c r="K474" s="23" t="s">
        <v>288</v>
      </c>
      <c r="L474" s="23" t="s">
        <v>288</v>
      </c>
      <c r="N474" s="130"/>
    </row>
    <row r="475" spans="1:14" ht="12.2" customHeight="1" x14ac:dyDescent="0.2">
      <c r="A475" s="32" t="s">
        <v>426</v>
      </c>
      <c r="B475" s="22">
        <v>19</v>
      </c>
      <c r="C475" s="31">
        <v>7</v>
      </c>
      <c r="D475" s="2" t="s">
        <v>432</v>
      </c>
      <c r="E475" s="31"/>
      <c r="F475" s="19">
        <f>SUM(F473:F474)</f>
        <v>18951190.509999998</v>
      </c>
      <c r="G475" s="19">
        <f>SUM(G473:G474)</f>
        <v>478339.32</v>
      </c>
      <c r="H475" s="19">
        <f>SUM(H473:H474)</f>
        <v>1295737.0900000001</v>
      </c>
      <c r="I475" s="19">
        <f>SUM(I473:I474)</f>
        <v>0</v>
      </c>
      <c r="J475" s="19">
        <f>SUM(J473:J474)</f>
        <v>57898.48</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1493927.9600000009</v>
      </c>
      <c r="G477" s="19">
        <f>(G466+G471)- G475</f>
        <v>20.57999999995809</v>
      </c>
      <c r="H477" s="19">
        <f>(H466+H471)- H475</f>
        <v>307.30999999982305</v>
      </c>
      <c r="I477" s="19">
        <f>(I466+I471)- I475</f>
        <v>0</v>
      </c>
      <c r="J477" s="19">
        <f>(J466+J471)- J475</f>
        <v>828697.83000000007</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t="s">
        <v>1845</v>
      </c>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317" t="s">
        <v>1840</v>
      </c>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16</v>
      </c>
      <c r="G491" s="111">
        <v>0</v>
      </c>
      <c r="H491" s="111">
        <v>0</v>
      </c>
      <c r="I491" s="111">
        <v>0</v>
      </c>
      <c r="J491" s="111">
        <v>0</v>
      </c>
      <c r="K491" s="23" t="s">
        <v>288</v>
      </c>
      <c r="L491" s="23" t="s">
        <v>288</v>
      </c>
      <c r="N491" s="130"/>
    </row>
    <row r="492" spans="1:14" ht="12.2" customHeight="1" x14ac:dyDescent="0.2">
      <c r="A492" s="21" t="s">
        <v>615</v>
      </c>
      <c r="B492" s="22">
        <v>20</v>
      </c>
      <c r="C492" s="22">
        <v>2</v>
      </c>
      <c r="D492" s="2" t="s">
        <v>432</v>
      </c>
      <c r="E492" s="22"/>
      <c r="F492" s="112" t="s">
        <v>1843</v>
      </c>
      <c r="G492" s="112" t="s">
        <v>1842</v>
      </c>
      <c r="H492" s="111">
        <v>0</v>
      </c>
      <c r="I492" s="111">
        <v>0</v>
      </c>
      <c r="J492" s="111">
        <v>0</v>
      </c>
      <c r="K492" s="23" t="s">
        <v>288</v>
      </c>
      <c r="L492" s="23" t="s">
        <v>288</v>
      </c>
      <c r="N492" s="130"/>
    </row>
    <row r="493" spans="1:14" ht="12.2" customHeight="1" x14ac:dyDescent="0.2">
      <c r="A493" s="21" t="s">
        <v>616</v>
      </c>
      <c r="B493" s="22">
        <v>20</v>
      </c>
      <c r="C493" s="22">
        <v>3</v>
      </c>
      <c r="D493" s="2" t="s">
        <v>432</v>
      </c>
      <c r="E493" s="22"/>
      <c r="F493" s="112" t="s">
        <v>1844</v>
      </c>
      <c r="G493" s="112" t="s">
        <v>1842</v>
      </c>
      <c r="H493" s="111">
        <v>0</v>
      </c>
      <c r="I493" s="111">
        <v>0</v>
      </c>
      <c r="J493" s="111">
        <v>0</v>
      </c>
      <c r="K493" s="23" t="s">
        <v>288</v>
      </c>
      <c r="L493" s="23" t="s">
        <v>288</v>
      </c>
      <c r="N493" s="130"/>
    </row>
    <row r="494" spans="1:14" ht="12.2" customHeight="1" x14ac:dyDescent="0.2">
      <c r="A494" s="21" t="s">
        <v>617</v>
      </c>
      <c r="B494" s="22">
        <v>20</v>
      </c>
      <c r="C494" s="22">
        <v>4</v>
      </c>
      <c r="D494" s="2" t="s">
        <v>432</v>
      </c>
      <c r="E494" s="22"/>
      <c r="F494" s="18">
        <v>23623315</v>
      </c>
      <c r="G494" s="18">
        <v>0</v>
      </c>
      <c r="H494" s="18">
        <v>0</v>
      </c>
      <c r="I494" s="18">
        <v>0</v>
      </c>
      <c r="J494" s="18">
        <v>0</v>
      </c>
      <c r="K494" s="23" t="s">
        <v>288</v>
      </c>
      <c r="L494" s="23" t="s">
        <v>288</v>
      </c>
      <c r="N494" s="130"/>
    </row>
    <row r="495" spans="1:14" ht="12.2" customHeight="1" x14ac:dyDescent="0.2">
      <c r="A495" s="21" t="s">
        <v>618</v>
      </c>
      <c r="B495" s="22">
        <v>20</v>
      </c>
      <c r="C495" s="22">
        <v>5</v>
      </c>
      <c r="D495" s="2" t="s">
        <v>432</v>
      </c>
      <c r="E495" s="22"/>
      <c r="F495" s="18">
        <v>5.39</v>
      </c>
      <c r="G495" s="18">
        <v>0</v>
      </c>
      <c r="H495" s="18">
        <v>0</v>
      </c>
      <c r="I495" s="18">
        <v>0</v>
      </c>
      <c r="J495" s="18">
        <v>0</v>
      </c>
      <c r="K495" s="23" t="s">
        <v>288</v>
      </c>
      <c r="L495" s="23" t="s">
        <v>288</v>
      </c>
      <c r="N495" s="130"/>
    </row>
    <row r="496" spans="1:14" ht="12.2" customHeight="1" x14ac:dyDescent="0.2">
      <c r="A496" s="21" t="s">
        <v>619</v>
      </c>
      <c r="B496" s="22">
        <v>20</v>
      </c>
      <c r="C496" s="22">
        <v>6</v>
      </c>
      <c r="D496" s="2" t="s">
        <v>432</v>
      </c>
      <c r="E496" s="22"/>
      <c r="F496" s="18">
        <v>5900000</v>
      </c>
      <c r="G496" s="18">
        <v>0</v>
      </c>
      <c r="H496" s="18">
        <v>0</v>
      </c>
      <c r="I496" s="18">
        <v>0</v>
      </c>
      <c r="J496" s="18">
        <v>0</v>
      </c>
      <c r="K496" s="19">
        <f>SUM(F496:J496)</f>
        <v>5900000</v>
      </c>
      <c r="L496" s="23" t="s">
        <v>288</v>
      </c>
      <c r="N496" s="130"/>
    </row>
    <row r="497" spans="1:14" ht="12.2" customHeight="1" x14ac:dyDescent="0.2">
      <c r="A497" s="21" t="s">
        <v>620</v>
      </c>
      <c r="B497" s="22">
        <v>20</v>
      </c>
      <c r="C497" s="22">
        <v>7</v>
      </c>
      <c r="D497" s="2" t="s">
        <v>432</v>
      </c>
      <c r="E497" s="22"/>
      <c r="F497" s="18">
        <v>0</v>
      </c>
      <c r="G497" s="18">
        <v>0</v>
      </c>
      <c r="H497" s="18">
        <v>0</v>
      </c>
      <c r="I497" s="18">
        <v>0</v>
      </c>
      <c r="J497" s="18">
        <v>0</v>
      </c>
      <c r="K497" s="19">
        <f t="shared" ref="K497:K504" si="35">SUM(F497:J497)</f>
        <v>0</v>
      </c>
      <c r="L497" s="23" t="s">
        <v>288</v>
      </c>
      <c r="N497" s="130"/>
    </row>
    <row r="498" spans="1:14" ht="12.2" customHeight="1" x14ac:dyDescent="0.2">
      <c r="A498" s="21" t="s">
        <v>621</v>
      </c>
      <c r="B498" s="22">
        <v>20</v>
      </c>
      <c r="C498" s="22">
        <v>8</v>
      </c>
      <c r="D498" s="2" t="s">
        <v>432</v>
      </c>
      <c r="E498" s="22"/>
      <c r="F498" s="18">
        <v>1475000</v>
      </c>
      <c r="G498" s="18">
        <v>0</v>
      </c>
      <c r="H498" s="18">
        <v>0</v>
      </c>
      <c r="I498" s="18">
        <v>0</v>
      </c>
      <c r="J498" s="18">
        <v>0</v>
      </c>
      <c r="K498" s="19">
        <f t="shared" si="35"/>
        <v>1475000</v>
      </c>
      <c r="L498" s="23" t="s">
        <v>288</v>
      </c>
      <c r="N498" s="130"/>
    </row>
    <row r="499" spans="1:14" ht="12.2" customHeight="1" x14ac:dyDescent="0.2">
      <c r="A499" s="143" t="s">
        <v>622</v>
      </c>
      <c r="B499" s="144">
        <v>20</v>
      </c>
      <c r="C499" s="144">
        <v>9</v>
      </c>
      <c r="D499" s="145" t="s">
        <v>432</v>
      </c>
      <c r="E499" s="144"/>
      <c r="F499" s="146">
        <f>5900000-1475000</f>
        <v>4425000</v>
      </c>
      <c r="G499" s="146">
        <v>0</v>
      </c>
      <c r="H499" s="146">
        <v>0</v>
      </c>
      <c r="I499" s="146">
        <v>0</v>
      </c>
      <c r="J499" s="146">
        <v>0</v>
      </c>
      <c r="K499" s="147">
        <f t="shared" si="35"/>
        <v>4425000</v>
      </c>
      <c r="L499" s="148" t="s">
        <v>288</v>
      </c>
      <c r="N499" s="130"/>
    </row>
    <row r="500" spans="1:14" ht="12.2" customHeight="1" thickBot="1" x14ac:dyDescent="0.25">
      <c r="A500" s="21" t="s">
        <v>623</v>
      </c>
      <c r="B500" s="22">
        <v>20</v>
      </c>
      <c r="C500" s="22">
        <v>10</v>
      </c>
      <c r="D500" s="2" t="s">
        <v>432</v>
      </c>
      <c r="E500" s="22"/>
      <c r="F500" s="18">
        <v>357761.25</v>
      </c>
      <c r="G500" s="18">
        <v>0</v>
      </c>
      <c r="H500" s="18">
        <v>0</v>
      </c>
      <c r="I500" s="18">
        <v>0</v>
      </c>
      <c r="J500" s="18">
        <v>0</v>
      </c>
      <c r="K500" s="19">
        <f t="shared" si="35"/>
        <v>357761.25</v>
      </c>
      <c r="L500" s="23" t="s">
        <v>288</v>
      </c>
      <c r="N500" s="130"/>
    </row>
    <row r="501" spans="1:14" ht="12.2" customHeight="1" thickTop="1" x14ac:dyDescent="0.2">
      <c r="A501" s="97" t="s">
        <v>624</v>
      </c>
      <c r="B501" s="41">
        <v>20</v>
      </c>
      <c r="C501" s="41">
        <v>11</v>
      </c>
      <c r="D501" s="36" t="s">
        <v>432</v>
      </c>
      <c r="E501" s="41"/>
      <c r="F501" s="39">
        <f>SUM(F499:F500)</f>
        <v>4782761.25</v>
      </c>
      <c r="G501" s="39">
        <f>SUM(G499:G500)</f>
        <v>0</v>
      </c>
      <c r="H501" s="39">
        <f>SUM(H499:H500)</f>
        <v>0</v>
      </c>
      <c r="I501" s="39">
        <f>SUM(I499:I500)</f>
        <v>0</v>
      </c>
      <c r="J501" s="39">
        <f>SUM(J499:J500)</f>
        <v>0</v>
      </c>
      <c r="K501" s="39">
        <f t="shared" si="35"/>
        <v>4782761.25</v>
      </c>
      <c r="L501" s="42" t="s">
        <v>288</v>
      </c>
      <c r="N501" s="130"/>
    </row>
    <row r="502" spans="1:14" ht="12.2" customHeight="1" x14ac:dyDescent="0.2">
      <c r="A502" s="143" t="s">
        <v>651</v>
      </c>
      <c r="B502" s="144">
        <v>20</v>
      </c>
      <c r="C502" s="144">
        <v>12</v>
      </c>
      <c r="D502" s="145" t="s">
        <v>432</v>
      </c>
      <c r="E502" s="144"/>
      <c r="F502" s="146">
        <v>1475000</v>
      </c>
      <c r="G502" s="146">
        <v>0</v>
      </c>
      <c r="H502" s="146">
        <v>0</v>
      </c>
      <c r="I502" s="146">
        <v>0</v>
      </c>
      <c r="J502" s="146">
        <v>0</v>
      </c>
      <c r="K502" s="147">
        <f t="shared" si="35"/>
        <v>1475000</v>
      </c>
      <c r="L502" s="148" t="s">
        <v>288</v>
      </c>
      <c r="N502" s="130"/>
    </row>
    <row r="503" spans="1:14" ht="12.2" customHeight="1" thickBot="1" x14ac:dyDescent="0.25">
      <c r="A503" s="21" t="s">
        <v>625</v>
      </c>
      <c r="B503" s="22">
        <v>20</v>
      </c>
      <c r="C503" s="22">
        <v>13</v>
      </c>
      <c r="D503" s="2" t="s">
        <v>432</v>
      </c>
      <c r="E503" s="22"/>
      <c r="F503" s="18">
        <v>198756.25</v>
      </c>
      <c r="G503" s="18">
        <v>0</v>
      </c>
      <c r="H503" s="18">
        <v>0</v>
      </c>
      <c r="I503" s="18">
        <v>0</v>
      </c>
      <c r="J503" s="18">
        <v>0</v>
      </c>
      <c r="K503" s="19">
        <f t="shared" si="35"/>
        <v>198756.25</v>
      </c>
      <c r="L503" s="23" t="s">
        <v>288</v>
      </c>
      <c r="N503" s="130"/>
    </row>
    <row r="504" spans="1:14" ht="12.2" customHeight="1" thickTop="1" x14ac:dyDescent="0.2">
      <c r="A504" s="97" t="s">
        <v>626</v>
      </c>
      <c r="B504" s="41">
        <v>20</v>
      </c>
      <c r="C504" s="41">
        <v>14</v>
      </c>
      <c r="D504" s="36" t="s">
        <v>432</v>
      </c>
      <c r="E504" s="41"/>
      <c r="F504" s="39">
        <f>SUM(F502:F503)</f>
        <v>1673756.25</v>
      </c>
      <c r="G504" s="39">
        <f>SUM(G502:G503)</f>
        <v>0</v>
      </c>
      <c r="H504" s="39">
        <f>SUM(H502:H503)</f>
        <v>0</v>
      </c>
      <c r="I504" s="39">
        <f>SUM(I502:I503)</f>
        <v>0</v>
      </c>
      <c r="J504" s="39">
        <f>SUM(J502:J503)</f>
        <v>0</v>
      </c>
      <c r="K504" s="39">
        <f t="shared" si="35"/>
        <v>1673756.25</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v>0</v>
      </c>
      <c r="G508" s="101">
        <v>0</v>
      </c>
      <c r="H508" s="101">
        <v>0</v>
      </c>
      <c r="I508" s="101">
        <v>0</v>
      </c>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v>0</v>
      </c>
      <c r="G512" s="23" t="s">
        <v>288</v>
      </c>
      <c r="H512" s="18">
        <v>0</v>
      </c>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v>0</v>
      </c>
      <c r="G513" s="23" t="s">
        <v>288</v>
      </c>
      <c r="H513" s="18">
        <v>0</v>
      </c>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v>0</v>
      </c>
      <c r="G514" s="23" t="s">
        <v>288</v>
      </c>
      <c r="H514" s="18">
        <v>0</v>
      </c>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v>0</v>
      </c>
      <c r="G515" s="23" t="s">
        <v>288</v>
      </c>
      <c r="H515" s="18">
        <v>0</v>
      </c>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v>0</v>
      </c>
      <c r="G516" s="23" t="s">
        <v>288</v>
      </c>
      <c r="H516" s="18">
        <v>0</v>
      </c>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v>0</v>
      </c>
      <c r="H517" s="23" t="s">
        <v>288</v>
      </c>
      <c r="I517" s="18">
        <v>0</v>
      </c>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417269.73+86612.16</f>
        <v>503881.89</v>
      </c>
      <c r="G522" s="18">
        <f>205680.08+57789.74</f>
        <v>263469.82</v>
      </c>
      <c r="H522" s="18">
        <v>113429.17</v>
      </c>
      <c r="I522" s="18">
        <v>4934.8</v>
      </c>
      <c r="J522" s="18">
        <v>881.06</v>
      </c>
      <c r="K522" s="18">
        <v>0</v>
      </c>
      <c r="L522" s="69">
        <f>SUM(F522:K522)</f>
        <v>886596.74000000011</v>
      </c>
      <c r="N522" s="130"/>
    </row>
    <row r="523" spans="1:14" ht="12.2" customHeight="1" x14ac:dyDescent="0.2">
      <c r="A523" s="21" t="s">
        <v>634</v>
      </c>
      <c r="B523" s="22">
        <v>21</v>
      </c>
      <c r="C523" s="22">
        <v>2</v>
      </c>
      <c r="D523" s="2" t="s">
        <v>432</v>
      </c>
      <c r="E523" s="22"/>
      <c r="F523" s="18">
        <f>228875.53+56911.13</f>
        <v>285786.65999999997</v>
      </c>
      <c r="G523" s="18">
        <f>144603.68+42080.14</f>
        <v>186683.82</v>
      </c>
      <c r="H523" s="18">
        <v>186951.63</v>
      </c>
      <c r="I523" s="18">
        <v>3398.39</v>
      </c>
      <c r="J523" s="18">
        <v>231.89</v>
      </c>
      <c r="K523" s="18">
        <v>0</v>
      </c>
      <c r="L523" s="69">
        <f>SUM(F523:K523)</f>
        <v>663052.39</v>
      </c>
      <c r="N523" s="130"/>
    </row>
    <row r="524" spans="1:14" ht="12.2" customHeight="1" thickBot="1" x14ac:dyDescent="0.25">
      <c r="A524" s="21" t="s">
        <v>635</v>
      </c>
      <c r="B524" s="22">
        <v>21</v>
      </c>
      <c r="C524" s="22">
        <v>3</v>
      </c>
      <c r="D524" s="2" t="s">
        <v>432</v>
      </c>
      <c r="E524" s="22"/>
      <c r="F524" s="18">
        <f>189101.58+58928.57</f>
        <v>248030.15</v>
      </c>
      <c r="G524" s="18">
        <f>111786.71+43571.83</f>
        <v>155358.54</v>
      </c>
      <c r="H524" s="18">
        <v>91340.2</v>
      </c>
      <c r="I524" s="18">
        <v>1725.19</v>
      </c>
      <c r="J524" s="18">
        <v>116.37</v>
      </c>
      <c r="K524" s="18">
        <v>460</v>
      </c>
      <c r="L524" s="69">
        <f>SUM(F524:K524)</f>
        <v>497030.45</v>
      </c>
      <c r="N524" s="130"/>
    </row>
    <row r="525" spans="1:14" ht="12.2" customHeight="1" thickTop="1" x14ac:dyDescent="0.2">
      <c r="A525" s="97" t="s">
        <v>63</v>
      </c>
      <c r="B525" s="41">
        <v>21</v>
      </c>
      <c r="C525" s="41">
        <v>4</v>
      </c>
      <c r="D525" s="115" t="s">
        <v>432</v>
      </c>
      <c r="E525" s="41"/>
      <c r="F525" s="81">
        <f>SUM(F522:F524)</f>
        <v>1037698.7000000001</v>
      </c>
      <c r="G525" s="81">
        <f t="shared" ref="G525:L525" si="36">SUM(G522:G524)</f>
        <v>605512.18000000005</v>
      </c>
      <c r="H525" s="81">
        <f t="shared" si="36"/>
        <v>391721</v>
      </c>
      <c r="I525" s="81">
        <f t="shared" si="36"/>
        <v>10058.380000000001</v>
      </c>
      <c r="J525" s="81">
        <f t="shared" si="36"/>
        <v>1229.3199999999997</v>
      </c>
      <c r="K525" s="81">
        <f t="shared" si="36"/>
        <v>460</v>
      </c>
      <c r="L525" s="70">
        <f t="shared" si="36"/>
        <v>2046679.58</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f>196864.38+26156.15</f>
        <v>223020.53</v>
      </c>
      <c r="G527" s="18">
        <f>131961.29+19737.61</f>
        <v>151698.90000000002</v>
      </c>
      <c r="H527" s="18">
        <v>59130.5</v>
      </c>
      <c r="I527" s="18">
        <v>2268.81</v>
      </c>
      <c r="J527" s="18">
        <v>775.5</v>
      </c>
      <c r="K527" s="18">
        <v>0</v>
      </c>
      <c r="L527" s="69">
        <f>SUM(F527:K527)</f>
        <v>436894.24000000005</v>
      </c>
      <c r="M527" s="8"/>
      <c r="N527" s="164"/>
    </row>
    <row r="528" spans="1:14" s="3" customFormat="1" ht="12.2" customHeight="1" x14ac:dyDescent="0.15">
      <c r="A528" s="21" t="s">
        <v>634</v>
      </c>
      <c r="B528" s="22">
        <v>21</v>
      </c>
      <c r="C528" s="22">
        <v>6</v>
      </c>
      <c r="D528" s="2" t="s">
        <v>432</v>
      </c>
      <c r="E528" s="22"/>
      <c r="F528" s="18">
        <f>90395.55+19045.85</f>
        <v>109441.4</v>
      </c>
      <c r="G528" s="18">
        <f>44831.65+14372.12</f>
        <v>59203.770000000004</v>
      </c>
      <c r="H528" s="18">
        <v>47621.06</v>
      </c>
      <c r="I528" s="18">
        <v>1358.43</v>
      </c>
      <c r="J528" s="18">
        <v>219.36</v>
      </c>
      <c r="K528" s="18">
        <v>0</v>
      </c>
      <c r="L528" s="69">
        <f>SUM(F528:K528)</f>
        <v>217844.01999999996</v>
      </c>
      <c r="M528" s="8"/>
      <c r="N528" s="164"/>
    </row>
    <row r="529" spans="1:14" s="3" customFormat="1" ht="12.2" customHeight="1" thickBot="1" x14ac:dyDescent="0.2">
      <c r="A529" s="21" t="s">
        <v>635</v>
      </c>
      <c r="B529" s="22">
        <v>21</v>
      </c>
      <c r="C529" s="22">
        <v>7</v>
      </c>
      <c r="D529" s="2" t="s">
        <v>432</v>
      </c>
      <c r="E529" s="22"/>
      <c r="F529" s="18">
        <f>91022.44+19721</f>
        <v>110743.44</v>
      </c>
      <c r="G529" s="18">
        <f>45010.82+14881.6</f>
        <v>59892.42</v>
      </c>
      <c r="H529" s="18">
        <v>74997.47</v>
      </c>
      <c r="I529" s="18">
        <v>1146.78</v>
      </c>
      <c r="J529" s="18">
        <v>219.36</v>
      </c>
      <c r="K529" s="18">
        <v>0</v>
      </c>
      <c r="L529" s="69">
        <f>SUM(F529:K529)</f>
        <v>246999.46999999997</v>
      </c>
      <c r="M529" s="8"/>
      <c r="N529" s="164"/>
    </row>
    <row r="530" spans="1:14" s="3" customFormat="1" ht="12.2" customHeight="1" thickTop="1" x14ac:dyDescent="0.15">
      <c r="A530" s="97" t="s">
        <v>65</v>
      </c>
      <c r="B530" s="41">
        <v>21</v>
      </c>
      <c r="C530" s="41">
        <v>8</v>
      </c>
      <c r="D530" s="115" t="s">
        <v>432</v>
      </c>
      <c r="E530" s="41"/>
      <c r="F530" s="70">
        <f>SUM(F527:F529)</f>
        <v>443205.37</v>
      </c>
      <c r="G530" s="70">
        <f t="shared" ref="G530:L530" si="37">SUM(G527:G529)</f>
        <v>270795.09000000003</v>
      </c>
      <c r="H530" s="70">
        <f t="shared" si="37"/>
        <v>181749.03</v>
      </c>
      <c r="I530" s="70">
        <f t="shared" si="37"/>
        <v>4774.0199999999995</v>
      </c>
      <c r="J530" s="70">
        <f t="shared" si="37"/>
        <v>1214.22</v>
      </c>
      <c r="K530" s="70">
        <f t="shared" si="37"/>
        <v>0</v>
      </c>
      <c r="L530" s="70">
        <f t="shared" si="37"/>
        <v>901737.73</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78542.880000000005</v>
      </c>
      <c r="G532" s="18">
        <v>44779.58</v>
      </c>
      <c r="H532" s="18">
        <v>4561.08</v>
      </c>
      <c r="I532" s="18">
        <v>420.87</v>
      </c>
      <c r="J532" s="18">
        <v>0</v>
      </c>
      <c r="K532" s="18">
        <v>285</v>
      </c>
      <c r="L532" s="69">
        <f>SUM(F532:K532)</f>
        <v>128589.41</v>
      </c>
      <c r="M532" s="8"/>
      <c r="N532" s="164"/>
    </row>
    <row r="533" spans="1:14" s="3" customFormat="1" ht="12.2" customHeight="1" x14ac:dyDescent="0.15">
      <c r="A533" s="21" t="s">
        <v>634</v>
      </c>
      <c r="B533" s="22">
        <v>21</v>
      </c>
      <c r="C533" s="22">
        <v>10</v>
      </c>
      <c r="D533" s="2" t="s">
        <v>432</v>
      </c>
      <c r="E533" s="22"/>
      <c r="F533" s="18">
        <v>78542.880000000005</v>
      </c>
      <c r="G533" s="18">
        <v>44779.58</v>
      </c>
      <c r="H533" s="18">
        <v>4561.08</v>
      </c>
      <c r="I533" s="18">
        <v>420.87</v>
      </c>
      <c r="J533" s="18">
        <v>0</v>
      </c>
      <c r="K533" s="18">
        <v>285</v>
      </c>
      <c r="L533" s="69">
        <f>SUM(F533:K533)</f>
        <v>128589.41</v>
      </c>
      <c r="M533" s="8"/>
      <c r="N533" s="164"/>
    </row>
    <row r="534" spans="1:14" s="3" customFormat="1" ht="12.2" customHeight="1" thickBot="1" x14ac:dyDescent="0.2">
      <c r="A534" s="21" t="s">
        <v>635</v>
      </c>
      <c r="B534" s="22">
        <v>21</v>
      </c>
      <c r="C534" s="22">
        <v>11</v>
      </c>
      <c r="D534" s="2" t="s">
        <v>432</v>
      </c>
      <c r="E534" s="22"/>
      <c r="F534" s="18">
        <v>78542.880000000005</v>
      </c>
      <c r="G534" s="18">
        <v>44779.58</v>
      </c>
      <c r="H534" s="18">
        <v>4561.08</v>
      </c>
      <c r="I534" s="18">
        <v>420.87</v>
      </c>
      <c r="J534" s="18">
        <v>0</v>
      </c>
      <c r="K534" s="18">
        <v>285</v>
      </c>
      <c r="L534" s="69">
        <f>SUM(F534:K534)</f>
        <v>128589.41</v>
      </c>
      <c r="M534" s="8"/>
      <c r="N534" s="164"/>
    </row>
    <row r="535" spans="1:14" s="3" customFormat="1" ht="12.2" customHeight="1" thickTop="1" x14ac:dyDescent="0.15">
      <c r="A535" s="97" t="s">
        <v>67</v>
      </c>
      <c r="B535" s="41">
        <v>21</v>
      </c>
      <c r="C535" s="41">
        <v>12</v>
      </c>
      <c r="D535" s="115" t="s">
        <v>432</v>
      </c>
      <c r="E535" s="41"/>
      <c r="F535" s="70">
        <f>SUM(F532:F534)</f>
        <v>235628.64</v>
      </c>
      <c r="G535" s="70">
        <f t="shared" ref="G535:L535" si="38">SUM(G532:G534)</f>
        <v>134338.74</v>
      </c>
      <c r="H535" s="70">
        <f t="shared" si="38"/>
        <v>13683.24</v>
      </c>
      <c r="I535" s="70">
        <f t="shared" si="38"/>
        <v>1262.6100000000001</v>
      </c>
      <c r="J535" s="70">
        <f t="shared" si="38"/>
        <v>0</v>
      </c>
      <c r="K535" s="70">
        <f t="shared" si="38"/>
        <v>855</v>
      </c>
      <c r="L535" s="70">
        <f t="shared" si="38"/>
        <v>385768.23</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v>0</v>
      </c>
      <c r="G537" s="18">
        <v>0</v>
      </c>
      <c r="H537" s="18">
        <v>3209.27</v>
      </c>
      <c r="I537" s="18">
        <v>0</v>
      </c>
      <c r="J537" s="18">
        <v>0</v>
      </c>
      <c r="K537" s="18">
        <v>0</v>
      </c>
      <c r="L537" s="69">
        <f>SUM(F537:K537)</f>
        <v>3209.27</v>
      </c>
      <c r="M537" s="8"/>
      <c r="N537" s="164"/>
    </row>
    <row r="538" spans="1:14" s="3" customFormat="1" ht="12.2" customHeight="1" x14ac:dyDescent="0.15">
      <c r="A538" s="21" t="s">
        <v>634</v>
      </c>
      <c r="B538" s="22">
        <v>21</v>
      </c>
      <c r="C538" s="22">
        <v>14</v>
      </c>
      <c r="D538" s="2" t="s">
        <v>432</v>
      </c>
      <c r="E538" s="22"/>
      <c r="F538" s="18">
        <v>0</v>
      </c>
      <c r="G538" s="18">
        <v>0</v>
      </c>
      <c r="H538" s="18">
        <v>3209.27</v>
      </c>
      <c r="I538" s="18">
        <v>0</v>
      </c>
      <c r="J538" s="18">
        <v>0</v>
      </c>
      <c r="K538" s="18">
        <v>0</v>
      </c>
      <c r="L538" s="69">
        <f>SUM(F538:K538)</f>
        <v>3209.27</v>
      </c>
      <c r="M538" s="8"/>
      <c r="N538" s="164"/>
    </row>
    <row r="539" spans="1:14" s="3" customFormat="1" ht="12.2" customHeight="1" thickBot="1" x14ac:dyDescent="0.2">
      <c r="A539" s="21" t="s">
        <v>635</v>
      </c>
      <c r="B539" s="22">
        <v>21</v>
      </c>
      <c r="C539" s="22">
        <v>15</v>
      </c>
      <c r="D539" s="2" t="s">
        <v>432</v>
      </c>
      <c r="E539" s="22"/>
      <c r="F539" s="18">
        <v>0</v>
      </c>
      <c r="G539" s="18">
        <v>0</v>
      </c>
      <c r="H539" s="18">
        <v>2520.7800000000002</v>
      </c>
      <c r="I539" s="18">
        <v>0</v>
      </c>
      <c r="J539" s="18">
        <v>0</v>
      </c>
      <c r="K539" s="18">
        <v>0</v>
      </c>
      <c r="L539" s="69">
        <f>SUM(F539:K539)</f>
        <v>2520.7800000000002</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8939.32</v>
      </c>
      <c r="I540" s="70">
        <f t="shared" si="39"/>
        <v>0</v>
      </c>
      <c r="J540" s="70">
        <f t="shared" si="39"/>
        <v>0</v>
      </c>
      <c r="K540" s="70">
        <f t="shared" si="39"/>
        <v>0</v>
      </c>
      <c r="L540" s="70">
        <f t="shared" si="39"/>
        <v>8939.32</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v>0</v>
      </c>
      <c r="G542" s="18">
        <v>0</v>
      </c>
      <c r="H542" s="18">
        <v>194324.6</v>
      </c>
      <c r="I542" s="18">
        <v>0</v>
      </c>
      <c r="J542" s="18">
        <v>0</v>
      </c>
      <c r="K542" s="18">
        <v>0</v>
      </c>
      <c r="L542" s="69">
        <f>SUM(F542:K542)</f>
        <v>194324.6</v>
      </c>
      <c r="M542" s="8"/>
      <c r="N542" s="164"/>
    </row>
    <row r="543" spans="1:14" s="3" customFormat="1" ht="12.2" customHeight="1" x14ac:dyDescent="0.15">
      <c r="A543" s="21" t="s">
        <v>634</v>
      </c>
      <c r="B543" s="22">
        <v>21</v>
      </c>
      <c r="C543" s="22">
        <v>18</v>
      </c>
      <c r="D543" s="2" t="s">
        <v>432</v>
      </c>
      <c r="E543" s="22"/>
      <c r="F543" s="18">
        <v>0</v>
      </c>
      <c r="G543" s="18">
        <v>0</v>
      </c>
      <c r="H543" s="18">
        <v>74959.7</v>
      </c>
      <c r="I543" s="18">
        <v>0</v>
      </c>
      <c r="J543" s="18">
        <v>0</v>
      </c>
      <c r="K543" s="18">
        <v>0</v>
      </c>
      <c r="L543" s="69">
        <f>SUM(F543:K543)</f>
        <v>74959.7</v>
      </c>
      <c r="M543" s="8"/>
      <c r="N543" s="164"/>
    </row>
    <row r="544" spans="1:14" s="3" customFormat="1" ht="12.2" customHeight="1" thickBot="1" x14ac:dyDescent="0.2">
      <c r="A544" s="21" t="s">
        <v>635</v>
      </c>
      <c r="B544" s="22">
        <v>21</v>
      </c>
      <c r="C544" s="22">
        <v>19</v>
      </c>
      <c r="D544" s="2" t="s">
        <v>432</v>
      </c>
      <c r="E544" s="22"/>
      <c r="F544" s="18">
        <v>0</v>
      </c>
      <c r="G544" s="18">
        <v>0</v>
      </c>
      <c r="H544" s="18">
        <v>56903.7</v>
      </c>
      <c r="I544" s="18">
        <v>0</v>
      </c>
      <c r="J544" s="18">
        <v>0</v>
      </c>
      <c r="K544" s="18">
        <v>0</v>
      </c>
      <c r="L544" s="69">
        <f>SUM(F544:K544)</f>
        <v>56903.7</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326188</v>
      </c>
      <c r="I545" s="140">
        <f t="shared" si="40"/>
        <v>0</v>
      </c>
      <c r="J545" s="140">
        <f t="shared" si="40"/>
        <v>0</v>
      </c>
      <c r="K545" s="140">
        <f t="shared" si="40"/>
        <v>0</v>
      </c>
      <c r="L545" s="140">
        <f t="shared" si="40"/>
        <v>326188</v>
      </c>
      <c r="M545" s="8"/>
      <c r="N545" s="164"/>
    </row>
    <row r="546" spans="1:14" s="3" customFormat="1" ht="12.2" customHeight="1" thickTop="1" x14ac:dyDescent="0.15">
      <c r="A546" s="75" t="s">
        <v>72</v>
      </c>
      <c r="B546" s="41">
        <v>21</v>
      </c>
      <c r="C546" s="41">
        <v>21</v>
      </c>
      <c r="D546" s="115" t="s">
        <v>432</v>
      </c>
      <c r="E546" s="41"/>
      <c r="F546" s="70">
        <f>F525+F530+F535+F540+F545</f>
        <v>1716532.71</v>
      </c>
      <c r="G546" s="70">
        <f t="shared" ref="G546:L546" si="41">G525+G530+G535+G540+G545</f>
        <v>1010646.01</v>
      </c>
      <c r="H546" s="70">
        <f t="shared" si="41"/>
        <v>922280.59</v>
      </c>
      <c r="I546" s="70">
        <f t="shared" si="41"/>
        <v>16095.010000000002</v>
      </c>
      <c r="J546" s="70">
        <f t="shared" si="41"/>
        <v>2443.54</v>
      </c>
      <c r="K546" s="70">
        <f t="shared" si="41"/>
        <v>1315</v>
      </c>
      <c r="L546" s="70">
        <f t="shared" si="41"/>
        <v>3669312.86</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886596.74000000011</v>
      </c>
      <c r="G550" s="69">
        <f>L527</f>
        <v>436894.24000000005</v>
      </c>
      <c r="H550" s="69">
        <f>L532</f>
        <v>128589.41</v>
      </c>
      <c r="I550" s="69">
        <f>L537</f>
        <v>3209.27</v>
      </c>
      <c r="J550" s="69">
        <f>L542</f>
        <v>194324.6</v>
      </c>
      <c r="K550" s="69">
        <f>SUM(F550:J550)</f>
        <v>1649614.2600000002</v>
      </c>
      <c r="L550" s="23" t="s">
        <v>288</v>
      </c>
      <c r="M550" s="8"/>
      <c r="N550" s="164"/>
    </row>
    <row r="551" spans="1:14" s="3" customFormat="1" ht="12.2" customHeight="1" x14ac:dyDescent="0.15">
      <c r="A551" s="21" t="s">
        <v>634</v>
      </c>
      <c r="B551" s="22">
        <v>21</v>
      </c>
      <c r="C551" s="22">
        <v>23</v>
      </c>
      <c r="D551" s="2" t="s">
        <v>432</v>
      </c>
      <c r="E551" s="22"/>
      <c r="F551" s="69">
        <f>L523</f>
        <v>663052.39</v>
      </c>
      <c r="G551" s="69">
        <f>L528</f>
        <v>217844.01999999996</v>
      </c>
      <c r="H551" s="69">
        <f>L533</f>
        <v>128589.41</v>
      </c>
      <c r="I551" s="69">
        <f>L538</f>
        <v>3209.27</v>
      </c>
      <c r="J551" s="69">
        <f>L543</f>
        <v>74959.7</v>
      </c>
      <c r="K551" s="69">
        <f>SUM(F551:J551)</f>
        <v>1087654.79</v>
      </c>
      <c r="L551" s="23" t="s">
        <v>288</v>
      </c>
      <c r="M551" s="8"/>
      <c r="N551" s="164"/>
    </row>
    <row r="552" spans="1:14" s="3" customFormat="1" ht="12.2" customHeight="1" thickBot="1" x14ac:dyDescent="0.2">
      <c r="A552" s="21" t="s">
        <v>635</v>
      </c>
      <c r="B552" s="22">
        <v>21</v>
      </c>
      <c r="C552" s="22">
        <v>24</v>
      </c>
      <c r="D552" s="2" t="s">
        <v>432</v>
      </c>
      <c r="E552" s="22"/>
      <c r="F552" s="69">
        <f>L524</f>
        <v>497030.45</v>
      </c>
      <c r="G552" s="69">
        <f>L529</f>
        <v>246999.46999999997</v>
      </c>
      <c r="H552" s="69">
        <f>L534</f>
        <v>128589.41</v>
      </c>
      <c r="I552" s="69">
        <f>L539</f>
        <v>2520.7800000000002</v>
      </c>
      <c r="J552" s="69">
        <f>L544</f>
        <v>56903.7</v>
      </c>
      <c r="K552" s="69">
        <f>SUM(F552:J552)</f>
        <v>932043.80999999994</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2046679.58</v>
      </c>
      <c r="G553" s="70">
        <f t="shared" si="42"/>
        <v>901737.73</v>
      </c>
      <c r="H553" s="70">
        <f t="shared" si="42"/>
        <v>385768.23</v>
      </c>
      <c r="I553" s="70">
        <f t="shared" si="42"/>
        <v>8939.32</v>
      </c>
      <c r="J553" s="70">
        <f t="shared" si="42"/>
        <v>326188</v>
      </c>
      <c r="K553" s="70">
        <f t="shared" si="42"/>
        <v>3669312.8600000003</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v>0</v>
      </c>
      <c r="G558" s="18">
        <v>0</v>
      </c>
      <c r="H558" s="18">
        <v>0</v>
      </c>
      <c r="I558" s="18">
        <v>0</v>
      </c>
      <c r="J558" s="18">
        <v>0</v>
      </c>
      <c r="K558" s="18">
        <v>0</v>
      </c>
      <c r="L558" s="69">
        <f>SUM(F558:K558)</f>
        <v>0</v>
      </c>
      <c r="M558" s="8"/>
      <c r="N558" s="164"/>
    </row>
    <row r="559" spans="1:14" s="3" customFormat="1" ht="12.2" customHeight="1" x14ac:dyDescent="0.15">
      <c r="A559" s="21" t="s">
        <v>634</v>
      </c>
      <c r="B559" s="22">
        <v>22</v>
      </c>
      <c r="C559" s="22">
        <v>2</v>
      </c>
      <c r="D559" s="2" t="s">
        <v>432</v>
      </c>
      <c r="E559" s="22"/>
      <c r="F559" s="18">
        <v>0</v>
      </c>
      <c r="G559" s="18">
        <v>0</v>
      </c>
      <c r="H559" s="18">
        <v>0</v>
      </c>
      <c r="I559" s="18">
        <v>0</v>
      </c>
      <c r="J559" s="18">
        <v>0</v>
      </c>
      <c r="K559" s="18">
        <v>0</v>
      </c>
      <c r="L559" s="69">
        <f>SUM(F559:K559)</f>
        <v>0</v>
      </c>
      <c r="M559" s="8"/>
      <c r="N559" s="164"/>
    </row>
    <row r="560" spans="1:14" s="3" customFormat="1" ht="12.2" customHeight="1" thickBot="1" x14ac:dyDescent="0.2">
      <c r="A560" s="21" t="s">
        <v>635</v>
      </c>
      <c r="B560" s="22">
        <v>22</v>
      </c>
      <c r="C560" s="22">
        <v>3</v>
      </c>
      <c r="D560" s="2" t="s">
        <v>432</v>
      </c>
      <c r="E560" s="22"/>
      <c r="F560" s="18">
        <v>0</v>
      </c>
      <c r="G560" s="18">
        <v>0</v>
      </c>
      <c r="H560" s="18">
        <v>0</v>
      </c>
      <c r="I560" s="18">
        <v>0</v>
      </c>
      <c r="J560" s="18">
        <v>0</v>
      </c>
      <c r="K560" s="18">
        <v>0</v>
      </c>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v>0</v>
      </c>
      <c r="G563" s="18">
        <v>0</v>
      </c>
      <c r="H563" s="18">
        <v>0</v>
      </c>
      <c r="I563" s="18">
        <v>0</v>
      </c>
      <c r="J563" s="18">
        <v>0</v>
      </c>
      <c r="K563" s="18">
        <v>0</v>
      </c>
      <c r="L563" s="69">
        <f>SUM(F563:K563)</f>
        <v>0</v>
      </c>
      <c r="M563" s="8"/>
      <c r="N563" s="164"/>
    </row>
    <row r="564" spans="1:14" s="3" customFormat="1" ht="12.2" customHeight="1" x14ac:dyDescent="0.15">
      <c r="A564" s="21" t="s">
        <v>634</v>
      </c>
      <c r="B564" s="22">
        <v>22</v>
      </c>
      <c r="C564" s="22">
        <v>6</v>
      </c>
      <c r="D564" s="2" t="s">
        <v>432</v>
      </c>
      <c r="E564" s="22"/>
      <c r="F564" s="18">
        <v>0</v>
      </c>
      <c r="G564" s="18">
        <v>0</v>
      </c>
      <c r="H564" s="18">
        <v>0</v>
      </c>
      <c r="I564" s="18">
        <v>0</v>
      </c>
      <c r="J564" s="18">
        <v>0</v>
      </c>
      <c r="K564" s="18">
        <v>0</v>
      </c>
      <c r="L564" s="69">
        <f>SUM(F564:K564)</f>
        <v>0</v>
      </c>
      <c r="M564" s="8"/>
      <c r="N564" s="164"/>
    </row>
    <row r="565" spans="1:14" s="3" customFormat="1" ht="12.2" customHeight="1" thickBot="1" x14ac:dyDescent="0.2">
      <c r="A565" s="21" t="s">
        <v>635</v>
      </c>
      <c r="B565" s="22">
        <v>22</v>
      </c>
      <c r="C565" s="22">
        <v>7</v>
      </c>
      <c r="D565" s="2" t="s">
        <v>432</v>
      </c>
      <c r="E565" s="22"/>
      <c r="F565" s="18">
        <v>0</v>
      </c>
      <c r="G565" s="18">
        <v>0</v>
      </c>
      <c r="H565" s="18">
        <v>0</v>
      </c>
      <c r="I565" s="18">
        <v>0</v>
      </c>
      <c r="J565" s="18">
        <v>0</v>
      </c>
      <c r="K565" s="18">
        <v>0</v>
      </c>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v>0</v>
      </c>
      <c r="G568" s="18">
        <v>0</v>
      </c>
      <c r="H568" s="18">
        <v>0</v>
      </c>
      <c r="I568" s="18">
        <v>0</v>
      </c>
      <c r="J568" s="18">
        <v>0</v>
      </c>
      <c r="K568" s="18">
        <v>0</v>
      </c>
      <c r="L568" s="69">
        <f>SUM(F568:K568)</f>
        <v>0</v>
      </c>
      <c r="M568" s="8"/>
      <c r="N568" s="164"/>
    </row>
    <row r="569" spans="1:14" s="3" customFormat="1" ht="12.2" customHeight="1" x14ac:dyDescent="0.15">
      <c r="A569" s="21" t="s">
        <v>634</v>
      </c>
      <c r="B569" s="22">
        <v>22</v>
      </c>
      <c r="C569" s="22">
        <v>10</v>
      </c>
      <c r="D569" s="2" t="s">
        <v>432</v>
      </c>
      <c r="E569" s="22"/>
      <c r="F569" s="18">
        <v>0</v>
      </c>
      <c r="G569" s="18">
        <v>0</v>
      </c>
      <c r="H569" s="18">
        <v>0</v>
      </c>
      <c r="I569" s="18">
        <v>0</v>
      </c>
      <c r="J569" s="18">
        <v>0</v>
      </c>
      <c r="K569" s="18">
        <v>0</v>
      </c>
      <c r="L569" s="69">
        <f>SUM(F569:K569)</f>
        <v>0</v>
      </c>
      <c r="M569" s="8"/>
      <c r="N569" s="164"/>
    </row>
    <row r="570" spans="1:14" s="3" customFormat="1" ht="12.2" customHeight="1" thickBot="1" x14ac:dyDescent="0.2">
      <c r="A570" s="21" t="s">
        <v>635</v>
      </c>
      <c r="B570" s="22">
        <v>22</v>
      </c>
      <c r="C570" s="22">
        <v>11</v>
      </c>
      <c r="D570" s="2" t="s">
        <v>432</v>
      </c>
      <c r="E570" s="22"/>
      <c r="F570" s="18">
        <v>0</v>
      </c>
      <c r="G570" s="18">
        <v>0</v>
      </c>
      <c r="H570" s="18">
        <v>0</v>
      </c>
      <c r="I570" s="18">
        <v>0</v>
      </c>
      <c r="J570" s="18">
        <v>0</v>
      </c>
      <c r="K570" s="18">
        <v>0</v>
      </c>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v>0</v>
      </c>
      <c r="G576" s="18">
        <v>0</v>
      </c>
      <c r="H576" s="18">
        <v>16769.439999999999</v>
      </c>
      <c r="I576" s="69">
        <f>SUM(F576:H576)</f>
        <v>16769.439999999999</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v>0</v>
      </c>
      <c r="G577" s="18">
        <v>0</v>
      </c>
      <c r="H577" s="18">
        <v>0</v>
      </c>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v>0</v>
      </c>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v>0</v>
      </c>
      <c r="G579" s="18">
        <v>0</v>
      </c>
      <c r="H579" s="18">
        <v>0</v>
      </c>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0</v>
      </c>
      <c r="G580" s="18">
        <v>0</v>
      </c>
      <c r="H580" s="18">
        <v>0</v>
      </c>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v>0</v>
      </c>
      <c r="G581" s="18">
        <v>0</v>
      </c>
      <c r="H581" s="18">
        <v>0</v>
      </c>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v>0</v>
      </c>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110388.96</v>
      </c>
      <c r="G583" s="18">
        <v>186398.99</v>
      </c>
      <c r="H583" s="18">
        <v>90787.55</v>
      </c>
      <c r="I583" s="69">
        <f t="shared" si="47"/>
        <v>387575.5</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v>0</v>
      </c>
      <c r="G584" s="18">
        <v>0</v>
      </c>
      <c r="H584" s="18">
        <v>0</v>
      </c>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v>0</v>
      </c>
      <c r="G585" s="18">
        <v>0</v>
      </c>
      <c r="H585" s="18">
        <v>12155.88</v>
      </c>
      <c r="I585" s="69">
        <f t="shared" si="47"/>
        <v>12155.88</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v>0</v>
      </c>
      <c r="G586" s="18">
        <v>0</v>
      </c>
      <c r="H586" s="18">
        <v>0</v>
      </c>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v>0</v>
      </c>
      <c r="I587" s="69">
        <f t="shared" si="47"/>
        <v>0</v>
      </c>
      <c r="J587" s="23" t="s">
        <v>288</v>
      </c>
      <c r="K587" s="23" t="s">
        <v>288</v>
      </c>
      <c r="L587" s="23" t="s">
        <v>288</v>
      </c>
      <c r="M587" s="8"/>
      <c r="N587" s="164"/>
    </row>
    <row r="588" spans="1:14" s="3" customFormat="1" ht="12.2" customHeight="1" thickBot="1" x14ac:dyDescent="0.2">
      <c r="A588" s="310" t="s">
        <v>677</v>
      </c>
      <c r="B588" s="58">
        <v>22</v>
      </c>
      <c r="C588" s="58">
        <v>26</v>
      </c>
      <c r="D588" s="52" t="s">
        <v>432</v>
      </c>
      <c r="E588" s="58">
        <v>564</v>
      </c>
      <c r="F588" s="53">
        <v>0</v>
      </c>
      <c r="G588" s="53">
        <v>0</v>
      </c>
      <c r="H588" s="53">
        <v>0</v>
      </c>
      <c r="I588" s="311">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110388.96</v>
      </c>
      <c r="G589" s="79">
        <f t="shared" ref="G589:I589" si="48">SUM(G576:G588)</f>
        <v>186398.99</v>
      </c>
      <c r="H589" s="79">
        <f t="shared" si="48"/>
        <v>119712.87000000001</v>
      </c>
      <c r="I589" s="79">
        <f t="shared" si="48"/>
        <v>416500.82</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167259.29999999999</v>
      </c>
      <c r="I592" s="18">
        <v>166761.29999999999</v>
      </c>
      <c r="J592" s="18">
        <v>166761.4</v>
      </c>
      <c r="K592" s="80">
        <f t="shared" ref="K592:K598" si="49">SUM(H592:J592)</f>
        <v>500782</v>
      </c>
      <c r="L592" s="23" t="s">
        <v>288</v>
      </c>
      <c r="M592" s="8"/>
      <c r="N592" s="164"/>
    </row>
    <row r="593" spans="1:14" s="3" customFormat="1" ht="12.2" customHeight="1" x14ac:dyDescent="0.15">
      <c r="A593" s="3" t="s">
        <v>638</v>
      </c>
      <c r="B593" s="22">
        <v>23</v>
      </c>
      <c r="C593" s="22">
        <v>2</v>
      </c>
      <c r="D593" s="2" t="s">
        <v>432</v>
      </c>
      <c r="E593" s="22"/>
      <c r="F593" s="78">
        <v>2722</v>
      </c>
      <c r="G593" s="79" t="s">
        <v>97</v>
      </c>
      <c r="H593" s="18">
        <v>194324.6</v>
      </c>
      <c r="I593" s="18">
        <v>74959.7</v>
      </c>
      <c r="J593" s="18">
        <v>56903.7</v>
      </c>
      <c r="K593" s="80">
        <f t="shared" si="49"/>
        <v>326188</v>
      </c>
      <c r="L593" s="23" t="s">
        <v>288</v>
      </c>
      <c r="M593" s="8"/>
      <c r="N593" s="164"/>
    </row>
    <row r="594" spans="1:14" s="3" customFormat="1" ht="12.2" customHeight="1" x14ac:dyDescent="0.15">
      <c r="A594" s="3" t="s">
        <v>639</v>
      </c>
      <c r="B594" s="22">
        <v>23</v>
      </c>
      <c r="C594" s="22">
        <v>3</v>
      </c>
      <c r="D594" s="2" t="s">
        <v>432</v>
      </c>
      <c r="E594" s="22"/>
      <c r="F594" s="78">
        <v>2723</v>
      </c>
      <c r="G594" s="79" t="s">
        <v>97</v>
      </c>
      <c r="H594" s="18">
        <v>0</v>
      </c>
      <c r="I594" s="18">
        <v>0</v>
      </c>
      <c r="J594" s="18">
        <v>0</v>
      </c>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v>0</v>
      </c>
      <c r="I595" s="18">
        <v>22822.07</v>
      </c>
      <c r="J595" s="18">
        <v>57646.34</v>
      </c>
      <c r="K595" s="80">
        <f t="shared" si="49"/>
        <v>80468.41</v>
      </c>
      <c r="L595" s="23" t="s">
        <v>288</v>
      </c>
      <c r="M595" s="8"/>
      <c r="N595" s="164"/>
    </row>
    <row r="596" spans="1:14" s="3" customFormat="1" ht="12.2" customHeight="1" x14ac:dyDescent="0.15">
      <c r="A596" s="103" t="s">
        <v>652</v>
      </c>
      <c r="B596" s="22">
        <v>23</v>
      </c>
      <c r="C596" s="22">
        <v>5</v>
      </c>
      <c r="D596" s="2" t="s">
        <v>432</v>
      </c>
      <c r="E596" s="22"/>
      <c r="F596" s="78">
        <v>2725</v>
      </c>
      <c r="G596" s="79" t="s">
        <v>97</v>
      </c>
      <c r="H596" s="18">
        <v>0</v>
      </c>
      <c r="I596" s="18">
        <v>0</v>
      </c>
      <c r="J596" s="18">
        <v>1273.1600000000001</v>
      </c>
      <c r="K596" s="80">
        <f t="shared" si="49"/>
        <v>1273.1600000000001</v>
      </c>
      <c r="L596" s="23" t="s">
        <v>288</v>
      </c>
      <c r="M596" s="8"/>
      <c r="N596" s="164"/>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v>0</v>
      </c>
      <c r="I598" s="18">
        <v>0</v>
      </c>
      <c r="J598" s="18">
        <v>0</v>
      </c>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361583.9</v>
      </c>
      <c r="I599" s="81">
        <f>SUM(I592:I598)</f>
        <v>264543.07</v>
      </c>
      <c r="J599" s="81">
        <f>SUM(J592:J598)</f>
        <v>282584.59999999992</v>
      </c>
      <c r="K599" s="81">
        <f>SUM(K592:K598)</f>
        <v>908711.57000000007</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v>0</v>
      </c>
      <c r="I604" s="18">
        <v>0</v>
      </c>
      <c r="J604" s="18">
        <v>0</v>
      </c>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22564.78+20229.09</f>
        <v>42793.869999999995</v>
      </c>
      <c r="I605" s="18">
        <f>32392.7+22339</f>
        <v>54731.7</v>
      </c>
      <c r="J605" s="18">
        <f>59527.72+15252.16-0.01</f>
        <v>74779.87000000001</v>
      </c>
      <c r="K605" s="80">
        <f>SUM(H605:J605)</f>
        <v>172305.44</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42793.869999999995</v>
      </c>
      <c r="I606" s="81">
        <f>SUM(I603:I605)</f>
        <v>54731.7</v>
      </c>
      <c r="J606" s="81">
        <f>SUM(J603:J605)</f>
        <v>74779.87000000001</v>
      </c>
      <c r="K606" s="81">
        <f>SUM(K603:K605)</f>
        <v>172305.44</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420</v>
      </c>
      <c r="G612" s="18">
        <v>114.58</v>
      </c>
      <c r="H612" s="18">
        <v>0</v>
      </c>
      <c r="I612" s="18">
        <v>0</v>
      </c>
      <c r="J612" s="18">
        <v>0</v>
      </c>
      <c r="K612" s="18">
        <v>0</v>
      </c>
      <c r="L612" s="69">
        <f>SUM(F612:K612)</f>
        <v>534.58000000000004</v>
      </c>
      <c r="M612" s="8"/>
      <c r="N612" s="164"/>
    </row>
    <row r="613" spans="1:14" s="3" customFormat="1" ht="12.2" customHeight="1" x14ac:dyDescent="0.15">
      <c r="A613" s="21" t="s">
        <v>634</v>
      </c>
      <c r="B613" s="22">
        <v>23</v>
      </c>
      <c r="C613" s="22">
        <v>14</v>
      </c>
      <c r="D613" s="2" t="s">
        <v>432</v>
      </c>
      <c r="E613" s="22"/>
      <c r="F613" s="18">
        <v>0</v>
      </c>
      <c r="G613" s="18">
        <v>0</v>
      </c>
      <c r="H613" s="18">
        <v>0</v>
      </c>
      <c r="I613" s="18">
        <v>0</v>
      </c>
      <c r="J613" s="18">
        <v>0</v>
      </c>
      <c r="K613" s="18">
        <v>0</v>
      </c>
      <c r="L613" s="69">
        <f>SUM(F613:K613)</f>
        <v>0</v>
      </c>
      <c r="M613" s="8"/>
      <c r="N613" s="164"/>
    </row>
    <row r="614" spans="1:14" s="3" customFormat="1" ht="12.2" customHeight="1" thickBot="1" x14ac:dyDescent="0.2">
      <c r="A614" s="21" t="s">
        <v>645</v>
      </c>
      <c r="B614" s="22">
        <v>23</v>
      </c>
      <c r="C614" s="22">
        <v>15</v>
      </c>
      <c r="D614" s="2" t="s">
        <v>432</v>
      </c>
      <c r="E614" s="22"/>
      <c r="F614" s="18">
        <v>0</v>
      </c>
      <c r="G614" s="18">
        <v>0</v>
      </c>
      <c r="H614" s="18">
        <v>0</v>
      </c>
      <c r="I614" s="18">
        <v>0</v>
      </c>
      <c r="J614" s="18">
        <v>0</v>
      </c>
      <c r="K614" s="18">
        <v>0</v>
      </c>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420</v>
      </c>
      <c r="G615" s="81">
        <f t="shared" si="50"/>
        <v>114.58</v>
      </c>
      <c r="H615" s="81">
        <f t="shared" si="50"/>
        <v>0</v>
      </c>
      <c r="I615" s="81">
        <f t="shared" si="50"/>
        <v>0</v>
      </c>
      <c r="J615" s="81">
        <f t="shared" si="50"/>
        <v>0</v>
      </c>
      <c r="K615" s="81">
        <f t="shared" si="50"/>
        <v>0</v>
      </c>
      <c r="L615" s="70">
        <f t="shared" si="50"/>
        <v>534.58000000000004</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1758397.7</v>
      </c>
      <c r="H618" s="80">
        <f>SUM(F52)</f>
        <v>1758397.7</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33527.83</v>
      </c>
      <c r="H619" s="80">
        <f>SUM(G52)</f>
        <v>33527.83</v>
      </c>
      <c r="I619" s="87" t="s">
        <v>872</v>
      </c>
      <c r="J619" s="80">
        <f>G619-H619</f>
        <v>0</v>
      </c>
      <c r="K619" s="80"/>
      <c r="L619" s="80"/>
      <c r="M619" s="8"/>
    </row>
    <row r="620" spans="1:14" s="3" customFormat="1" ht="12.2" customHeight="1" x14ac:dyDescent="0.15">
      <c r="A620" s="74"/>
      <c r="B620" s="22"/>
      <c r="C620" s="22"/>
      <c r="D620" s="22"/>
      <c r="E620" s="22"/>
      <c r="F620" s="87" t="s">
        <v>685</v>
      </c>
      <c r="G620" s="80">
        <f>SUM(H19)</f>
        <v>245804.79999999999</v>
      </c>
      <c r="H620" s="80">
        <f>SUM(H52)</f>
        <v>245804.80000000002</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828697.83000000007</v>
      </c>
      <c r="H622" s="80">
        <f>SUM(J52)</f>
        <v>828697.83000000007</v>
      </c>
      <c r="I622" s="87" t="s">
        <v>875</v>
      </c>
      <c r="J622" s="80">
        <f>G622-H622</f>
        <v>0</v>
      </c>
      <c r="K622" s="80"/>
      <c r="L622" s="80"/>
      <c r="M622" s="8"/>
    </row>
    <row r="623" spans="1:14" s="3" customFormat="1" ht="12.2" customHeight="1" x14ac:dyDescent="0.15">
      <c r="A623" s="74"/>
      <c r="B623" s="22"/>
      <c r="C623" s="22"/>
      <c r="D623" s="22"/>
      <c r="E623" s="22"/>
      <c r="F623" s="87" t="s">
        <v>861</v>
      </c>
      <c r="G623" s="80">
        <f>F51</f>
        <v>1493927.96</v>
      </c>
      <c r="H623" s="80">
        <f>F477</f>
        <v>1493927.9600000009</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20.579999999998108</v>
      </c>
      <c r="H624" s="80">
        <f>G477</f>
        <v>20.57999999995809</v>
      </c>
      <c r="I624" s="87" t="s">
        <v>102</v>
      </c>
      <c r="J624" s="80">
        <f t="shared" si="51"/>
        <v>4.0017766878008842E-11</v>
      </c>
      <c r="K624" s="80"/>
      <c r="L624" s="80"/>
      <c r="M624" s="8"/>
    </row>
    <row r="625" spans="1:13" s="3" customFormat="1" ht="12.2" customHeight="1" x14ac:dyDescent="0.15">
      <c r="A625" s="74"/>
      <c r="B625" s="22"/>
      <c r="C625" s="22"/>
      <c r="D625" s="22"/>
      <c r="E625" s="22"/>
      <c r="F625" s="86" t="s">
        <v>863</v>
      </c>
      <c r="G625" s="80">
        <f>H51</f>
        <v>307.31</v>
      </c>
      <c r="H625" s="80">
        <f>H477</f>
        <v>307.30999999982305</v>
      </c>
      <c r="I625" s="87" t="s">
        <v>103</v>
      </c>
      <c r="J625" s="80">
        <f t="shared" si="51"/>
        <v>1.7695356291369535E-10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828697.83000000007</v>
      </c>
      <c r="H627" s="80">
        <f>J477</f>
        <v>828697.83000000007</v>
      </c>
      <c r="I627" s="87" t="s">
        <v>105</v>
      </c>
      <c r="J627" s="80">
        <f t="shared" si="51"/>
        <v>0</v>
      </c>
      <c r="K627" s="67"/>
      <c r="L627" s="69"/>
      <c r="M627" s="8"/>
    </row>
    <row r="628" spans="1:13" s="3" customFormat="1" ht="12.2" customHeight="1" x14ac:dyDescent="0.15">
      <c r="A628" s="21"/>
      <c r="B628" s="22"/>
      <c r="C628" s="22"/>
      <c r="D628" s="22"/>
      <c r="E628" s="22"/>
      <c r="F628" s="86" t="s">
        <v>658</v>
      </c>
      <c r="G628" s="80">
        <f>F194</f>
        <v>18944968.559999999</v>
      </c>
      <c r="H628" s="80">
        <f>SUM(F469)</f>
        <v>18944968.559999999</v>
      </c>
      <c r="I628" s="87" t="s">
        <v>106</v>
      </c>
      <c r="J628" s="80">
        <f>G628-H628</f>
        <v>0</v>
      </c>
      <c r="K628" s="67"/>
      <c r="L628" s="69"/>
      <c r="M628" s="8"/>
    </row>
    <row r="629" spans="1:13" s="3" customFormat="1" ht="12.2" customHeight="1" x14ac:dyDescent="0.15">
      <c r="A629" s="21"/>
      <c r="B629" s="22"/>
      <c r="C629" s="22"/>
      <c r="D629" s="22"/>
      <c r="E629" s="22"/>
      <c r="F629" s="86" t="s">
        <v>659</v>
      </c>
      <c r="G629" s="80">
        <f>G194</f>
        <v>458397.82999999996</v>
      </c>
      <c r="H629" s="80">
        <f>SUM(G469)</f>
        <v>458397.82999999996</v>
      </c>
      <c r="I629" s="87" t="s">
        <v>107</v>
      </c>
      <c r="J629" s="80">
        <f>G629-H629</f>
        <v>0</v>
      </c>
      <c r="K629" s="67"/>
      <c r="L629" s="69"/>
      <c r="M629" s="8"/>
    </row>
    <row r="630" spans="1:13" s="3" customFormat="1" ht="12.2" customHeight="1" x14ac:dyDescent="0.15">
      <c r="A630" s="21"/>
      <c r="B630" s="22"/>
      <c r="C630" s="22"/>
      <c r="D630" s="22"/>
      <c r="E630" s="22"/>
      <c r="F630" s="86" t="s">
        <v>660</v>
      </c>
      <c r="G630" s="80">
        <f>H194</f>
        <v>1295738.8299999998</v>
      </c>
      <c r="H630" s="80">
        <f>SUM(H469)</f>
        <v>1295738.8299999998</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60000</v>
      </c>
      <c r="H632" s="80">
        <f>SUM(J469)</f>
        <v>60000</v>
      </c>
      <c r="I632" s="87" t="s">
        <v>110</v>
      </c>
      <c r="J632" s="80">
        <f>G632-H632</f>
        <v>0</v>
      </c>
      <c r="K632" s="67"/>
      <c r="L632" s="69"/>
      <c r="M632" s="8"/>
    </row>
    <row r="633" spans="1:13" s="3" customFormat="1" ht="12.2" customHeight="1" x14ac:dyDescent="0.15">
      <c r="A633" s="21"/>
      <c r="B633" s="22"/>
      <c r="C633" s="22"/>
      <c r="D633" s="22"/>
      <c r="E633" s="22"/>
      <c r="F633" s="86" t="s">
        <v>394</v>
      </c>
      <c r="G633" s="80">
        <f>SUM(L272)</f>
        <v>18951190.509999998</v>
      </c>
      <c r="H633" s="80">
        <f>SUM(F473)</f>
        <v>18951190.509999998</v>
      </c>
      <c r="I633" s="87" t="s">
        <v>111</v>
      </c>
      <c r="J633" s="80">
        <f t="shared" si="51"/>
        <v>0</v>
      </c>
      <c r="K633" s="67"/>
      <c r="L633" s="69"/>
      <c r="M633" s="8"/>
    </row>
    <row r="634" spans="1:13" s="3" customFormat="1" ht="12.2" customHeight="1" x14ac:dyDescent="0.15">
      <c r="A634" s="21"/>
      <c r="B634" s="22"/>
      <c r="C634" s="22"/>
      <c r="D634" s="22"/>
      <c r="E634" s="22"/>
      <c r="F634" s="86" t="s">
        <v>395</v>
      </c>
      <c r="G634" s="80">
        <f>SUM(L353)</f>
        <v>1295737.0900000001</v>
      </c>
      <c r="H634" s="80">
        <f>SUM(H473)</f>
        <v>1295737.0900000001</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489077.76000000001</v>
      </c>
      <c r="H636" s="80">
        <f>SUM(G473)</f>
        <v>489077.76000000001</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60000</v>
      </c>
      <c r="H638" s="108">
        <f>SUM(J469)</f>
        <v>60000</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57898.48</v>
      </c>
      <c r="H639" s="108">
        <f>SUM(J473)</f>
        <v>57898.48</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826366.66</v>
      </c>
      <c r="H640" s="80">
        <f>SUM(F462)</f>
        <v>826366.66</v>
      </c>
      <c r="I640" s="87" t="s">
        <v>837</v>
      </c>
      <c r="J640" s="80">
        <f t="shared" si="51"/>
        <v>0</v>
      </c>
      <c r="K640" s="67"/>
      <c r="L640" s="69"/>
      <c r="M640" s="8"/>
    </row>
    <row r="641" spans="1:13" s="3" customFormat="1" ht="12.2" customHeight="1" x14ac:dyDescent="0.15">
      <c r="A641" s="21"/>
      <c r="B641" s="22"/>
      <c r="C641" s="22"/>
      <c r="D641" s="22"/>
      <c r="E641" s="22"/>
      <c r="F641" s="86" t="s">
        <v>119</v>
      </c>
      <c r="G641" s="80">
        <f>SUM(G447)</f>
        <v>2331.17</v>
      </c>
      <c r="H641" s="80">
        <f>SUM(G462)</f>
        <v>2331.17</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828697.83000000007</v>
      </c>
      <c r="H643" s="80">
        <f>SUM(I462)</f>
        <v>828697.83000000007</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1"/>
        <v>0</v>
      </c>
      <c r="K645" s="67"/>
      <c r="L645" s="69"/>
      <c r="M645" s="8"/>
    </row>
    <row r="646" spans="1:13" s="3" customFormat="1" ht="12.2" customHeight="1" x14ac:dyDescent="0.15">
      <c r="A646" s="21"/>
      <c r="B646" s="22"/>
      <c r="C646" s="22"/>
      <c r="D646" s="22"/>
      <c r="E646" s="22"/>
      <c r="F646" s="86" t="s">
        <v>664</v>
      </c>
      <c r="G646" s="80">
        <f>J184</f>
        <v>60000</v>
      </c>
      <c r="H646" s="80">
        <f>G409</f>
        <v>60000</v>
      </c>
      <c r="I646" s="87" t="s">
        <v>481</v>
      </c>
      <c r="J646" s="80">
        <f t="shared" si="51"/>
        <v>0</v>
      </c>
      <c r="K646" s="67"/>
      <c r="L646" s="69"/>
      <c r="M646" s="8"/>
    </row>
    <row r="647" spans="1:13" s="3" customFormat="1" ht="12.2" customHeight="1" x14ac:dyDescent="0.15">
      <c r="A647" s="21"/>
      <c r="B647" s="22"/>
      <c r="C647" s="22"/>
      <c r="D647" s="22"/>
      <c r="E647" s="22"/>
      <c r="F647" s="86" t="s">
        <v>662</v>
      </c>
      <c r="G647" s="80">
        <f>J194</f>
        <v>60000</v>
      </c>
      <c r="H647" s="80">
        <f>L409</f>
        <v>60000</v>
      </c>
      <c r="I647" s="87" t="s">
        <v>477</v>
      </c>
      <c r="J647" s="80">
        <f t="shared" si="51"/>
        <v>0</v>
      </c>
      <c r="K647" s="67"/>
      <c r="L647" s="69"/>
      <c r="M647" s="8"/>
    </row>
    <row r="648" spans="1:13" s="3" customFormat="1" ht="12.2" customHeight="1" x14ac:dyDescent="0.15">
      <c r="A648" s="21"/>
      <c r="B648" s="22"/>
      <c r="C648" s="22"/>
      <c r="D648" s="22"/>
      <c r="E648" s="22"/>
      <c r="F648" s="86" t="s">
        <v>51</v>
      </c>
      <c r="G648" s="80">
        <f>K599</f>
        <v>908711.57000000007</v>
      </c>
      <c r="H648" s="80">
        <f>L209+L227+L245</f>
        <v>908711.56999999983</v>
      </c>
      <c r="I648" s="87" t="s">
        <v>396</v>
      </c>
      <c r="J648" s="80">
        <f t="shared" si="51"/>
        <v>0</v>
      </c>
      <c r="K648" s="67"/>
      <c r="L648" s="69"/>
      <c r="M648" s="8"/>
    </row>
    <row r="649" spans="1:13" s="3" customFormat="1" ht="12.2" customHeight="1" x14ac:dyDescent="0.15">
      <c r="A649" s="21"/>
      <c r="B649" s="22"/>
      <c r="C649" s="22"/>
      <c r="D649" s="22"/>
      <c r="E649" s="22"/>
      <c r="F649" s="86" t="s">
        <v>52</v>
      </c>
      <c r="G649" s="80">
        <f>K606</f>
        <v>172305.44</v>
      </c>
      <c r="H649" s="80">
        <f>(J258+J339)-(J256+J337)</f>
        <v>172305.44</v>
      </c>
      <c r="I649" s="87" t="s">
        <v>699</v>
      </c>
      <c r="J649" s="80">
        <f t="shared" si="51"/>
        <v>0</v>
      </c>
      <c r="K649" s="67"/>
      <c r="L649" s="69"/>
      <c r="M649" s="8"/>
    </row>
    <row r="650" spans="1:13" s="3" customFormat="1" ht="12.2" customHeight="1" x14ac:dyDescent="0.15">
      <c r="A650" s="21"/>
      <c r="B650" s="22"/>
      <c r="C650" s="22"/>
      <c r="D650" s="22"/>
      <c r="E650" s="22"/>
      <c r="F650" s="86" t="s">
        <v>387</v>
      </c>
      <c r="G650" s="80">
        <f>L209</f>
        <v>361583.9</v>
      </c>
      <c r="H650" s="80">
        <f>H599</f>
        <v>361583.9</v>
      </c>
      <c r="I650" s="87" t="s">
        <v>388</v>
      </c>
      <c r="J650" s="80">
        <f t="shared" si="51"/>
        <v>0</v>
      </c>
      <c r="K650" s="67"/>
      <c r="L650" s="69"/>
      <c r="M650" s="8"/>
    </row>
    <row r="651" spans="1:13" s="3" customFormat="1" ht="12.2" customHeight="1" x14ac:dyDescent="0.15">
      <c r="A651" s="21"/>
      <c r="B651" s="22"/>
      <c r="C651" s="22"/>
      <c r="D651" s="22"/>
      <c r="E651" s="22"/>
      <c r="F651" s="86" t="s">
        <v>392</v>
      </c>
      <c r="G651" s="80">
        <f>L227</f>
        <v>264543.07</v>
      </c>
      <c r="H651" s="80">
        <f>I599</f>
        <v>264543.07</v>
      </c>
      <c r="I651" s="87" t="s">
        <v>389</v>
      </c>
      <c r="J651" s="80">
        <f t="shared" si="51"/>
        <v>0</v>
      </c>
      <c r="K651" s="67"/>
      <c r="L651" s="69"/>
      <c r="M651" s="8"/>
    </row>
    <row r="652" spans="1:13" s="3" customFormat="1" ht="12.2" customHeight="1" x14ac:dyDescent="0.15">
      <c r="A652" s="21"/>
      <c r="B652" s="22"/>
      <c r="C652" s="22"/>
      <c r="D652" s="22"/>
      <c r="E652" s="22"/>
      <c r="F652" s="86" t="s">
        <v>393</v>
      </c>
      <c r="G652" s="80">
        <f>L245</f>
        <v>282584.59999999992</v>
      </c>
      <c r="H652" s="80">
        <f>J599</f>
        <v>282584.59999999992</v>
      </c>
      <c r="I652" s="87" t="s">
        <v>390</v>
      </c>
      <c r="J652" s="80">
        <f t="shared" si="51"/>
        <v>0</v>
      </c>
      <c r="K652" s="67"/>
      <c r="L652" s="69"/>
      <c r="M652" s="8"/>
    </row>
    <row r="653" spans="1:13" s="3" customFormat="1" ht="12.2" customHeight="1" x14ac:dyDescent="0.15">
      <c r="A653" s="21"/>
      <c r="B653" s="22"/>
      <c r="C653" s="22"/>
      <c r="D653" s="22"/>
      <c r="E653" s="22"/>
      <c r="F653" s="86" t="s">
        <v>665</v>
      </c>
      <c r="G653" s="80">
        <f>G180+G182</f>
        <v>26700.5</v>
      </c>
      <c r="H653" s="80">
        <f>K264+K346</f>
        <v>26700.5</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60000</v>
      </c>
      <c r="H656" s="80">
        <f>K267+K348</f>
        <v>60000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6851067.1016905084</v>
      </c>
      <c r="G661" s="13">
        <f>(L230+L310+L360)</f>
        <v>5751836.3255448947</v>
      </c>
      <c r="H661" s="13">
        <f>(L248+L329+L361)</f>
        <v>6201668.2327645961</v>
      </c>
      <c r="I661" s="13">
        <f>SUM(F661:H661)</f>
        <v>18804571.659999996</v>
      </c>
      <c r="J661" s="13"/>
      <c r="K661" s="13"/>
      <c r="L661" s="13"/>
      <c r="M661" s="9"/>
    </row>
    <row r="662" spans="1:13" s="3" customFormat="1" ht="12.2" customHeight="1" x14ac:dyDescent="0.2">
      <c r="A662" s="1" t="s">
        <v>127</v>
      </c>
      <c r="F662" s="13">
        <f>(L359/IF(SUM(L359:L361)=0,1,SUM(L359:L361))*(SUM(G97:G110)))</f>
        <v>64803.693333333336</v>
      </c>
      <c r="G662" s="13">
        <f>(L360/IF(SUM(L359:L361)=0,1,SUM(L359:L361))*(SUM(G97:G110)))</f>
        <v>64803.693333333336</v>
      </c>
      <c r="H662" s="13">
        <f>(L361/IF(SUM(L359:L361)=0,1,SUM(L359:L361))*(SUM(G97:G110)))</f>
        <v>64803.693333333336</v>
      </c>
      <c r="I662" s="13">
        <f>SUM(F662:H662)</f>
        <v>194411.08000000002</v>
      </c>
      <c r="J662"/>
      <c r="K662" s="13"/>
      <c r="L662" s="13"/>
      <c r="M662" s="8"/>
    </row>
    <row r="663" spans="1:13" s="3" customFormat="1" ht="12.2" customHeight="1" x14ac:dyDescent="0.2">
      <c r="A663" s="1" t="s">
        <v>128</v>
      </c>
      <c r="F663" s="13">
        <f>(L209+L288)-(J209+J288)</f>
        <v>362589.18136030313</v>
      </c>
      <c r="G663" s="13">
        <f>(L227+L307)-(J227+J307)</f>
        <v>265524.07494456426</v>
      </c>
      <c r="H663" s="13">
        <f>(L245+L326)-(J245+J326)</f>
        <v>283342.55369513255</v>
      </c>
      <c r="I663" s="13">
        <f>SUM(F663:H663)</f>
        <v>911455.80999999982</v>
      </c>
      <c r="J663"/>
      <c r="K663" s="13"/>
      <c r="L663" s="13"/>
      <c r="M663" s="9"/>
    </row>
    <row r="664" spans="1:13" s="3" customFormat="1" ht="12.2" customHeight="1" x14ac:dyDescent="0.15">
      <c r="A664" s="141" t="s">
        <v>129</v>
      </c>
      <c r="B664" s="124"/>
      <c r="C664" s="124"/>
      <c r="D664" s="124"/>
      <c r="E664" s="124"/>
      <c r="F664" s="142">
        <f>SUM(F576:F588)+SUM(H603:H605)+SUM(L612)</f>
        <v>153717.41</v>
      </c>
      <c r="G664" s="142">
        <f>SUM(G576:G588)+SUM(I603:I605)+L613</f>
        <v>241130.69</v>
      </c>
      <c r="H664" s="142">
        <f>SUM(H576:H588)+SUM(J603:J605)+L614</f>
        <v>194492.74000000002</v>
      </c>
      <c r="I664" s="13">
        <f>SUM(F664:H664)</f>
        <v>589340.84</v>
      </c>
      <c r="J664" s="13"/>
      <c r="K664" s="13"/>
      <c r="L664" s="13"/>
      <c r="M664" s="9"/>
    </row>
    <row r="665" spans="1:13" s="3" customFormat="1" ht="12.2" customHeight="1" x14ac:dyDescent="0.15">
      <c r="A665" s="1" t="s">
        <v>130</v>
      </c>
      <c r="F665" s="13">
        <f>F661-SUM(F662:F664)</f>
        <v>6269956.8169968724</v>
      </c>
      <c r="G665" s="13">
        <f>G661-SUM(G662:G664)</f>
        <v>5180377.8672669968</v>
      </c>
      <c r="H665" s="13">
        <f>H661-SUM(H662:H664)</f>
        <v>5659029.2457361305</v>
      </c>
      <c r="I665" s="13">
        <f>I661-SUM(I662:I664)</f>
        <v>17109363.929999996</v>
      </c>
      <c r="J665" s="13"/>
      <c r="K665" s="13"/>
      <c r="L665" s="13"/>
      <c r="M665" s="8"/>
    </row>
    <row r="666" spans="1:13" s="3" customFormat="1" ht="12.2" customHeight="1" x14ac:dyDescent="0.2">
      <c r="A666" s="1" t="s">
        <v>131</v>
      </c>
      <c r="F666" s="182">
        <v>361.5</v>
      </c>
      <c r="G666" s="183">
        <v>257.45999999999998</v>
      </c>
      <c r="H666" s="183">
        <v>242.78</v>
      </c>
      <c r="I666" s="13">
        <f>SUM(F666:H666)</f>
        <v>861.74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17344.28</v>
      </c>
      <c r="G668" s="13">
        <f>ROUND(G665/G666,2)</f>
        <v>20121.099999999999</v>
      </c>
      <c r="H668" s="13">
        <f>ROUND(H665/H666,2)</f>
        <v>23309.29</v>
      </c>
      <c r="I668" s="13">
        <f>ROUND(I665/I666,2)</f>
        <v>19854.439999999999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5.17</v>
      </c>
      <c r="I671" s="13">
        <f>SUM(F671:H671)</f>
        <v>5.17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17344.28</v>
      </c>
      <c r="G673" s="13">
        <f>ROUND((G665+G670)/(G666+G671),2)</f>
        <v>20121.099999999999</v>
      </c>
      <c r="H673" s="13">
        <f>ROUND((H665+H670)/(H666+H671),2)</f>
        <v>22823.27</v>
      </c>
      <c r="I673" s="13">
        <f>ROUND((I665+I670)/(I666+I671),2)</f>
        <v>19736.03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7" sqref="E7"/>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20" t="s">
        <v>1611</v>
      </c>
      <c r="D2" s="320"/>
      <c r="E2" s="320"/>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60030.85</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4514.53+15708.67</f>
        <v>20223.2</v>
      </c>
      <c r="F9" s="271" t="s">
        <v>1612</v>
      </c>
    </row>
    <row r="10" spans="2:8" x14ac:dyDescent="0.25">
      <c r="B10" s="270"/>
      <c r="C10" s="270"/>
      <c r="D10" s="270"/>
      <c r="E10" s="270"/>
      <c r="F10" s="270"/>
    </row>
    <row r="11" spans="2:8" x14ac:dyDescent="0.25">
      <c r="B11" s="270"/>
      <c r="C11" s="274" t="s">
        <v>1616</v>
      </c>
      <c r="D11" s="271" t="s">
        <v>1619</v>
      </c>
      <c r="E11" s="259">
        <v>0</v>
      </c>
      <c r="F11" s="271" t="s">
        <v>1613</v>
      </c>
    </row>
    <row r="12" spans="2:8" x14ac:dyDescent="0.25">
      <c r="B12" s="270"/>
      <c r="C12" s="270"/>
      <c r="D12" s="271"/>
      <c r="E12" s="270"/>
      <c r="F12" s="270"/>
    </row>
    <row r="13" spans="2:8" x14ac:dyDescent="0.25">
      <c r="B13" s="270"/>
      <c r="C13" s="271" t="s">
        <v>1606</v>
      </c>
      <c r="D13" s="271" t="s">
        <v>1620</v>
      </c>
      <c r="E13" s="259">
        <f>20570.83+2657.56</f>
        <v>23228.390000000003</v>
      </c>
      <c r="F13" s="271" t="s">
        <v>1614</v>
      </c>
    </row>
    <row r="14" spans="2:8" x14ac:dyDescent="0.25">
      <c r="B14" s="270"/>
      <c r="C14" s="270"/>
      <c r="D14" s="271"/>
      <c r="E14" s="270"/>
      <c r="F14" s="270"/>
    </row>
    <row r="15" spans="2:8" x14ac:dyDescent="0.25">
      <c r="B15" s="270"/>
      <c r="C15" s="271" t="s">
        <v>1608</v>
      </c>
      <c r="D15" s="271" t="s">
        <v>1621</v>
      </c>
      <c r="E15" s="259">
        <v>0</v>
      </c>
      <c r="F15" s="271" t="s">
        <v>1615</v>
      </c>
    </row>
    <row r="16" spans="2:8" x14ac:dyDescent="0.25">
      <c r="B16" s="270"/>
      <c r="C16" s="270"/>
      <c r="D16" s="270"/>
      <c r="E16" s="270"/>
      <c r="F16" s="270"/>
    </row>
    <row r="17" spans="2:8" x14ac:dyDescent="0.25">
      <c r="B17" s="270"/>
      <c r="C17" s="271" t="s">
        <v>1607</v>
      </c>
      <c r="D17" s="271" t="s">
        <v>1622</v>
      </c>
      <c r="E17" s="259">
        <f>8999.26+7580</f>
        <v>16579.260000000002</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0</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21" t="s">
        <v>1547</v>
      </c>
      <c r="B1" s="321"/>
      <c r="C1" s="321"/>
      <c r="D1" s="321"/>
      <c r="E1" s="321"/>
      <c r="F1" s="321"/>
      <c r="G1" s="321"/>
      <c r="H1" s="321"/>
    </row>
    <row r="2" spans="1:9" ht="15" x14ac:dyDescent="0.2">
      <c r="A2" s="321" t="s">
        <v>1787</v>
      </c>
      <c r="B2" s="321"/>
      <c r="C2" s="321"/>
      <c r="D2" s="321"/>
      <c r="E2" s="321"/>
      <c r="F2" s="321"/>
      <c r="G2" s="321"/>
      <c r="H2" s="321"/>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2" t="str">
        <f>'DOE25'!A2</f>
        <v>Mascenic Regional</v>
      </c>
      <c r="C5" s="323"/>
      <c r="D5" s="323"/>
      <c r="E5" s="323"/>
      <c r="F5" s="323"/>
    </row>
    <row r="8" spans="1:9" ht="18" x14ac:dyDescent="0.25">
      <c r="A8" s="239" t="s">
        <v>1548</v>
      </c>
      <c r="F8" s="246" t="s">
        <v>1566</v>
      </c>
    </row>
    <row r="9" spans="1:9" ht="15" x14ac:dyDescent="0.2">
      <c r="A9" s="237" t="s">
        <v>1549</v>
      </c>
      <c r="B9" s="240">
        <f>'DOE25'!G97</f>
        <v>194411.08</v>
      </c>
      <c r="F9" s="237" t="s">
        <v>1562</v>
      </c>
    </row>
    <row r="10" spans="1:9" ht="15" x14ac:dyDescent="0.2">
      <c r="A10" s="237" t="s">
        <v>1550</v>
      </c>
      <c r="B10" s="240">
        <f>'DOE25'!G112-'DOE25'!G97</f>
        <v>0</v>
      </c>
      <c r="F10" s="237" t="s">
        <v>1563</v>
      </c>
    </row>
    <row r="11" spans="1:9" ht="15" x14ac:dyDescent="0.2">
      <c r="A11" s="237" t="s">
        <v>1551</v>
      </c>
      <c r="B11" s="240">
        <f>'DOE25'!G140</f>
        <v>5677.46</v>
      </c>
      <c r="F11" s="237" t="s">
        <v>1564</v>
      </c>
    </row>
    <row r="12" spans="1:9" ht="15" x14ac:dyDescent="0.2">
      <c r="A12" s="237" t="s">
        <v>1552</v>
      </c>
      <c r="B12" s="240">
        <f>'DOE25'!G170</f>
        <v>231608.79</v>
      </c>
      <c r="F12" s="237" t="s">
        <v>1565</v>
      </c>
    </row>
    <row r="13" spans="1:9" ht="15" x14ac:dyDescent="0.2">
      <c r="A13" s="237" t="s">
        <v>1553</v>
      </c>
      <c r="B13" s="240">
        <f>'DOE25'!G193-'DOE25'!G180</f>
        <v>0</v>
      </c>
      <c r="F13" s="237" t="s">
        <v>1575</v>
      </c>
    </row>
    <row r="14" spans="1:9" ht="18" x14ac:dyDescent="0.25">
      <c r="A14" s="239" t="s">
        <v>732</v>
      </c>
      <c r="B14" s="241">
        <f>SUM(B9:B13)</f>
        <v>431697.32999999996</v>
      </c>
    </row>
    <row r="16" spans="1:9" ht="18" x14ac:dyDescent="0.25">
      <c r="A16" s="239" t="s">
        <v>783</v>
      </c>
      <c r="F16" s="246" t="s">
        <v>1567</v>
      </c>
    </row>
    <row r="17" spans="1:6" ht="15" x14ac:dyDescent="0.2">
      <c r="A17" s="237" t="s">
        <v>1554</v>
      </c>
      <c r="B17" s="240">
        <f>'DOE25'!L363-'DOE25'!L362</f>
        <v>489077.76000000001</v>
      </c>
      <c r="F17" s="237" t="s">
        <v>1568</v>
      </c>
    </row>
    <row r="18" spans="1:6" ht="15" x14ac:dyDescent="0.2">
      <c r="A18" s="237" t="s">
        <v>1555</v>
      </c>
      <c r="B18" s="250">
        <v>0</v>
      </c>
      <c r="F18" s="246" t="s">
        <v>1592</v>
      </c>
    </row>
    <row r="19" spans="1:6" ht="18" x14ac:dyDescent="0.25">
      <c r="A19" s="239" t="s">
        <v>725</v>
      </c>
      <c r="B19" s="241">
        <f>SUM(B17:B18)</f>
        <v>489077.76000000001</v>
      </c>
    </row>
    <row r="21" spans="1:6" ht="18.75" thickBot="1" x14ac:dyDescent="0.3">
      <c r="A21" s="239" t="s">
        <v>1556</v>
      </c>
    </row>
    <row r="22" spans="1:6" ht="18.75" thickTop="1" x14ac:dyDescent="0.25">
      <c r="A22" s="239" t="s">
        <v>1557</v>
      </c>
      <c r="B22" s="245">
        <f>B14-B19</f>
        <v>-57380.430000000051</v>
      </c>
      <c r="F22" s="237" t="s">
        <v>1569</v>
      </c>
    </row>
    <row r="26" spans="1:6" ht="18" x14ac:dyDescent="0.25">
      <c r="A26" s="239" t="s">
        <v>186</v>
      </c>
    </row>
    <row r="27" spans="1:6" ht="15" x14ac:dyDescent="0.2">
      <c r="A27" s="237" t="s">
        <v>1558</v>
      </c>
      <c r="B27" s="240">
        <f>'DOE25'!G180</f>
        <v>26700.5</v>
      </c>
      <c r="F27" s="237" t="s">
        <v>1570</v>
      </c>
    </row>
    <row r="28" spans="1:6" ht="15" x14ac:dyDescent="0.2">
      <c r="A28" s="237" t="s">
        <v>1560</v>
      </c>
      <c r="B28" s="240">
        <f>'DOE25'!L362</f>
        <v>0</v>
      </c>
      <c r="F28" s="237" t="s">
        <v>1571</v>
      </c>
    </row>
    <row r="31" spans="1:6" ht="15" x14ac:dyDescent="0.2">
      <c r="A31" s="237" t="s">
        <v>1789</v>
      </c>
      <c r="B31" s="240">
        <f>'DOE25'!G466</f>
        <v>19941.489999999998</v>
      </c>
      <c r="F31" s="237" t="s">
        <v>1572</v>
      </c>
    </row>
    <row r="33" spans="1:6" ht="15" x14ac:dyDescent="0.2">
      <c r="A33" s="237" t="s">
        <v>1790</v>
      </c>
      <c r="B33" s="240">
        <f>'DOE25'!G477</f>
        <v>20.57999999995809</v>
      </c>
      <c r="F33" s="237" t="s">
        <v>1573</v>
      </c>
    </row>
    <row r="36" spans="1:6" ht="15" x14ac:dyDescent="0.2">
      <c r="A36" s="237" t="s">
        <v>1559</v>
      </c>
      <c r="B36" s="251">
        <v>37277.440000000002</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scale="98" orientation="portrait"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E43" sqref="E43"/>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Mascenic Regional</v>
      </c>
      <c r="C1" s="174" t="s">
        <v>820</v>
      </c>
    </row>
    <row r="2" spans="1:3" x14ac:dyDescent="0.2">
      <c r="A2" s="170"/>
      <c r="B2" s="169"/>
    </row>
    <row r="3" spans="1:3" x14ac:dyDescent="0.2">
      <c r="A3" s="320" t="s">
        <v>777</v>
      </c>
      <c r="B3" s="320"/>
      <c r="C3" s="320"/>
    </row>
    <row r="4" spans="1:3" x14ac:dyDescent="0.2">
      <c r="A4" s="173"/>
      <c r="B4" s="24" t="str">
        <f>'DOE25'!H1</f>
        <v>DOE 25  2023-2024</v>
      </c>
      <c r="C4" s="173"/>
    </row>
    <row r="5" spans="1:3" x14ac:dyDescent="0.2">
      <c r="A5" s="170"/>
      <c r="B5" s="169"/>
    </row>
    <row r="6" spans="1:3" x14ac:dyDescent="0.2">
      <c r="A6" s="164"/>
      <c r="B6" s="326" t="s">
        <v>776</v>
      </c>
      <c r="C6" s="326"/>
    </row>
    <row r="7" spans="1:3" x14ac:dyDescent="0.2">
      <c r="A7" s="175" t="s">
        <v>779</v>
      </c>
      <c r="B7" s="324" t="s">
        <v>775</v>
      </c>
      <c r="C7" s="325"/>
    </row>
    <row r="8" spans="1:3" x14ac:dyDescent="0.2">
      <c r="B8" s="165" t="s">
        <v>54</v>
      </c>
      <c r="C8" s="165" t="s">
        <v>769</v>
      </c>
    </row>
    <row r="9" spans="1:3" x14ac:dyDescent="0.2">
      <c r="A9" s="32" t="s">
        <v>770</v>
      </c>
      <c r="B9" s="166">
        <f>'DOE25'!F198+'DOE25'!F216+'DOE25'!F234+'DOE25'!F277+'DOE25'!F296+'DOE25'!F315</f>
        <v>4673089.38</v>
      </c>
      <c r="C9" s="166">
        <f>'DOE25'!G198+'DOE25'!G216+'DOE25'!G234+'DOE25'!G277+'DOE25'!G296+'DOE25'!G315</f>
        <v>2507240.5799999996</v>
      </c>
    </row>
    <row r="10" spans="1:3" x14ac:dyDescent="0.2">
      <c r="A10" t="s">
        <v>772</v>
      </c>
      <c r="B10" s="176">
        <v>4380421.59</v>
      </c>
      <c r="C10" s="176">
        <v>2481300.89</v>
      </c>
    </row>
    <row r="11" spans="1:3" x14ac:dyDescent="0.2">
      <c r="A11" t="s">
        <v>773</v>
      </c>
      <c r="B11" s="176">
        <v>95067.01</v>
      </c>
      <c r="C11" s="176">
        <v>10823.23</v>
      </c>
    </row>
    <row r="12" spans="1:3" x14ac:dyDescent="0.2">
      <c r="A12" t="s">
        <v>774</v>
      </c>
      <c r="B12" s="176">
        <v>197600.78</v>
      </c>
      <c r="C12" s="176">
        <v>15116.45967</v>
      </c>
    </row>
    <row r="13" spans="1:3" x14ac:dyDescent="0.2">
      <c r="A13" t="str">
        <f>IF(B9=B13,IF(C9=C13,"Check Total OK","Check Total Error"),"Check Total Error")</f>
        <v>Check Total Error</v>
      </c>
      <c r="B13" s="168">
        <f>SUM(B10:B12)</f>
        <v>4673089.38</v>
      </c>
      <c r="C13" s="168">
        <f>SUM(C10:C12)</f>
        <v>2507240.5796699999</v>
      </c>
    </row>
    <row r="14" spans="1:3" x14ac:dyDescent="0.2">
      <c r="B14" s="167"/>
      <c r="C14" s="167"/>
    </row>
    <row r="15" spans="1:3" x14ac:dyDescent="0.2">
      <c r="B15" s="326" t="s">
        <v>776</v>
      </c>
      <c r="C15" s="326"/>
    </row>
    <row r="16" spans="1:3" x14ac:dyDescent="0.2">
      <c r="A16" s="175" t="s">
        <v>780</v>
      </c>
      <c r="B16" s="324" t="s">
        <v>703</v>
      </c>
      <c r="C16" s="325"/>
    </row>
    <row r="17" spans="1:3" x14ac:dyDescent="0.2">
      <c r="B17" s="165" t="s">
        <v>54</v>
      </c>
      <c r="C17" s="165" t="s">
        <v>769</v>
      </c>
    </row>
    <row r="18" spans="1:3" x14ac:dyDescent="0.2">
      <c r="A18" s="32" t="s">
        <v>770</v>
      </c>
      <c r="B18" s="166">
        <f>'DOE25'!F199+'DOE25'!F217+'DOE25'!F235+'DOE25'!F278+'DOE25'!F297+'DOE25'!F316</f>
        <v>1037698.7000000002</v>
      </c>
      <c r="C18" s="166">
        <f>'DOE25'!G199+'DOE25'!G217+'DOE25'!G235+'DOE25'!G278+'DOE25'!G297+'DOE25'!G316</f>
        <v>605512.18000000005</v>
      </c>
    </row>
    <row r="19" spans="1:3" x14ac:dyDescent="0.2">
      <c r="A19" t="s">
        <v>772</v>
      </c>
      <c r="B19" s="176">
        <f>295360.8+145583.82</f>
        <v>440944.62</v>
      </c>
      <c r="C19" s="176">
        <v>354322.22000000003</v>
      </c>
    </row>
    <row r="20" spans="1:3" x14ac:dyDescent="0.2">
      <c r="A20" t="s">
        <v>773</v>
      </c>
      <c r="B20" s="176">
        <f>514266.01+37951.86</f>
        <v>552217.87</v>
      </c>
      <c r="C20" s="176">
        <v>247782.94</v>
      </c>
    </row>
    <row r="21" spans="1:3" x14ac:dyDescent="0.2">
      <c r="A21" t="s">
        <v>774</v>
      </c>
      <c r="B21" s="176">
        <f>25620.03+6115.39+4346.16+8454.63</f>
        <v>44536.21</v>
      </c>
      <c r="C21" s="176">
        <v>3407.0200649999997</v>
      </c>
    </row>
    <row r="22" spans="1:3" x14ac:dyDescent="0.2">
      <c r="A22" t="str">
        <f>IF(B18=B22,IF(C18=C22,"Check Total OK","Check Total Error"),"Check Total Error")</f>
        <v>Check Total Error</v>
      </c>
      <c r="B22" s="168">
        <f>SUM(B19:B21)</f>
        <v>1037698.7</v>
      </c>
      <c r="C22" s="168">
        <f>SUM(C19:C21)</f>
        <v>605512.18006500008</v>
      </c>
    </row>
    <row r="23" spans="1:3" x14ac:dyDescent="0.2">
      <c r="B23" s="167"/>
      <c r="C23" s="167"/>
    </row>
    <row r="24" spans="1:3" x14ac:dyDescent="0.2">
      <c r="B24" s="326" t="s">
        <v>776</v>
      </c>
      <c r="C24" s="326"/>
    </row>
    <row r="25" spans="1:3" x14ac:dyDescent="0.2">
      <c r="A25" s="175" t="s">
        <v>781</v>
      </c>
      <c r="B25" s="324" t="s">
        <v>704</v>
      </c>
      <c r="C25" s="325"/>
    </row>
    <row r="26" spans="1:3" x14ac:dyDescent="0.2">
      <c r="B26" s="165" t="s">
        <v>54</v>
      </c>
      <c r="C26" s="165" t="s">
        <v>769</v>
      </c>
    </row>
    <row r="27" spans="1:3" x14ac:dyDescent="0.2">
      <c r="A27" s="32" t="s">
        <v>770</v>
      </c>
      <c r="B27" s="171">
        <f>'DOE25'!F200+'DOE25'!F218+'DOE25'!F236+'DOE25'!F279+'DOE25'!F298+'DOE25'!F317</f>
        <v>69245</v>
      </c>
      <c r="C27" s="171">
        <f>'DOE25'!G200+'DOE25'!G218+'DOE25'!G236+'DOE25'!G279+'DOE25'!G298+'DOE25'!G317</f>
        <v>30910.85</v>
      </c>
    </row>
    <row r="28" spans="1:3" x14ac:dyDescent="0.2">
      <c r="A28" t="s">
        <v>772</v>
      </c>
      <c r="B28" s="176">
        <v>69245</v>
      </c>
      <c r="C28" s="176">
        <v>30910.85</v>
      </c>
    </row>
    <row r="29" spans="1:3" x14ac:dyDescent="0.2">
      <c r="A29" t="s">
        <v>773</v>
      </c>
      <c r="B29" s="176">
        <v>0</v>
      </c>
      <c r="C29" s="176">
        <v>0</v>
      </c>
    </row>
    <row r="30" spans="1:3" x14ac:dyDescent="0.2">
      <c r="A30" t="s">
        <v>774</v>
      </c>
      <c r="B30" s="176">
        <v>0</v>
      </c>
      <c r="C30" s="176">
        <v>0</v>
      </c>
    </row>
    <row r="31" spans="1:3" x14ac:dyDescent="0.2">
      <c r="A31" t="str">
        <f>IF(B27=B31,IF(C27=C31,"Check Total OK","Check Total Error"),"Check Total Error")</f>
        <v>Check Total OK</v>
      </c>
      <c r="B31" s="168">
        <f>SUM(B28:B30)</f>
        <v>69245</v>
      </c>
      <c r="C31" s="168">
        <f>SUM(C28:C30)</f>
        <v>30910.85</v>
      </c>
    </row>
    <row r="33" spans="1:3" x14ac:dyDescent="0.2">
      <c r="B33" s="326" t="s">
        <v>776</v>
      </c>
      <c r="C33" s="326"/>
    </row>
    <row r="34" spans="1:3" x14ac:dyDescent="0.2">
      <c r="A34" s="175" t="s">
        <v>782</v>
      </c>
      <c r="B34" s="324" t="s">
        <v>705</v>
      </c>
      <c r="C34" s="325"/>
    </row>
    <row r="35" spans="1:3" x14ac:dyDescent="0.2">
      <c r="B35" s="165" t="s">
        <v>54</v>
      </c>
      <c r="C35" s="165" t="s">
        <v>769</v>
      </c>
    </row>
    <row r="36" spans="1:3" x14ac:dyDescent="0.2">
      <c r="A36" s="32" t="s">
        <v>770</v>
      </c>
      <c r="B36" s="172">
        <f>'DOE25'!F201+'DOE25'!F219+'DOE25'!F237+'DOE25'!F280+'DOE25'!F299+'DOE25'!F318</f>
        <v>154397.78</v>
      </c>
      <c r="C36" s="172">
        <f>'DOE25'!G201+'DOE25'!G219+'DOE25'!G237+'DOE25'!G280+'DOE25'!G299+'DOE25'!G318</f>
        <v>20715.010000000002</v>
      </c>
    </row>
    <row r="37" spans="1:3" x14ac:dyDescent="0.2">
      <c r="A37" t="s">
        <v>772</v>
      </c>
      <c r="B37" s="176">
        <v>0</v>
      </c>
      <c r="C37" s="176">
        <v>0</v>
      </c>
    </row>
    <row r="38" spans="1:3" x14ac:dyDescent="0.2">
      <c r="A38" t="s">
        <v>773</v>
      </c>
      <c r="B38" s="176">
        <v>0</v>
      </c>
      <c r="C38" s="176">
        <v>0</v>
      </c>
    </row>
    <row r="39" spans="1:3" x14ac:dyDescent="0.2">
      <c r="A39" t="s">
        <v>774</v>
      </c>
      <c r="B39" s="176">
        <f>145596.18+1000+7801.6</f>
        <v>154397.78</v>
      </c>
      <c r="C39" s="176">
        <v>20715.009999999998</v>
      </c>
    </row>
    <row r="40" spans="1:3" x14ac:dyDescent="0.2">
      <c r="A40" t="str">
        <f>IF(B36=B40,IF(C36=C40,"Check Total OK","Check Total Error"),"Check Total Error")</f>
        <v>Check Total OK</v>
      </c>
      <c r="B40" s="168">
        <f>SUM(B37:B39)</f>
        <v>154397.78</v>
      </c>
      <c r="C40" s="168">
        <f>SUM(C37:C39)</f>
        <v>20715.009999999998</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M26" sqref="M2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6" t="s">
        <v>886</v>
      </c>
      <c r="B1" s="329"/>
      <c r="C1" s="329"/>
      <c r="D1" s="329"/>
      <c r="E1" s="329"/>
      <c r="F1" s="329"/>
      <c r="G1" s="329"/>
      <c r="H1" s="329"/>
      <c r="I1" s="130"/>
    </row>
    <row r="2" spans="1:9" x14ac:dyDescent="0.2">
      <c r="A2" s="32" t="s">
        <v>713</v>
      </c>
      <c r="B2" s="195" t="str">
        <f>'DOE25'!A2</f>
        <v>Mascenic Regional</v>
      </c>
      <c r="C2" s="207"/>
      <c r="D2" s="130" t="s">
        <v>784</v>
      </c>
      <c r="E2" s="130" t="s">
        <v>786</v>
      </c>
      <c r="F2" s="327" t="s">
        <v>885</v>
      </c>
      <c r="G2" s="328"/>
      <c r="H2" s="328"/>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9340700.75</v>
      </c>
      <c r="D5" s="19">
        <f>SUM('DOE25'!L198:L201)+SUM('DOE25'!L216:L219)+SUM('DOE25'!L234:L237)-F5-G5-H5</f>
        <v>9237819.4399999995</v>
      </c>
      <c r="E5" s="179"/>
      <c r="F5" s="180">
        <v>0</v>
      </c>
      <c r="G5" s="19">
        <f>SUM('DOE25'!J198:J201)+SUM('DOE25'!J216:J219)+SUM('DOE25'!J234:J237)</f>
        <v>87334.59</v>
      </c>
      <c r="H5" s="19">
        <f>SUM('DOE25'!K198:K201)+SUM('DOE25'!K216:K219)+SUM('DOE25'!K234:K237)</f>
        <v>15546.72</v>
      </c>
      <c r="I5" s="191"/>
    </row>
    <row r="6" spans="1:9" x14ac:dyDescent="0.2">
      <c r="A6" s="31">
        <v>2100</v>
      </c>
      <c r="B6" t="s">
        <v>793</v>
      </c>
      <c r="C6" s="205">
        <f t="shared" si="0"/>
        <v>1537152.3</v>
      </c>
      <c r="D6" s="19">
        <f>'DOE25'!L203+'DOE25'!L221+'DOE25'!L239-F6-G6-H6</f>
        <v>1468259.12</v>
      </c>
      <c r="E6" s="179"/>
      <c r="F6" s="180">
        <f>(86962.91-25000)+(30147.05-25000)</f>
        <v>67109.960000000006</v>
      </c>
      <c r="G6" s="19">
        <f>'DOE25'!J203+'DOE25'!J221+'DOE25'!J239</f>
        <v>1413.22</v>
      </c>
      <c r="H6" s="19">
        <f>'DOE25'!K203+'DOE25'!K221+'DOE25'!K239</f>
        <v>370</v>
      </c>
      <c r="I6" s="191"/>
    </row>
    <row r="7" spans="1:9" x14ac:dyDescent="0.2">
      <c r="A7" s="31">
        <v>2200</v>
      </c>
      <c r="B7" t="s">
        <v>817</v>
      </c>
      <c r="C7" s="205">
        <f t="shared" si="0"/>
        <v>274916.5</v>
      </c>
      <c r="D7" s="19">
        <f>'DOE25'!L204+'DOE25'!L222+'DOE25'!L240-F7-G7-H7</f>
        <v>274343.37</v>
      </c>
      <c r="E7" s="179"/>
      <c r="F7" s="180">
        <v>0</v>
      </c>
      <c r="G7" s="19">
        <f>'DOE25'!J204+'DOE25'!J222+'DOE25'!J240</f>
        <v>573.13000000000011</v>
      </c>
      <c r="H7" s="19">
        <f>'DOE25'!K204+'DOE25'!K222+'DOE25'!K240</f>
        <v>0</v>
      </c>
      <c r="I7" s="191"/>
    </row>
    <row r="8" spans="1:9" x14ac:dyDescent="0.2">
      <c r="A8" s="31">
        <v>2300</v>
      </c>
      <c r="B8" t="s">
        <v>794</v>
      </c>
      <c r="C8" s="205">
        <f t="shared" si="0"/>
        <v>891965.74999999988</v>
      </c>
      <c r="D8" s="179"/>
      <c r="E8" s="19">
        <f>'DOE25'!L205+'DOE25'!L223+'DOE25'!L241-F8-G8-H8-D9-D11</f>
        <v>883586.30999999994</v>
      </c>
      <c r="F8" s="180">
        <v>0</v>
      </c>
      <c r="G8" s="19">
        <f>'DOE25'!J205+'DOE25'!J223+'DOE25'!J241</f>
        <v>199.98</v>
      </c>
      <c r="H8" s="19">
        <f>'DOE25'!K205+'DOE25'!K223+'DOE25'!K241</f>
        <v>8179.46</v>
      </c>
      <c r="I8" s="191"/>
    </row>
    <row r="9" spans="1:9" ht="14.25" x14ac:dyDescent="0.2">
      <c r="A9" s="31">
        <v>2310</v>
      </c>
      <c r="B9" s="71" t="s">
        <v>884</v>
      </c>
      <c r="C9" s="205">
        <f t="shared" si="0"/>
        <v>68646.899999999994</v>
      </c>
      <c r="D9" s="180">
        <f>148780.9-20800-59334</f>
        <v>68646.899999999994</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v>0</v>
      </c>
      <c r="E11" s="179"/>
      <c r="F11" s="179"/>
      <c r="G11" s="179"/>
      <c r="H11" s="179"/>
      <c r="I11" s="191"/>
    </row>
    <row r="12" spans="1:9" x14ac:dyDescent="0.2">
      <c r="A12" s="31">
        <v>2400</v>
      </c>
      <c r="B12" t="s">
        <v>711</v>
      </c>
      <c r="C12" s="205">
        <f t="shared" si="0"/>
        <v>1372890.22</v>
      </c>
      <c r="D12" s="19">
        <f>'DOE25'!L206+'DOE25'!L224+'DOE25'!L242-F12-G12-H12</f>
        <v>1361105.58</v>
      </c>
      <c r="E12" s="179"/>
      <c r="F12" s="180">
        <v>0</v>
      </c>
      <c r="G12" s="19">
        <f>'DOE25'!J206+'DOE25'!J224+'DOE25'!J242</f>
        <v>717.64</v>
      </c>
      <c r="H12" s="19">
        <f>'DOE25'!K206+'DOE25'!K224+'DOE25'!K242</f>
        <v>11067</v>
      </c>
      <c r="I12" s="191"/>
    </row>
    <row r="13" spans="1:9" x14ac:dyDescent="0.2">
      <c r="A13" s="31">
        <v>2500</v>
      </c>
      <c r="B13" t="s">
        <v>795</v>
      </c>
      <c r="C13" s="205">
        <f t="shared" si="0"/>
        <v>394370.6</v>
      </c>
      <c r="D13" s="179"/>
      <c r="E13" s="19">
        <f>'DOE25'!L207+'DOE25'!L225+'DOE25'!L243-F13-G13-H13</f>
        <v>390378.18</v>
      </c>
      <c r="F13" s="180">
        <v>0</v>
      </c>
      <c r="G13" s="19">
        <f>'DOE25'!J207+'DOE25'!J225+'DOE25'!J243</f>
        <v>0</v>
      </c>
      <c r="H13" s="19">
        <f>'DOE25'!K207+'DOE25'!K225+'DOE25'!K243</f>
        <v>3992.4200000000005</v>
      </c>
      <c r="I13" s="191"/>
    </row>
    <row r="14" spans="1:9" x14ac:dyDescent="0.2">
      <c r="A14" s="31">
        <v>2600</v>
      </c>
      <c r="B14" t="s">
        <v>815</v>
      </c>
      <c r="C14" s="205">
        <f t="shared" si="0"/>
        <v>1908231.3399999999</v>
      </c>
      <c r="D14" s="19">
        <f>'DOE25'!L208+'DOE25'!L226+'DOE25'!L244-F14-G14-H14</f>
        <v>1868945.0099999998</v>
      </c>
      <c r="E14" s="179"/>
      <c r="F14" s="180">
        <f>(38000-25000)+(28985-25000)</f>
        <v>16985</v>
      </c>
      <c r="G14" s="19">
        <f>'DOE25'!J208+'DOE25'!J226+'DOE25'!J244</f>
        <v>22301.329999999998</v>
      </c>
      <c r="H14" s="19">
        <f>'DOE25'!K208+'DOE25'!K226+'DOE25'!K244</f>
        <v>0</v>
      </c>
      <c r="I14" s="191"/>
    </row>
    <row r="15" spans="1:9" x14ac:dyDescent="0.2">
      <c r="A15" s="31">
        <v>2700</v>
      </c>
      <c r="B15" t="s">
        <v>796</v>
      </c>
      <c r="C15" s="205">
        <f t="shared" si="0"/>
        <v>908711.56999999983</v>
      </c>
      <c r="D15" s="19">
        <f>'DOE25'!L209+'DOE25'!L227+'DOE25'!L245-F15-G15-H15</f>
        <v>46233.319999999832</v>
      </c>
      <c r="E15" s="179"/>
      <c r="F15" s="180">
        <f>(840553.25-25000)+(71925-25000)</f>
        <v>862478.25</v>
      </c>
      <c r="G15" s="19">
        <f>'DOE25'!J209+'DOE25'!J227+'DOE25'!J245</f>
        <v>0</v>
      </c>
      <c r="H15" s="19">
        <f>'DOE25'!K209+'DOE25'!K227+'DOE25'!K245</f>
        <v>0</v>
      </c>
      <c r="I15" s="191"/>
    </row>
    <row r="16" spans="1:9" x14ac:dyDescent="0.2">
      <c r="A16" s="31">
        <v>2800</v>
      </c>
      <c r="B16" t="s">
        <v>797</v>
      </c>
      <c r="C16" s="205">
        <f t="shared" si="0"/>
        <v>413645.32999999996</v>
      </c>
      <c r="D16" s="179"/>
      <c r="E16" s="19">
        <f>'DOE25'!L210+'DOE25'!L228+'DOE25'!L246-F16-G16-H16</f>
        <v>411700.01999999996</v>
      </c>
      <c r="F16" s="180">
        <v>0</v>
      </c>
      <c r="G16" s="19">
        <f>'DOE25'!J210+'DOE25'!J228+'DOE25'!J246</f>
        <v>1945.31</v>
      </c>
      <c r="H16" s="19">
        <f>'DOE25'!K210+'DOE25'!K228+'DOE25'!K246</f>
        <v>0</v>
      </c>
      <c r="I16" s="191"/>
    </row>
    <row r="17" spans="1:9" x14ac:dyDescent="0.2">
      <c r="A17" s="31">
        <v>1600</v>
      </c>
      <c r="B17" t="s">
        <v>798</v>
      </c>
      <c r="C17" s="205">
        <f t="shared" si="0"/>
        <v>0</v>
      </c>
      <c r="D17" s="19">
        <f>'DOE25'!L252-F17-G17-H17</f>
        <v>0</v>
      </c>
      <c r="E17" s="179"/>
      <c r="F17" s="180">
        <v>0</v>
      </c>
      <c r="G17" s="19">
        <f>'DOE25'!J252</f>
        <v>0</v>
      </c>
      <c r="H17" s="19">
        <f>'DOE25'!K252</f>
        <v>0</v>
      </c>
      <c r="I17" s="191"/>
    </row>
    <row r="18" spans="1:9" x14ac:dyDescent="0.2">
      <c r="A18" s="31">
        <v>1700</v>
      </c>
      <c r="B18" t="s">
        <v>799</v>
      </c>
      <c r="C18" s="205">
        <f t="shared" si="0"/>
        <v>0</v>
      </c>
      <c r="D18" s="19">
        <f>'DOE25'!L253-F18-G18-H18</f>
        <v>0</v>
      </c>
      <c r="E18" s="179"/>
      <c r="F18" s="180">
        <v>0</v>
      </c>
      <c r="G18" s="19">
        <f>'DOE25'!J253</f>
        <v>0</v>
      </c>
      <c r="H18" s="19">
        <f>'DOE25'!K253</f>
        <v>0</v>
      </c>
      <c r="I18" s="191"/>
    </row>
    <row r="19" spans="1:9" x14ac:dyDescent="0.2">
      <c r="A19" s="31">
        <v>1800</v>
      </c>
      <c r="B19" t="s">
        <v>800</v>
      </c>
      <c r="C19" s="205">
        <f t="shared" si="0"/>
        <v>0</v>
      </c>
      <c r="D19" s="19">
        <f>'DOE25'!L254-F19-G19-H19</f>
        <v>0</v>
      </c>
      <c r="E19" s="179"/>
      <c r="F19" s="180">
        <v>0</v>
      </c>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1753258.75</v>
      </c>
      <c r="D25" s="179"/>
      <c r="E25" s="179"/>
      <c r="F25" s="190"/>
      <c r="G25" s="179"/>
      <c r="H25" s="179"/>
      <c r="I25" s="189">
        <f>'DOE25'!L261+'DOE25'!L262+'DOE25'!L342+'DOE25'!L343</f>
        <v>1753258.75</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319460.56</v>
      </c>
      <c r="D29" s="211">
        <f>'DOE25'!L359+'DOE25'!L360+'DOE25'!L361-'DOE25'!I368-F29-G29-H29-F39</f>
        <v>319460.56</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1204262.6400000001</v>
      </c>
      <c r="D31" s="19">
        <f>'DOE25'!L291+'DOE25'!L310+'DOE25'!L329+'DOE25'!L334+'DOE25'!L335+'DOE25'!L336-F31-G31-H31</f>
        <v>1145025.3400000001</v>
      </c>
      <c r="E31" s="179"/>
      <c r="F31" s="180">
        <v>0</v>
      </c>
      <c r="G31" s="19">
        <f>'DOE25'!J291+'DOE25'!J310+'DOE25'!J329+'DOE25'!J334+'DOE25'!J335+'DOE25'!J336</f>
        <v>57820.240000000005</v>
      </c>
      <c r="H31" s="19">
        <f>'DOE25'!K291+'DOE25'!K310+'DOE25'!K329+'DOE25'!K334+'DOE25'!K335+'DOE25'!K336</f>
        <v>1417.06</v>
      </c>
      <c r="I31" s="191"/>
    </row>
    <row r="32" spans="1:9" ht="12" thickBot="1" x14ac:dyDescent="0.25">
      <c r="C32" s="206"/>
      <c r="G32" s="187"/>
      <c r="H32" s="187"/>
      <c r="I32" s="193"/>
    </row>
    <row r="33" spans="1:9" ht="12" thickTop="1" x14ac:dyDescent="0.2">
      <c r="B33" t="s">
        <v>806</v>
      </c>
      <c r="D33" s="181">
        <f t="shared" ref="D33:I33" si="1">SUM(D5:D31)</f>
        <v>15789838.639999999</v>
      </c>
      <c r="E33" s="181">
        <f t="shared" si="1"/>
        <v>1685664.51</v>
      </c>
      <c r="F33" s="181">
        <f t="shared" si="1"/>
        <v>946573.21</v>
      </c>
      <c r="G33" s="181">
        <f t="shared" si="1"/>
        <v>172305.44</v>
      </c>
      <c r="H33" s="181">
        <f t="shared" si="1"/>
        <v>40572.659999999996</v>
      </c>
      <c r="I33" s="181">
        <f t="shared" si="1"/>
        <v>1753258.75</v>
      </c>
    </row>
    <row r="34" spans="1:9" ht="12" thickBot="1" x14ac:dyDescent="0.25"/>
    <row r="35" spans="1:9" ht="12" thickBot="1" x14ac:dyDescent="0.25">
      <c r="B35" s="187" t="s">
        <v>827</v>
      </c>
      <c r="D35" s="188">
        <f>E33</f>
        <v>1685664.51</v>
      </c>
      <c r="E35" s="184"/>
      <c r="F35" s="294" t="s">
        <v>1596</v>
      </c>
      <c r="G35" s="295"/>
      <c r="H35" s="295"/>
      <c r="I35" s="296"/>
    </row>
    <row r="36" spans="1:9" ht="12" thickTop="1" x14ac:dyDescent="0.2">
      <c r="B36" t="s">
        <v>807</v>
      </c>
      <c r="D36" s="19">
        <f>D33</f>
        <v>15789838.639999999</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169617.2</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19">
        <v>5000</v>
      </c>
      <c r="G42" s="303"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30" t="s">
        <v>1774</v>
      </c>
      <c r="C54" s="330"/>
      <c r="D54" s="330"/>
      <c r="E54" s="330"/>
      <c r="F54" s="330"/>
      <c r="G54" s="330"/>
      <c r="H54" s="330"/>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V727"/>
  <sheetViews>
    <sheetView topLeftCell="A18" zoomScale="75" zoomScaleNormal="75" workbookViewId="0">
      <selection activeCell="Q41" sqref="Q41"/>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3" t="s">
        <v>1797</v>
      </c>
      <c r="K1" s="313"/>
      <c r="L1" s="313"/>
      <c r="M1" s="313"/>
      <c r="N1" s="313"/>
      <c r="O1" s="331" t="s">
        <v>1802</v>
      </c>
      <c r="P1" s="332"/>
      <c r="Q1" s="332"/>
      <c r="R1" s="332"/>
      <c r="S1" s="332"/>
      <c r="T1" s="332"/>
      <c r="U1" s="332"/>
      <c r="V1" s="332"/>
    </row>
    <row r="2" spans="1:22" ht="15.75" customHeight="1" thickBot="1" x14ac:dyDescent="0.25">
      <c r="A2" s="220" t="str">
        <f>'DOE25'!A2</f>
        <v>Mascenic Regional</v>
      </c>
      <c r="B2">
        <f>'DOE25'!B2</f>
        <v>342</v>
      </c>
      <c r="J2" s="223" t="s">
        <v>1799</v>
      </c>
      <c r="K2" s="307">
        <f>SUM('DOE25'!L198:L201)+SUM('DOE25'!L277:L280)</f>
        <v>3920781.4366414072</v>
      </c>
      <c r="L2" s="307">
        <f>'DOE25'!L203+'DOE25'!L282</f>
        <v>707114.68315200624</v>
      </c>
      <c r="M2" s="307">
        <f>'DOE25'!L204+'DOE25'!L283</f>
        <v>98987.31779597784</v>
      </c>
      <c r="N2" s="307">
        <f>'DOE25'!L206+'DOE25'!L285</f>
        <v>390936.67</v>
      </c>
      <c r="O2" s="315">
        <f>'Salaries-Benefits'!B10+'Salaries-Benefits'!B12+'Salaries-Benefits'!B19+'Salaries-Benefits'!B21+'Salaries-Benefits'!B28+'Salaries-Benefits'!B30+'Salaries-Benefits'!B37+'Salaries-Benefits'!B39</f>
        <v>5287145.9800000004</v>
      </c>
      <c r="P2" s="315">
        <f>'Salaries-Benefits'!B11+'Salaries-Benefits'!B20+'Salaries-Benefits'!B29+'Salaries-Benefits'!B38</f>
        <v>647284.88</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2" t="str">
        <f>IF(SUM('DOE25'!F576:F588)&lt;=(SUM('School Level Expenditures'!D5:E5)),"","ERROR!! Other District Expenditures Line Less Than Page 22 Elementary Tuition Total")</f>
        <v/>
      </c>
      <c r="J3" s="223" t="s">
        <v>1516</v>
      </c>
      <c r="K3" s="309">
        <f>K21-K2</f>
        <v>3.3585927449166775E-3</v>
      </c>
      <c r="L3" s="309">
        <f t="shared" ref="L3:N3" si="0">L21-L2</f>
        <v>-3.1520061893388629E-3</v>
      </c>
      <c r="M3" s="309">
        <f t="shared" si="0"/>
        <v>2.2040221665520221E-3</v>
      </c>
      <c r="N3" s="309">
        <f t="shared" si="0"/>
        <v>0</v>
      </c>
      <c r="O3" s="309">
        <f t="shared" ref="O3:P3" si="1">O21+O34+O45-O2</f>
        <v>0</v>
      </c>
      <c r="P3" s="309">
        <f t="shared" si="1"/>
        <v>0</v>
      </c>
      <c r="Q3" s="308"/>
      <c r="R3" s="304"/>
      <c r="S3" s="214"/>
      <c r="T3" s="214"/>
      <c r="U3" s="215"/>
    </row>
    <row r="4" spans="1:22" ht="85.5" customHeight="1" thickBot="1" x14ac:dyDescent="0.25">
      <c r="A4" s="223" t="s">
        <v>1514</v>
      </c>
      <c r="B4" s="223" t="s">
        <v>1515</v>
      </c>
      <c r="C4" s="223" t="s">
        <v>893</v>
      </c>
      <c r="D4" s="223" t="s">
        <v>783</v>
      </c>
      <c r="E4" s="223" t="s">
        <v>783</v>
      </c>
      <c r="F4" s="227">
        <f>SUM(F5:F20)</f>
        <v>6688041.1800000006</v>
      </c>
      <c r="G4" s="228">
        <f>'DOE25'!L212+'DOE25'!L291</f>
        <v>6688041.1816905085</v>
      </c>
      <c r="H4" s="263">
        <f>F4-G4</f>
        <v>-1.6905078664422035E-3</v>
      </c>
      <c r="I4" s="312" t="str">
        <f>IF(H4=0,"","ERROR!! Please review pages 7 and 11 totals in comparison with total on this page")</f>
        <v>ERROR!! Please review pages 7 and 11 totals in comparison with total on this page</v>
      </c>
      <c r="J4" s="223" t="s">
        <v>1514</v>
      </c>
      <c r="K4" s="305" t="s">
        <v>1776</v>
      </c>
      <c r="L4" s="305" t="s">
        <v>1775</v>
      </c>
      <c r="M4" s="305" t="s">
        <v>1779</v>
      </c>
      <c r="N4" s="305" t="s">
        <v>1780</v>
      </c>
      <c r="O4" s="305" t="s">
        <v>1803</v>
      </c>
      <c r="P4" s="305" t="s">
        <v>1804</v>
      </c>
      <c r="Q4" s="305" t="s">
        <v>1781</v>
      </c>
    </row>
    <row r="5" spans="1:22" x14ac:dyDescent="0.2">
      <c r="A5" s="71" t="s">
        <v>1798</v>
      </c>
      <c r="B5" s="229">
        <v>99991</v>
      </c>
      <c r="C5" s="222" t="s">
        <v>1531</v>
      </c>
      <c r="D5" s="219">
        <v>110388.96</v>
      </c>
      <c r="E5" s="219">
        <v>0</v>
      </c>
      <c r="F5" s="231">
        <f>D5+E5</f>
        <v>110388.96</v>
      </c>
      <c r="G5" s="222"/>
      <c r="H5" s="222"/>
      <c r="J5" s="71" t="s">
        <v>1798</v>
      </c>
      <c r="K5" s="20">
        <v>110388.96</v>
      </c>
      <c r="L5" s="20">
        <v>0</v>
      </c>
      <c r="M5" s="20">
        <v>0</v>
      </c>
      <c r="N5" s="20">
        <v>0</v>
      </c>
      <c r="O5" s="20">
        <v>0</v>
      </c>
      <c r="P5" s="20">
        <v>0</v>
      </c>
      <c r="Q5" s="20">
        <v>0</v>
      </c>
    </row>
    <row r="6" spans="1:22" x14ac:dyDescent="0.2">
      <c r="A6" t="str" cm="1">
        <f t="array" ref="A6">IFERROR(INDEX('School Tables'!$A$4:$G$365,'School Tables'!$J4,3),"")</f>
        <v>Highbridge Hill Elementary School</v>
      </c>
      <c r="B6" s="229">
        <f>IFERROR(VLOOKUP(A6,'School Tables'!$C$3:$D$365,2,FALSE),"")</f>
        <v>28990</v>
      </c>
      <c r="C6" s="222" t="str">
        <f>IFERROR(INDEX('School Tables'!$B$3:$B$365,MATCH('School Level Expenditures'!B6,'School Tables'!$D$3:$D$365,0)),"")</f>
        <v>Mascenic Regional</v>
      </c>
      <c r="D6" s="219">
        <f>6098283.86-D5</f>
        <v>5987894.9000000004</v>
      </c>
      <c r="E6" s="219">
        <f>633755.66-43998.34</f>
        <v>589757.32000000007</v>
      </c>
      <c r="F6" s="231">
        <f t="shared" ref="F6:F20" si="2">D6+E6</f>
        <v>6577652.2200000007</v>
      </c>
      <c r="G6" s="222"/>
      <c r="H6" s="222"/>
      <c r="J6" t="str">
        <f t="shared" ref="J6:J20" si="3">A6</f>
        <v>Highbridge Hill Elementary School</v>
      </c>
      <c r="K6" s="20">
        <v>3810392.48</v>
      </c>
      <c r="L6" s="20">
        <v>707114.68</v>
      </c>
      <c r="M6" s="306">
        <v>98987.32</v>
      </c>
      <c r="N6" s="20">
        <v>390936.67</v>
      </c>
      <c r="O6" s="20">
        <v>2007208.8</v>
      </c>
      <c r="P6" s="20">
        <v>381426.76</v>
      </c>
      <c r="Q6" s="20">
        <v>136352.76999999999</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6"/>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6"/>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6"/>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6098283.8600000003</v>
      </c>
      <c r="E21" s="261">
        <f>SUM(E5:E20)</f>
        <v>589757.32000000007</v>
      </c>
      <c r="F21" s="216"/>
      <c r="G21" s="216"/>
      <c r="H21" s="216"/>
      <c r="K21" s="262">
        <f t="shared" ref="K21:Q21" si="4">SUM(K5:K20)</f>
        <v>3920781.44</v>
      </c>
      <c r="L21" s="262">
        <f t="shared" si="4"/>
        <v>707114.68</v>
      </c>
      <c r="M21" s="262">
        <f t="shared" si="4"/>
        <v>98987.32</v>
      </c>
      <c r="N21" s="262">
        <f t="shared" si="4"/>
        <v>390936.67</v>
      </c>
      <c r="O21" s="262">
        <f t="shared" si="4"/>
        <v>2007208.8</v>
      </c>
      <c r="P21" s="262">
        <f t="shared" si="4"/>
        <v>381426.76</v>
      </c>
      <c r="Q21" s="262">
        <f t="shared" si="4"/>
        <v>136352.76999999999</v>
      </c>
    </row>
    <row r="22" spans="1:17" ht="12" thickTop="1" x14ac:dyDescent="0.2">
      <c r="B22" s="230"/>
      <c r="C22" s="216"/>
      <c r="D22" s="219"/>
      <c r="E22" s="219"/>
      <c r="F22" s="216"/>
      <c r="G22" s="216"/>
      <c r="H22" s="216"/>
      <c r="K22" s="308"/>
      <c r="L22" s="308"/>
      <c r="M22" s="308"/>
      <c r="N22" s="308"/>
      <c r="O22" s="308"/>
      <c r="P22" s="308"/>
      <c r="Q22" s="308"/>
    </row>
    <row r="23" spans="1:17" ht="27.75" customHeight="1" thickBot="1" x14ac:dyDescent="0.25">
      <c r="B23" s="230"/>
      <c r="C23" s="216"/>
      <c r="D23" s="219"/>
      <c r="E23" s="219"/>
      <c r="F23" s="216"/>
      <c r="G23" s="216"/>
      <c r="H23" s="216"/>
      <c r="J23" s="223" t="s">
        <v>1800</v>
      </c>
      <c r="K23" s="19">
        <f>SUM('DOE25'!L216:L219)+SUM('DOE25'!L296:L299)</f>
        <v>3113245.5679529775</v>
      </c>
      <c r="L23" s="19">
        <f>'DOE25'!L221+'DOE25'!L301</f>
        <v>511904.10724399111</v>
      </c>
      <c r="M23" s="19">
        <f>'DOE25'!L222+'DOE25'!L302</f>
        <v>89916.61854328186</v>
      </c>
      <c r="N23" s="19">
        <f>'DOE25'!L224+'DOE25'!L304</f>
        <v>419312.67</v>
      </c>
    </row>
    <row r="24" spans="1:17" ht="63" customHeight="1" x14ac:dyDescent="0.25">
      <c r="A24" s="221" t="s">
        <v>1526</v>
      </c>
      <c r="B24" s="222"/>
      <c r="C24" s="222"/>
      <c r="D24" s="223" t="s">
        <v>1524</v>
      </c>
      <c r="E24" s="223" t="s">
        <v>1525</v>
      </c>
      <c r="F24" s="224" t="s">
        <v>1532</v>
      </c>
      <c r="G24" s="225" t="s">
        <v>1534</v>
      </c>
      <c r="H24" s="226" t="s">
        <v>1516</v>
      </c>
      <c r="I24" s="312" t="str">
        <f>IF(SUM('DOE25'!G576:G588)&lt;=(SUM('School Level Expenditures'!D26:E26)),"","ERROR!! Other District Expenditures Line Less Than Page 22 Middle School Tuition Total")</f>
        <v/>
      </c>
      <c r="J24" s="223" t="s">
        <v>1516</v>
      </c>
      <c r="K24" s="309">
        <f>K34-K23</f>
        <v>2.0470228046178818E-3</v>
      </c>
      <c r="L24" s="309">
        <f t="shared" ref="L24:N24" si="5">L34-L23</f>
        <v>2.7560088783502579E-3</v>
      </c>
      <c r="M24" s="309">
        <f t="shared" si="5"/>
        <v>1.4567181351594627E-3</v>
      </c>
      <c r="N24" s="309">
        <f t="shared" si="5"/>
        <v>0</v>
      </c>
    </row>
    <row r="25" spans="1:17" ht="61.5" customHeight="1" thickBot="1" x14ac:dyDescent="0.25">
      <c r="A25" s="223" t="s">
        <v>1527</v>
      </c>
      <c r="B25" s="223" t="s">
        <v>1528</v>
      </c>
      <c r="C25" s="223" t="s">
        <v>893</v>
      </c>
      <c r="D25" s="223" t="s">
        <v>783</v>
      </c>
      <c r="E25" s="223" t="s">
        <v>783</v>
      </c>
      <c r="F25" s="232">
        <f>SUM(F26:F33)</f>
        <v>5588810.4100000001</v>
      </c>
      <c r="G25" s="228">
        <f>'DOE25'!L230+'DOE25'!L310</f>
        <v>5588810.4055448947</v>
      </c>
      <c r="H25" s="263">
        <f>F25-G25</f>
        <v>4.4551054015755653E-3</v>
      </c>
      <c r="I25" s="312" t="str">
        <f>IF(H25=0,"","ERROR!! Please review pages 8 and 12 totals in comparison with total on this page")</f>
        <v>ERROR!! Please review pages 8 and 12 totals in comparison with total on this page</v>
      </c>
      <c r="J25" s="223" t="s">
        <v>1527</v>
      </c>
      <c r="K25" s="305" t="s">
        <v>1776</v>
      </c>
      <c r="L25" s="305" t="s">
        <v>1775</v>
      </c>
      <c r="M25" s="305" t="s">
        <v>1779</v>
      </c>
      <c r="N25" s="305" t="s">
        <v>1780</v>
      </c>
      <c r="O25" s="305" t="s">
        <v>1778</v>
      </c>
      <c r="P25" s="305" t="s">
        <v>1777</v>
      </c>
      <c r="Q25" s="305" t="s">
        <v>1781</v>
      </c>
    </row>
    <row r="26" spans="1:17" x14ac:dyDescent="0.2">
      <c r="A26" s="71" t="s">
        <v>1798</v>
      </c>
      <c r="B26" s="229">
        <v>99992</v>
      </c>
      <c r="C26" s="222" t="s">
        <v>1531</v>
      </c>
      <c r="D26" s="219">
        <v>186398.99</v>
      </c>
      <c r="E26" s="219">
        <v>0</v>
      </c>
      <c r="F26" s="231">
        <f>D26+E26</f>
        <v>186398.99</v>
      </c>
      <c r="G26" s="222"/>
      <c r="H26" s="222"/>
      <c r="J26" s="71" t="s">
        <v>1798</v>
      </c>
      <c r="K26" s="314">
        <v>186398.99</v>
      </c>
      <c r="L26" s="314">
        <v>0</v>
      </c>
      <c r="M26" s="314">
        <v>0</v>
      </c>
      <c r="N26" s="314">
        <v>0</v>
      </c>
      <c r="O26" s="314">
        <v>0</v>
      </c>
      <c r="P26" s="314">
        <v>0</v>
      </c>
      <c r="Q26" s="314">
        <v>0</v>
      </c>
    </row>
    <row r="27" spans="1:17" x14ac:dyDescent="0.2">
      <c r="A27" t="str" cm="1">
        <f t="array" ref="A27">IFERROR(INDEX('School Tables'!$L$4:$R$100,'School Tables'!$U4,3),"")</f>
        <v>Boynton Middle School</v>
      </c>
      <c r="B27" s="229">
        <f>IFERROR(VLOOKUP(A27,'School Tables'!$N$4:$O$100,2,FALSE),"")</f>
        <v>26685</v>
      </c>
      <c r="C27" s="222" t="str">
        <f>IFERROR(INDEX('School Tables'!$M$4:$M$100,MATCH('School Level Expenditures'!A27,'School Tables'!$N$4:$N$100,0)),"")</f>
        <v>Mascenic Regional</v>
      </c>
      <c r="D27" s="219">
        <f>5290789.94-D26</f>
        <v>5104390.95</v>
      </c>
      <c r="E27" s="219">
        <f>321345.11-23324.64</f>
        <v>298020.46999999997</v>
      </c>
      <c r="F27" s="231">
        <f t="shared" ref="F27:F33" si="6">D27+E27</f>
        <v>5402411.4199999999</v>
      </c>
      <c r="G27" s="222"/>
      <c r="H27" s="222"/>
      <c r="J27" t="str">
        <f t="shared" ref="J27:J33" si="7">A27</f>
        <v>Boynton Middle School</v>
      </c>
      <c r="K27" s="20">
        <v>2926846.58</v>
      </c>
      <c r="L27" s="20">
        <v>511904.11</v>
      </c>
      <c r="M27" s="306">
        <v>89916.62</v>
      </c>
      <c r="N27" s="20">
        <v>419312.67</v>
      </c>
      <c r="O27" s="20">
        <v>1628565.79</v>
      </c>
      <c r="P27" s="20">
        <v>136179.10999999999</v>
      </c>
      <c r="Q27" s="20">
        <v>17432.29</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5290789.9400000004</v>
      </c>
      <c r="E34" s="261">
        <f>SUM(E26:E33)</f>
        <v>298020.46999999997</v>
      </c>
      <c r="F34" s="216"/>
      <c r="G34" s="216"/>
      <c r="H34" s="216"/>
      <c r="K34" s="262">
        <f t="shared" ref="K34:Q34" si="8">SUM(K26:K33)</f>
        <v>3113245.5700000003</v>
      </c>
      <c r="L34" s="262">
        <f t="shared" si="8"/>
        <v>511904.11</v>
      </c>
      <c r="M34" s="262">
        <f t="shared" si="8"/>
        <v>89916.62</v>
      </c>
      <c r="N34" s="262">
        <f t="shared" si="8"/>
        <v>419312.67</v>
      </c>
      <c r="O34" s="262">
        <f t="shared" si="8"/>
        <v>1628565.79</v>
      </c>
      <c r="P34" s="262">
        <f t="shared" si="8"/>
        <v>136179.10999999999</v>
      </c>
      <c r="Q34" s="262">
        <f t="shared" si="8"/>
        <v>17432.29</v>
      </c>
    </row>
    <row r="35" spans="1:17" ht="12" thickTop="1" x14ac:dyDescent="0.2">
      <c r="B35" s="230"/>
      <c r="C35" s="216"/>
      <c r="D35" s="219"/>
      <c r="E35" s="219"/>
      <c r="F35" s="216"/>
      <c r="G35" s="216"/>
      <c r="H35" s="216"/>
      <c r="K35" s="308"/>
      <c r="L35" s="308"/>
      <c r="M35" s="308"/>
      <c r="N35" s="308"/>
      <c r="O35" s="308"/>
      <c r="P35" s="308"/>
      <c r="Q35" s="308"/>
    </row>
    <row r="36" spans="1:17" ht="26.25" customHeight="1" thickBot="1" x14ac:dyDescent="0.25">
      <c r="B36" s="230"/>
      <c r="C36" s="216"/>
      <c r="D36" s="219"/>
      <c r="E36" s="219"/>
      <c r="F36" s="216"/>
      <c r="G36" s="216"/>
      <c r="H36" s="216"/>
      <c r="J36" s="223" t="s">
        <v>1801</v>
      </c>
      <c r="K36" s="19">
        <f>SUM('DOE25'!L234:L237)+SUM('DOE25'!L315:L318)</f>
        <v>3135667.3654056159</v>
      </c>
      <c r="L36" s="19">
        <f>'DOE25'!L239+'DOE25'!L320</f>
        <v>562488.25960400281</v>
      </c>
      <c r="M36" s="19">
        <f>'DOE25'!L240+'DOE25'!L321</f>
        <v>130218.91366074031</v>
      </c>
      <c r="N36" s="19">
        <f>'DOE25'!L242+'DOE25'!L323</f>
        <v>562640.88</v>
      </c>
    </row>
    <row r="37" spans="1:17" ht="65.25" customHeight="1" x14ac:dyDescent="0.25">
      <c r="A37" s="217" t="s">
        <v>367</v>
      </c>
      <c r="B37" s="222"/>
      <c r="C37" s="222"/>
      <c r="D37" s="223" t="s">
        <v>1524</v>
      </c>
      <c r="E37" s="223" t="s">
        <v>1525</v>
      </c>
      <c r="F37" s="224" t="s">
        <v>1532</v>
      </c>
      <c r="G37" s="225" t="s">
        <v>1535</v>
      </c>
      <c r="H37" s="226" t="s">
        <v>1516</v>
      </c>
      <c r="I37" s="312" t="str">
        <f>IF(SUM('DOE25'!H576:H588)&lt;=(SUM('School Level Expenditures'!D39:E39)),"","ERROR!! Other District Expenditures Line Less Than Page 22 High School Tuition Total")</f>
        <v/>
      </c>
      <c r="J37" s="223" t="s">
        <v>1516</v>
      </c>
      <c r="K37" s="309">
        <f>K45-K36</f>
        <v>4.5943842269480228E-3</v>
      </c>
      <c r="L37" s="309">
        <f t="shared" ref="L37:N37" si="9">L45-L36</f>
        <v>3.959971945732832E-4</v>
      </c>
      <c r="M37" s="309">
        <f t="shared" si="9"/>
        <v>-3.6607403017114848E-3</v>
      </c>
      <c r="N37" s="309">
        <f t="shared" si="9"/>
        <v>0</v>
      </c>
    </row>
    <row r="38" spans="1:17" ht="63.75" customHeight="1" thickBot="1" x14ac:dyDescent="0.25">
      <c r="A38" s="218" t="s">
        <v>1529</v>
      </c>
      <c r="B38" s="223" t="s">
        <v>1530</v>
      </c>
      <c r="C38" s="223" t="s">
        <v>893</v>
      </c>
      <c r="D38" s="223" t="s">
        <v>783</v>
      </c>
      <c r="E38" s="223" t="s">
        <v>783</v>
      </c>
      <c r="F38" s="232">
        <f>SUM(F39:F44)</f>
        <v>6038642.3099999996</v>
      </c>
      <c r="G38" s="228">
        <f>'DOE25'!L248+'DOE25'!L329</f>
        <v>6038642.3127645962</v>
      </c>
      <c r="H38" s="263">
        <f>F38-G38</f>
        <v>-2.7645966038107872E-3</v>
      </c>
      <c r="I38" s="312" t="str">
        <f>IF(H38=0,"","ERROR!! Please review pages 9 and 13 totals in comparison with total on this page")</f>
        <v>ERROR!! Please review pages 9 and 13 totals in comparison with total on this page</v>
      </c>
      <c r="J38" s="223" t="s">
        <v>1529</v>
      </c>
      <c r="K38" s="305" t="s">
        <v>1776</v>
      </c>
      <c r="L38" s="305" t="s">
        <v>1775</v>
      </c>
      <c r="M38" s="305" t="s">
        <v>1779</v>
      </c>
      <c r="N38" s="305" t="s">
        <v>1780</v>
      </c>
      <c r="O38" s="305" t="s">
        <v>1778</v>
      </c>
      <c r="P38" s="305" t="s">
        <v>1777</v>
      </c>
      <c r="Q38" s="305" t="s">
        <v>1781</v>
      </c>
    </row>
    <row r="39" spans="1:17" x14ac:dyDescent="0.2">
      <c r="A39" s="71" t="s">
        <v>1798</v>
      </c>
      <c r="B39" s="229">
        <v>99993</v>
      </c>
      <c r="C39" s="222" t="s">
        <v>1531</v>
      </c>
      <c r="D39" s="219">
        <v>119712.87</v>
      </c>
      <c r="E39" s="219">
        <v>0</v>
      </c>
      <c r="F39" s="231">
        <f t="shared" ref="F39:F44" si="10">D39+E39</f>
        <v>119712.87</v>
      </c>
      <c r="G39" s="222"/>
      <c r="H39" s="222"/>
      <c r="J39" s="71" t="s">
        <v>1798</v>
      </c>
      <c r="K39" s="314">
        <v>119712.87</v>
      </c>
      <c r="L39" s="314">
        <v>0</v>
      </c>
      <c r="M39" s="314">
        <v>0</v>
      </c>
      <c r="N39" s="314">
        <v>0</v>
      </c>
      <c r="O39" s="314">
        <v>0</v>
      </c>
      <c r="P39" s="314">
        <v>0</v>
      </c>
      <c r="Q39" s="314">
        <v>0</v>
      </c>
    </row>
    <row r="40" spans="1:17" x14ac:dyDescent="0.2">
      <c r="A40" t="str" cm="1">
        <f t="array" ref="A40">IFERROR(INDEX('School Tables'!$W$4:$AC$120,'School Tables'!$AF4,3),"")</f>
        <v>Mascenic Regional High School</v>
      </c>
      <c r="B40" s="229">
        <f>IFERROR(VLOOKUP(A40,'School Tables'!$Y$4:$Z$120,2,FALSE),"")</f>
        <v>23050</v>
      </c>
      <c r="C40" s="222" t="str">
        <f>IFERROR(INDEX('School Tables'!$X$4:$X$120,MATCH('School Level Expenditures'!A40,'School Tables'!$Y$4:$Y$120,0)),"")</f>
        <v>Mascenic Regional</v>
      </c>
      <c r="D40" s="219">
        <f>5722157.47-D39</f>
        <v>5602444.5999999996</v>
      </c>
      <c r="E40" s="219">
        <f>340636.32-24151.48</f>
        <v>316484.84000000003</v>
      </c>
      <c r="F40" s="231">
        <f t="shared" si="10"/>
        <v>5918929.4399999995</v>
      </c>
      <c r="G40" s="222"/>
      <c r="H40" s="222"/>
      <c r="J40" t="str">
        <f>A40</f>
        <v>Mascenic Regional High School</v>
      </c>
      <c r="K40" s="20">
        <v>3015954.5</v>
      </c>
      <c r="L40" s="20">
        <v>562488.26</v>
      </c>
      <c r="M40" s="306">
        <v>130218.91</v>
      </c>
      <c r="N40" s="20">
        <v>562640.88</v>
      </c>
      <c r="O40" s="20">
        <v>1651371.3900000001</v>
      </c>
      <c r="P40" s="20">
        <v>129679.01</v>
      </c>
      <c r="Q40" s="20">
        <v>27909.26</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5722157.4699999997</v>
      </c>
      <c r="E45" s="262">
        <f>SUM(E39:E44)</f>
        <v>316484.84000000003</v>
      </c>
      <c r="K45" s="262">
        <f t="shared" ref="K45:Q45" si="11">SUM(K39:K44)</f>
        <v>3135667.37</v>
      </c>
      <c r="L45" s="262">
        <f t="shared" si="11"/>
        <v>562488.26</v>
      </c>
      <c r="M45" s="262">
        <f t="shared" si="11"/>
        <v>130218.91</v>
      </c>
      <c r="N45" s="262">
        <f t="shared" si="11"/>
        <v>562640.88</v>
      </c>
      <c r="O45" s="262">
        <f t="shared" si="11"/>
        <v>1651371.3900000001</v>
      </c>
      <c r="P45" s="262">
        <f t="shared" si="11"/>
        <v>129679.01</v>
      </c>
      <c r="Q45" s="262">
        <f t="shared" si="11"/>
        <v>27909.26</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30"/>
      <c r="B60" s="330"/>
      <c r="C60" s="330"/>
      <c r="D60" s="330"/>
      <c r="E60" s="330"/>
      <c r="F60" s="330"/>
      <c r="G60" s="330"/>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CcS6wmr+8T2uHEXzvIgdLjB/UUSQXiFJC3NMlSVYsL/Iz1X46oNK+abDDrNhzPWUWx7VS9GGPiS4JhbzGLv26g==" saltValue="MkxYR0NHfHr5lXRlOl+Pfg=="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38" fitToHeight="0" orientation="landscape" r:id="rId1"/>
  <colBreaks count="1" manualBreakCount="1">
    <brk id="9"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21" zoomScale="80" zoomScaleNormal="80" workbookViewId="0">
      <selection activeCell="G21" sqref="G2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Mascenic Regional</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1497037.22</v>
      </c>
      <c r="D8" s="73">
        <f>'DOE25'!G9</f>
        <v>0</v>
      </c>
      <c r="E8" s="73">
        <f>'DOE25'!H9</f>
        <v>0</v>
      </c>
      <c r="F8" s="73">
        <f>'DOE25'!I9</f>
        <v>0</v>
      </c>
      <c r="G8" s="73">
        <f>'DOE25'!J9</f>
        <v>0</v>
      </c>
      <c r="H8" s="13">
        <f>SUM(C8:G8)</f>
        <v>1497037.22</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212576.30000000005</v>
      </c>
      <c r="D11" s="73">
        <f>'DOE25'!G12</f>
        <v>13809.49</v>
      </c>
      <c r="E11" s="73">
        <f>'DOE25'!H12</f>
        <v>0</v>
      </c>
      <c r="F11" s="73">
        <f>'DOE25'!I12</f>
        <v>0</v>
      </c>
      <c r="G11" s="73">
        <f>'DOE25'!J12</f>
        <v>0</v>
      </c>
      <c r="H11" s="13">
        <f t="shared" si="0"/>
        <v>226385.79000000004</v>
      </c>
      <c r="I11" s="90"/>
    </row>
    <row r="12" spans="1:9" x14ac:dyDescent="0.2">
      <c r="A12" s="1" t="s">
        <v>143</v>
      </c>
      <c r="B12" s="6">
        <v>140</v>
      </c>
      <c r="C12" s="73">
        <f>'DOE25'!F13</f>
        <v>0</v>
      </c>
      <c r="D12" s="73">
        <f>'DOE25'!G13</f>
        <v>7305.18</v>
      </c>
      <c r="E12" s="73">
        <f>'DOE25'!H13</f>
        <v>245804.79999999999</v>
      </c>
      <c r="F12" s="73">
        <f>'DOE25'!I13</f>
        <v>0</v>
      </c>
      <c r="G12" s="73">
        <f>'DOE25'!J13</f>
        <v>828697.83000000007</v>
      </c>
      <c r="H12" s="13">
        <f t="shared" si="0"/>
        <v>1081807.81</v>
      </c>
      <c r="I12" s="90"/>
    </row>
    <row r="13" spans="1:9" x14ac:dyDescent="0.2">
      <c r="A13" s="1" t="s">
        <v>144</v>
      </c>
      <c r="B13" s="6">
        <v>150</v>
      </c>
      <c r="C13" s="73">
        <f>'DOE25'!F14</f>
        <v>48784.18</v>
      </c>
      <c r="D13" s="73">
        <f>'DOE25'!G14</f>
        <v>0</v>
      </c>
      <c r="E13" s="73">
        <f>'DOE25'!H14</f>
        <v>0</v>
      </c>
      <c r="F13" s="73">
        <f>'DOE25'!I14</f>
        <v>0</v>
      </c>
      <c r="G13" s="73">
        <f>'DOE25'!J14</f>
        <v>0</v>
      </c>
      <c r="H13" s="13">
        <f t="shared" si="0"/>
        <v>48784.18</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12413.16</v>
      </c>
      <c r="E15" s="73">
        <f>'DOE25'!H16</f>
        <v>0</v>
      </c>
      <c r="F15" s="73">
        <f>'DOE25'!I16</f>
        <v>0</v>
      </c>
      <c r="G15" s="23" t="s">
        <v>288</v>
      </c>
      <c r="H15" s="13">
        <f t="shared" si="0"/>
        <v>12413.16</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1758397.7</v>
      </c>
      <c r="D18" s="38">
        <f>SUM(D8:D17)</f>
        <v>33527.83</v>
      </c>
      <c r="E18" s="38">
        <f>SUM(E8:E17)</f>
        <v>245804.79999999999</v>
      </c>
      <c r="F18" s="38">
        <f>SUM(F8:F17)</f>
        <v>0</v>
      </c>
      <c r="G18" s="38">
        <f>SUM(G8:G17)</f>
        <v>828697.83000000007</v>
      </c>
      <c r="H18" s="38">
        <f t="shared" si="0"/>
        <v>2866428.16</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226385.79</v>
      </c>
      <c r="F21" s="73">
        <f>'DOE25'!I22</f>
        <v>0</v>
      </c>
      <c r="G21" s="73">
        <f>'DOE25'!J22</f>
        <v>0</v>
      </c>
      <c r="H21" s="13">
        <f t="shared" ref="H21:H31" si="1">SUM(C21:G21)</f>
        <v>226385.79</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239854.14</v>
      </c>
      <c r="D23" s="73">
        <f>'DOE25'!G24</f>
        <v>5617.09</v>
      </c>
      <c r="E23" s="73">
        <f>'DOE25'!H24</f>
        <v>0</v>
      </c>
      <c r="F23" s="73">
        <f>'DOE25'!I24</f>
        <v>0</v>
      </c>
      <c r="G23" s="73">
        <f>'DOE25'!J24</f>
        <v>0</v>
      </c>
      <c r="H23" s="13">
        <f t="shared" si="1"/>
        <v>245471.23</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24615.600000000002</v>
      </c>
      <c r="D27" s="73">
        <f>'DOE25'!G28</f>
        <v>0</v>
      </c>
      <c r="E27" s="73">
        <f>'DOE25'!H28</f>
        <v>0</v>
      </c>
      <c r="F27" s="73">
        <f>'DOE25'!I28</f>
        <v>0</v>
      </c>
      <c r="G27" s="23" t="s">
        <v>288</v>
      </c>
      <c r="H27" s="13">
        <f t="shared" si="1"/>
        <v>24615.600000000002</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27890.16</v>
      </c>
      <c r="E29" s="73">
        <f>'DOE25'!H30</f>
        <v>19111.7</v>
      </c>
      <c r="F29" s="73">
        <f>'DOE25'!I30</f>
        <v>0</v>
      </c>
      <c r="G29" s="23" t="s">
        <v>288</v>
      </c>
      <c r="H29" s="13">
        <f t="shared" si="1"/>
        <v>47001.86</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264469.74</v>
      </c>
      <c r="D31" s="38">
        <f>SUM(D21:D30)</f>
        <v>33507.25</v>
      </c>
      <c r="E31" s="38">
        <f>SUM(E21:E30)</f>
        <v>245497.49000000002</v>
      </c>
      <c r="F31" s="38">
        <f>SUM(F21:F30)</f>
        <v>0</v>
      </c>
      <c r="G31" s="38">
        <f>SUM(G21:G30)</f>
        <v>0</v>
      </c>
      <c r="H31" s="38">
        <f t="shared" si="1"/>
        <v>543474.48</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12413.16</v>
      </c>
      <c r="E34" s="73">
        <f>'DOE25'!H35</f>
        <v>0</v>
      </c>
      <c r="F34" s="73">
        <f>'DOE25'!I35</f>
        <v>0</v>
      </c>
      <c r="G34" s="23" t="s">
        <v>288</v>
      </c>
      <c r="H34" s="13">
        <f t="shared" ref="H34:H51" si="2">SUM(C34:G34)</f>
        <v>12413.16</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-12392.580000000002</v>
      </c>
      <c r="E39" s="23" t="s">
        <v>288</v>
      </c>
      <c r="F39" s="23" t="s">
        <v>288</v>
      </c>
      <c r="G39" s="23" t="s">
        <v>288</v>
      </c>
      <c r="H39" s="13">
        <f t="shared" si="2"/>
        <v>-12392.580000000002</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150000</v>
      </c>
      <c r="D43" s="73">
        <f>'DOE25'!G44</f>
        <v>0</v>
      </c>
      <c r="E43" s="73">
        <f>'DOE25'!H44</f>
        <v>0</v>
      </c>
      <c r="F43" s="73">
        <f>'DOE25'!I44</f>
        <v>0</v>
      </c>
      <c r="G43" s="23" t="s">
        <v>288</v>
      </c>
      <c r="H43" s="13">
        <f t="shared" si="2"/>
        <v>150000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302883</v>
      </c>
      <c r="D45" s="23" t="s">
        <v>288</v>
      </c>
      <c r="E45" s="23" t="s">
        <v>288</v>
      </c>
      <c r="F45" s="23" t="s">
        <v>288</v>
      </c>
      <c r="G45" s="23" t="s">
        <v>288</v>
      </c>
      <c r="H45" s="13">
        <f t="shared" si="2"/>
        <v>302883</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307.31</v>
      </c>
      <c r="F47" s="73">
        <f>'DOE25'!I48</f>
        <v>0</v>
      </c>
      <c r="G47" s="73">
        <f>'DOE25'!J48</f>
        <v>828697.83000000007</v>
      </c>
      <c r="H47" s="13">
        <f t="shared" si="2"/>
        <v>829005.14000000013</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1041044.9600000001</v>
      </c>
      <c r="D49" s="23" t="s">
        <v>288</v>
      </c>
      <c r="E49" s="23" t="s">
        <v>288</v>
      </c>
      <c r="F49" s="23" t="s">
        <v>288</v>
      </c>
      <c r="G49" s="23" t="s">
        <v>288</v>
      </c>
      <c r="H49" s="13">
        <f t="shared" si="2"/>
        <v>1041044.9600000001</v>
      </c>
      <c r="I49" s="90"/>
    </row>
    <row r="50" spans="1:9" ht="12.75" thickTop="1" thickBot="1" x14ac:dyDescent="0.25">
      <c r="A50" s="35" t="s">
        <v>880</v>
      </c>
      <c r="B50" s="44"/>
      <c r="C50" s="38">
        <f>SUM(C34:C49)</f>
        <v>1493927.96</v>
      </c>
      <c r="D50" s="38">
        <f>SUM(D34:D49)</f>
        <v>20.579999999998108</v>
      </c>
      <c r="E50" s="38">
        <f>SUM(E34:E49)</f>
        <v>307.31</v>
      </c>
      <c r="F50" s="38">
        <f>SUM(F34:F49)</f>
        <v>0</v>
      </c>
      <c r="G50" s="38">
        <f>SUM(G34:G49)</f>
        <v>828697.83000000007</v>
      </c>
      <c r="H50" s="38">
        <f t="shared" si="2"/>
        <v>2322953.6800000002</v>
      </c>
      <c r="I50" s="90"/>
    </row>
    <row r="51" spans="1:9" ht="12" thickTop="1" x14ac:dyDescent="0.2">
      <c r="A51" s="35" t="s">
        <v>881</v>
      </c>
      <c r="B51" s="2"/>
      <c r="C51" s="38">
        <f>C50+C31</f>
        <v>1758397.7</v>
      </c>
      <c r="D51" s="38">
        <f>D50+D31</f>
        <v>33527.83</v>
      </c>
      <c r="E51" s="38">
        <f>E50+E31</f>
        <v>245804.80000000002</v>
      </c>
      <c r="F51" s="38">
        <f>F50+F31</f>
        <v>0</v>
      </c>
      <c r="G51" s="38">
        <f>G50+G31</f>
        <v>828697.83000000007</v>
      </c>
      <c r="H51" s="38">
        <f t="shared" si="2"/>
        <v>2866428.16</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10982599.42</v>
      </c>
      <c r="D56" s="73">
        <f>'DOE25'!G60</f>
        <v>0</v>
      </c>
      <c r="E56" s="73">
        <f>'DOE25'!H60</f>
        <v>0</v>
      </c>
      <c r="F56" s="73">
        <f>'DOE25'!I60</f>
        <v>0</v>
      </c>
      <c r="G56" s="73">
        <f>'DOE25'!J60</f>
        <v>0</v>
      </c>
      <c r="H56" s="13">
        <f t="shared" ref="H56:H63" si="3">SUM(C56:G56)</f>
        <v>10982599.42</v>
      </c>
      <c r="I56"/>
    </row>
    <row r="57" spans="1:9" x14ac:dyDescent="0.2">
      <c r="A57" s="1" t="s">
        <v>164</v>
      </c>
      <c r="B57" s="6" t="s">
        <v>165</v>
      </c>
      <c r="C57" s="73">
        <f>'DOE25'!F79</f>
        <v>54486.37</v>
      </c>
      <c r="D57" s="23" t="s">
        <v>288</v>
      </c>
      <c r="E57" s="73">
        <f>'DOE25'!H79</f>
        <v>0</v>
      </c>
      <c r="F57" s="23" t="s">
        <v>288</v>
      </c>
      <c r="G57" s="23" t="s">
        <v>288</v>
      </c>
      <c r="H57" s="13">
        <f t="shared" si="3"/>
        <v>54486.37</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68734.259999999995</v>
      </c>
      <c r="D59" s="73">
        <f>'DOE25'!G96</f>
        <v>0</v>
      </c>
      <c r="E59" s="73">
        <f>'DOE25'!H96</f>
        <v>0</v>
      </c>
      <c r="F59" s="73">
        <f>'DOE25'!I96</f>
        <v>0</v>
      </c>
      <c r="G59" s="73">
        <f>'DOE25'!J96</f>
        <v>0</v>
      </c>
      <c r="H59" s="13">
        <f t="shared" si="3"/>
        <v>68734.259999999995</v>
      </c>
      <c r="I59"/>
    </row>
    <row r="60" spans="1:9" x14ac:dyDescent="0.2">
      <c r="A60" s="1" t="s">
        <v>170</v>
      </c>
      <c r="B60" s="22" t="s">
        <v>171</v>
      </c>
      <c r="C60" s="23" t="s">
        <v>288</v>
      </c>
      <c r="D60" s="73">
        <f>'DOE25'!G97</f>
        <v>194411.08</v>
      </c>
      <c r="E60" s="23" t="s">
        <v>288</v>
      </c>
      <c r="F60" s="23" t="s">
        <v>288</v>
      </c>
      <c r="G60" s="23" t="s">
        <v>288</v>
      </c>
      <c r="H60" s="13">
        <f t="shared" si="3"/>
        <v>194411.08</v>
      </c>
      <c r="I60"/>
    </row>
    <row r="61" spans="1:9" ht="12" thickBot="1" x14ac:dyDescent="0.25">
      <c r="A61" s="1" t="s">
        <v>172</v>
      </c>
      <c r="B61" s="22" t="s">
        <v>173</v>
      </c>
      <c r="C61" s="73">
        <f>SUM('DOE25'!F98:F110)</f>
        <v>174560.91999999998</v>
      </c>
      <c r="D61" s="73">
        <f>SUM('DOE25'!G98:G110)</f>
        <v>0</v>
      </c>
      <c r="E61" s="73">
        <f>SUM('DOE25'!H98:H110)</f>
        <v>63917.52</v>
      </c>
      <c r="F61" s="73">
        <f>SUM('DOE25'!I98:I110)</f>
        <v>0</v>
      </c>
      <c r="G61" s="73">
        <f>SUM('DOE25'!J98:J110)</f>
        <v>0</v>
      </c>
      <c r="H61" s="13">
        <f t="shared" si="3"/>
        <v>238478.43999999997</v>
      </c>
      <c r="I61"/>
    </row>
    <row r="62" spans="1:9" ht="12.75" thickTop="1" thickBot="1" x14ac:dyDescent="0.25">
      <c r="A62" s="28" t="s">
        <v>174</v>
      </c>
      <c r="B62" s="6"/>
      <c r="C62" s="93">
        <f>SUM(C57:C61)</f>
        <v>297781.55</v>
      </c>
      <c r="D62" s="93">
        <f>SUM(D57:D61)</f>
        <v>194411.08</v>
      </c>
      <c r="E62" s="93">
        <f>SUM(E57:E61)</f>
        <v>63917.52</v>
      </c>
      <c r="F62" s="93">
        <f>SUM(F57:F61)</f>
        <v>0</v>
      </c>
      <c r="G62" s="93">
        <f>SUM(G57:G61)</f>
        <v>0</v>
      </c>
      <c r="H62" s="13">
        <f t="shared" si="3"/>
        <v>556110.15</v>
      </c>
      <c r="I62"/>
    </row>
    <row r="63" spans="1:9" ht="12" thickTop="1" x14ac:dyDescent="0.2">
      <c r="A63" s="28" t="s">
        <v>175</v>
      </c>
      <c r="B63" s="6"/>
      <c r="C63" s="21">
        <f>C56+C62</f>
        <v>11280380.970000001</v>
      </c>
      <c r="D63" s="21">
        <f>D56+D62</f>
        <v>194411.08</v>
      </c>
      <c r="E63" s="21">
        <f>E56+E62</f>
        <v>63917.52</v>
      </c>
      <c r="F63" s="21">
        <f>F56+F62</f>
        <v>0</v>
      </c>
      <c r="G63" s="21">
        <f>G56+G62</f>
        <v>0</v>
      </c>
      <c r="H63" s="13">
        <f t="shared" si="3"/>
        <v>11538709.57</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5063672.58</v>
      </c>
      <c r="D66" s="23" t="s">
        <v>288</v>
      </c>
      <c r="E66" s="23" t="s">
        <v>288</v>
      </c>
      <c r="F66" s="23" t="s">
        <v>288</v>
      </c>
      <c r="G66" s="23" t="s">
        <v>288</v>
      </c>
      <c r="H66" s="13">
        <f t="shared" ref="H66:H81" si="4">SUM(C66:G66)</f>
        <v>5063672.58</v>
      </c>
      <c r="I66"/>
    </row>
    <row r="67" spans="1:9" x14ac:dyDescent="0.2">
      <c r="A67" s="1" t="s">
        <v>767</v>
      </c>
      <c r="B67" s="6">
        <v>3112</v>
      </c>
      <c r="C67" s="73">
        <f>'DOE25'!F118</f>
        <v>1132739</v>
      </c>
      <c r="D67" s="23"/>
      <c r="E67" s="23"/>
      <c r="F67" s="23"/>
      <c r="G67" s="23"/>
      <c r="H67" s="13">
        <f t="shared" si="4"/>
        <v>1132739</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22224.73</v>
      </c>
      <c r="D69" s="73">
        <f>'DOE25'!G120</f>
        <v>0</v>
      </c>
      <c r="E69" s="73">
        <f>'DOE25'!H120</f>
        <v>0</v>
      </c>
      <c r="F69" s="73">
        <f>'DOE25'!I120</f>
        <v>0</v>
      </c>
      <c r="G69" s="73">
        <f>'DOE25'!J120</f>
        <v>0</v>
      </c>
      <c r="H69" s="13">
        <f t="shared" si="4"/>
        <v>22224.73</v>
      </c>
      <c r="I69"/>
    </row>
    <row r="70" spans="1:9" ht="12" thickTop="1" x14ac:dyDescent="0.2">
      <c r="A70" s="28" t="s">
        <v>252</v>
      </c>
      <c r="B70" s="2"/>
      <c r="C70" s="97">
        <f>SUM(C66:C69)</f>
        <v>6218636.3100000005</v>
      </c>
      <c r="D70" s="97">
        <f>D69</f>
        <v>0</v>
      </c>
      <c r="E70" s="97">
        <f>E69</f>
        <v>0</v>
      </c>
      <c r="F70" s="97">
        <f>F69</f>
        <v>0</v>
      </c>
      <c r="G70" s="97">
        <f>G69</f>
        <v>0</v>
      </c>
      <c r="H70" s="13">
        <f t="shared" si="4"/>
        <v>6218636.3100000005</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797013.03</v>
      </c>
      <c r="D72" s="23" t="s">
        <v>288</v>
      </c>
      <c r="E72" s="23" t="s">
        <v>288</v>
      </c>
      <c r="F72" s="73">
        <f>'DOE25'!I123</f>
        <v>0</v>
      </c>
      <c r="G72" s="23" t="s">
        <v>288</v>
      </c>
      <c r="H72" s="13">
        <f t="shared" si="4"/>
        <v>797013.03</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118900</v>
      </c>
      <c r="D74" s="23"/>
      <c r="E74" s="23"/>
      <c r="F74" s="23"/>
      <c r="G74" s="23"/>
      <c r="H74" s="13">
        <f t="shared" si="4"/>
        <v>118900</v>
      </c>
      <c r="I74"/>
    </row>
    <row r="75" spans="1:9" x14ac:dyDescent="0.2">
      <c r="A75" s="1" t="s">
        <v>256</v>
      </c>
      <c r="B75" s="6">
        <v>3230</v>
      </c>
      <c r="C75" s="73">
        <f>'DOE25'!F126</f>
        <v>38159.879999999997</v>
      </c>
      <c r="D75" s="23" t="s">
        <v>288</v>
      </c>
      <c r="E75" s="23" t="s">
        <v>288</v>
      </c>
      <c r="F75" s="23" t="s">
        <v>288</v>
      </c>
      <c r="G75" s="23" t="s">
        <v>288</v>
      </c>
      <c r="H75" s="13">
        <f t="shared" si="4"/>
        <v>38159.879999999997</v>
      </c>
      <c r="I75"/>
    </row>
    <row r="76" spans="1:9" x14ac:dyDescent="0.2">
      <c r="A76" s="1" t="s">
        <v>257</v>
      </c>
      <c r="B76" s="6" t="s">
        <v>179</v>
      </c>
      <c r="C76" s="73">
        <f>SUM('DOE25'!F127:F130)</f>
        <v>62403.519999999997</v>
      </c>
      <c r="D76" s="23" t="s">
        <v>288</v>
      </c>
      <c r="E76" s="73">
        <f>SUM('DOE25'!H127:H130)</f>
        <v>5545.87</v>
      </c>
      <c r="F76" s="73">
        <f>SUM('DOE25'!I127:I130)</f>
        <v>0</v>
      </c>
      <c r="G76" s="23" t="s">
        <v>288</v>
      </c>
      <c r="H76" s="13">
        <f t="shared" si="4"/>
        <v>67949.39</v>
      </c>
      <c r="I76"/>
    </row>
    <row r="77" spans="1:9" ht="12" thickBot="1" x14ac:dyDescent="0.25">
      <c r="A77" s="1" t="s">
        <v>258</v>
      </c>
      <c r="B77" s="6" t="s">
        <v>180</v>
      </c>
      <c r="C77" s="73">
        <f>SUM('DOE25'!F131:F135)</f>
        <v>0</v>
      </c>
      <c r="D77" s="73">
        <f>SUM('DOE25'!G131:G135)</f>
        <v>5677.46</v>
      </c>
      <c r="E77" s="73">
        <f>SUM('DOE25'!H131:H135)</f>
        <v>0</v>
      </c>
      <c r="F77" s="73">
        <f>SUM('DOE25'!I131:I135)</f>
        <v>0</v>
      </c>
      <c r="G77" s="73">
        <f>SUM('DOE25'!J131:J135)</f>
        <v>0</v>
      </c>
      <c r="H77" s="13">
        <f t="shared" si="4"/>
        <v>5677.46</v>
      </c>
      <c r="I77"/>
    </row>
    <row r="78" spans="1:9" ht="12.75" thickTop="1" thickBot="1" x14ac:dyDescent="0.25">
      <c r="A78" s="28" t="s">
        <v>259</v>
      </c>
      <c r="B78" s="6"/>
      <c r="C78" s="93">
        <f>SUM(C72:C77)</f>
        <v>1016476.43</v>
      </c>
      <c r="D78" s="93">
        <f>SUM(D72:D77)</f>
        <v>5677.46</v>
      </c>
      <c r="E78" s="93">
        <f>SUM(E72:E77)</f>
        <v>5545.87</v>
      </c>
      <c r="F78" s="93">
        <f>SUM(F72:F77)</f>
        <v>0</v>
      </c>
      <c r="G78" s="93">
        <f>SUM(G72:G77)</f>
        <v>0</v>
      </c>
      <c r="H78" s="13">
        <f t="shared" si="4"/>
        <v>1027699.76</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7235112.7400000002</v>
      </c>
      <c r="D81" s="93">
        <f>SUM(D79:D80)+D78+D70</f>
        <v>5677.46</v>
      </c>
      <c r="E81" s="93">
        <f>SUM(E79:E80)+E78+E70</f>
        <v>5545.87</v>
      </c>
      <c r="F81" s="93">
        <f>SUM(F79:F80)+F78+F70</f>
        <v>0</v>
      </c>
      <c r="G81" s="93">
        <f>SUM(G79:G80)+G78+G70</f>
        <v>0</v>
      </c>
      <c r="H81" s="93">
        <f t="shared" si="4"/>
        <v>7246336.0700000003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15122.63</v>
      </c>
      <c r="D88" s="252">
        <f>SUM('DOE25'!G153:G162)</f>
        <v>231608.79</v>
      </c>
      <c r="E88" s="252">
        <f>SUM('DOE25'!H153:H162)</f>
        <v>1226275.44</v>
      </c>
      <c r="F88" s="252">
        <f>SUM('DOE25'!I153:I162)</f>
        <v>0</v>
      </c>
      <c r="G88" s="23" t="s">
        <v>288</v>
      </c>
      <c r="H88" s="13">
        <f t="shared" si="5"/>
        <v>1473006.8599999999</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15122.63</v>
      </c>
      <c r="D91" s="94">
        <f>SUM(D85:D90)</f>
        <v>231608.79</v>
      </c>
      <c r="E91" s="94">
        <f>SUM(E85:E90)</f>
        <v>1226275.44</v>
      </c>
      <c r="F91" s="94">
        <f>SUM(F85:F90)</f>
        <v>0</v>
      </c>
      <c r="G91" s="23" t="s">
        <v>288</v>
      </c>
      <c r="H91" s="13">
        <f t="shared" si="5"/>
        <v>1473006.8599999999</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264979.28999999998</v>
      </c>
      <c r="D93" s="23" t="s">
        <v>288</v>
      </c>
      <c r="E93" s="23" t="s">
        <v>288</v>
      </c>
      <c r="F93" s="73">
        <f>SUM('DOE25'!I174:I176)</f>
        <v>0</v>
      </c>
      <c r="G93" s="23" t="s">
        <v>288</v>
      </c>
      <c r="H93" s="13">
        <f t="shared" si="5"/>
        <v>264979.28999999998</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26700.5</v>
      </c>
      <c r="E96" s="73">
        <f>'DOE25'!H180</f>
        <v>0</v>
      </c>
      <c r="F96" s="73">
        <f>'DOE25'!I180</f>
        <v>0</v>
      </c>
      <c r="G96" s="73">
        <f>'DOE25'!J180</f>
        <v>60000</v>
      </c>
      <c r="H96" s="13">
        <f t="shared" si="5"/>
        <v>86700.5</v>
      </c>
    </row>
    <row r="97" spans="1:8" x14ac:dyDescent="0.2">
      <c r="A97" t="s">
        <v>751</v>
      </c>
      <c r="B97" s="31" t="s">
        <v>188</v>
      </c>
      <c r="C97" s="73">
        <f>SUM('DOE25'!F181:F182)</f>
        <v>91474.45</v>
      </c>
      <c r="D97" s="73">
        <f>SUM('DOE25'!G181:G182)</f>
        <v>0</v>
      </c>
      <c r="E97" s="73">
        <f>SUM('DOE25'!H181:H182)</f>
        <v>0</v>
      </c>
      <c r="F97" s="73">
        <f>SUM('DOE25'!I181:I182)</f>
        <v>0</v>
      </c>
      <c r="G97" s="73">
        <f>SUM('DOE25'!J181:J182)</f>
        <v>0</v>
      </c>
      <c r="H97" s="13">
        <f t="shared" si="5"/>
        <v>91474.45</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57898.48</v>
      </c>
      <c r="D99" s="73">
        <f>'DOE25'!G186</f>
        <v>0</v>
      </c>
      <c r="E99" s="73">
        <f>'DOE25'!H186</f>
        <v>0</v>
      </c>
      <c r="F99" s="73">
        <f>'DOE25'!I186</f>
        <v>0</v>
      </c>
      <c r="G99" s="23" t="s">
        <v>288</v>
      </c>
      <c r="H99" s="13">
        <f t="shared" si="5"/>
        <v>57898.48</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414352.22</v>
      </c>
      <c r="D103" s="68">
        <f>SUM(D93:D102)</f>
        <v>26700.5</v>
      </c>
      <c r="E103" s="68">
        <f>SUM(E93:E102)</f>
        <v>0</v>
      </c>
      <c r="F103" s="68">
        <f>SUM(F93:F102)</f>
        <v>0</v>
      </c>
      <c r="G103" s="68">
        <f>SUM(G93:G102)</f>
        <v>60000</v>
      </c>
      <c r="H103" s="68">
        <f t="shared" si="5"/>
        <v>501052.72</v>
      </c>
    </row>
    <row r="104" spans="1:8" ht="12.75" thickTop="1" thickBot="1" x14ac:dyDescent="0.25">
      <c r="A104" s="32" t="s">
        <v>758</v>
      </c>
      <c r="C104" s="68">
        <f>C63+C81+C91+C103</f>
        <v>18944968.559999999</v>
      </c>
      <c r="D104" s="68">
        <f>D63+D81+D91+D103</f>
        <v>458397.82999999996</v>
      </c>
      <c r="E104" s="68">
        <f>E63+E81+E91+E103</f>
        <v>1295738.8299999998</v>
      </c>
      <c r="F104" s="68">
        <f>F63+F81+F91+F103</f>
        <v>0</v>
      </c>
      <c r="G104" s="68">
        <f>G63+G81+G103</f>
        <v>60000</v>
      </c>
      <c r="H104" s="68">
        <f t="shared" si="5"/>
        <v>20759105.219999995</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7263906.54</v>
      </c>
      <c r="D109" s="23" t="s">
        <v>288</v>
      </c>
      <c r="E109" s="73">
        <f>('DOE25'!L277)+('DOE25'!L296)+('DOE25'!L315)</f>
        <v>464185.82000000007</v>
      </c>
      <c r="F109" s="23" t="s">
        <v>288</v>
      </c>
      <c r="G109" s="23" t="s">
        <v>288</v>
      </c>
      <c r="H109" s="13">
        <f t="shared" ref="H109:H115" si="6">SUM(C109:G109)</f>
        <v>7728092.3600000003</v>
      </c>
    </row>
    <row r="110" spans="1:8" x14ac:dyDescent="0.2">
      <c r="A110" t="s">
        <v>198</v>
      </c>
      <c r="B110" s="31" t="s">
        <v>199</v>
      </c>
      <c r="C110" s="73">
        <f>('DOE25'!L199)+('DOE25'!L217)+('DOE25'!L235)</f>
        <v>1700786.0100000002</v>
      </c>
      <c r="D110" s="23" t="s">
        <v>288</v>
      </c>
      <c r="E110" s="73">
        <f>('DOE25'!L278)+('DOE25'!L297)+('DOE25'!L316)</f>
        <v>345893.57000000007</v>
      </c>
      <c r="F110" s="23" t="s">
        <v>288</v>
      </c>
      <c r="G110" s="23" t="s">
        <v>288</v>
      </c>
      <c r="H110" s="13">
        <f t="shared" si="6"/>
        <v>2046679.5800000003</v>
      </c>
    </row>
    <row r="111" spans="1:8" x14ac:dyDescent="0.2">
      <c r="A111" t="s">
        <v>200</v>
      </c>
      <c r="B111" s="31" t="s">
        <v>165</v>
      </c>
      <c r="C111" s="73">
        <f>('DOE25'!L200)+('DOE25'!L218)+('DOE25'!L236)</f>
        <v>121889.98</v>
      </c>
      <c r="D111" s="23" t="s">
        <v>288</v>
      </c>
      <c r="E111" s="73">
        <f>('DOE25'!L279)+('DOE25'!L298)+('DOE25'!L317)</f>
        <v>0</v>
      </c>
      <c r="F111" s="23" t="s">
        <v>288</v>
      </c>
      <c r="G111" s="23" t="s">
        <v>288</v>
      </c>
      <c r="H111" s="13">
        <f t="shared" si="6"/>
        <v>121889.98</v>
      </c>
    </row>
    <row r="112" spans="1:8" x14ac:dyDescent="0.2">
      <c r="A112" t="s">
        <v>201</v>
      </c>
      <c r="B112" s="31" t="s">
        <v>167</v>
      </c>
      <c r="C112" s="73">
        <f>('DOE25'!L201)+('DOE25'!L219)+('DOE25'!L237)</f>
        <v>254118.22000000003</v>
      </c>
      <c r="D112" s="23" t="s">
        <v>288</v>
      </c>
      <c r="E112" s="73">
        <f>+('DOE25'!L280)+('DOE25'!L299)+('DOE25'!L318)</f>
        <v>18914.230000000003</v>
      </c>
      <c r="F112" s="23" t="s">
        <v>288</v>
      </c>
      <c r="G112" s="23" t="s">
        <v>288</v>
      </c>
      <c r="H112" s="13">
        <f t="shared" si="6"/>
        <v>273032.45</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9340700.7500000019</v>
      </c>
      <c r="D115" s="68">
        <f>SUM(D109:D114)</f>
        <v>0</v>
      </c>
      <c r="E115" s="68">
        <f>SUM(E109:E114)</f>
        <v>828993.62000000011</v>
      </c>
      <c r="F115" s="68">
        <f>SUM(F109:F114)</f>
        <v>0</v>
      </c>
      <c r="G115" s="68">
        <f>SUM(G109:G114)</f>
        <v>0</v>
      </c>
      <c r="H115" s="68">
        <f t="shared" si="6"/>
        <v>10169694.370000001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1537152.3</v>
      </c>
      <c r="D118" s="23" t="s">
        <v>288</v>
      </c>
      <c r="E118" s="73">
        <f>+('DOE25'!L282)+('DOE25'!L301)+('DOE25'!L320)</f>
        <v>244354.75</v>
      </c>
      <c r="F118" s="23" t="s">
        <v>288</v>
      </c>
      <c r="G118" s="23" t="s">
        <v>288</v>
      </c>
      <c r="H118" s="13">
        <f t="shared" ref="H118:H145" si="7">SUM(C118:G118)</f>
        <v>1781507.05</v>
      </c>
    </row>
    <row r="119" spans="1:8" x14ac:dyDescent="0.2">
      <c r="A119" t="s">
        <v>208</v>
      </c>
      <c r="B119" s="31" t="s">
        <v>209</v>
      </c>
      <c r="C119" s="73">
        <f>('DOE25'!L204)+('DOE25'!L222)+('DOE25'!L240)</f>
        <v>274916.5</v>
      </c>
      <c r="D119" s="23" t="s">
        <v>288</v>
      </c>
      <c r="E119" s="73">
        <f>+('DOE25'!L283)+('DOE25'!L302)+('DOE25'!L321)</f>
        <v>44206.350000000006</v>
      </c>
      <c r="F119" s="23" t="s">
        <v>288</v>
      </c>
      <c r="G119" s="23" t="s">
        <v>288</v>
      </c>
      <c r="H119" s="13">
        <f t="shared" si="7"/>
        <v>319122.84999999998</v>
      </c>
    </row>
    <row r="120" spans="1:8" x14ac:dyDescent="0.2">
      <c r="A120" t="s">
        <v>210</v>
      </c>
      <c r="B120" s="31" t="s">
        <v>211</v>
      </c>
      <c r="C120" s="73">
        <f>('DOE25'!L205)+('DOE25'!L223)+('DOE25'!L241)</f>
        <v>960612.64999999991</v>
      </c>
      <c r="D120" s="23" t="s">
        <v>288</v>
      </c>
      <c r="E120" s="73">
        <f>+('DOE25'!L284)+('DOE25'!L303)+('DOE25'!L322)</f>
        <v>0</v>
      </c>
      <c r="F120" s="23" t="s">
        <v>288</v>
      </c>
      <c r="G120" s="23" t="s">
        <v>288</v>
      </c>
      <c r="H120" s="13">
        <f t="shared" si="7"/>
        <v>960612.64999999991</v>
      </c>
    </row>
    <row r="121" spans="1:8" x14ac:dyDescent="0.2">
      <c r="A121" t="s">
        <v>212</v>
      </c>
      <c r="B121" s="31" t="s">
        <v>213</v>
      </c>
      <c r="C121" s="73">
        <f>('DOE25'!L206)+('DOE25'!L224)+('DOE25'!L242)</f>
        <v>1372890.22</v>
      </c>
      <c r="D121" s="23" t="s">
        <v>288</v>
      </c>
      <c r="E121" s="73">
        <f>+('DOE25'!L285)+('DOE25'!L304)+('DOE25'!L323)</f>
        <v>0</v>
      </c>
      <c r="F121" s="23" t="s">
        <v>288</v>
      </c>
      <c r="G121" s="23" t="s">
        <v>288</v>
      </c>
      <c r="H121" s="13">
        <f t="shared" si="7"/>
        <v>1372890.22</v>
      </c>
    </row>
    <row r="122" spans="1:8" x14ac:dyDescent="0.2">
      <c r="A122" t="s">
        <v>214</v>
      </c>
      <c r="B122" s="31" t="s">
        <v>215</v>
      </c>
      <c r="C122" s="73">
        <f>('DOE25'!L207)+('DOE25'!L225)+('DOE25'!L243)</f>
        <v>394370.6</v>
      </c>
      <c r="D122" s="23" t="s">
        <v>288</v>
      </c>
      <c r="E122" s="73">
        <f>+('DOE25'!L286)+('DOE25'!L305)+('DOE25'!L324)</f>
        <v>0</v>
      </c>
      <c r="F122" s="23" t="s">
        <v>288</v>
      </c>
      <c r="G122" s="23" t="s">
        <v>288</v>
      </c>
      <c r="H122" s="13">
        <f t="shared" si="7"/>
        <v>394370.6</v>
      </c>
    </row>
    <row r="123" spans="1:8" x14ac:dyDescent="0.2">
      <c r="A123" t="s">
        <v>216</v>
      </c>
      <c r="B123" s="31" t="s">
        <v>217</v>
      </c>
      <c r="C123" s="73">
        <f>('DOE25'!L208)+('DOE25'!L226)+('DOE25'!L244)</f>
        <v>1908231.3399999999</v>
      </c>
      <c r="D123" s="23" t="s">
        <v>288</v>
      </c>
      <c r="E123" s="73">
        <f>+('DOE25'!L287)+('DOE25'!L306)+('DOE25'!L325)</f>
        <v>83963.680000000022</v>
      </c>
      <c r="F123" s="23" t="s">
        <v>288</v>
      </c>
      <c r="G123" s="23" t="s">
        <v>288</v>
      </c>
      <c r="H123" s="13">
        <f t="shared" si="7"/>
        <v>1992195.0199999998</v>
      </c>
    </row>
    <row r="124" spans="1:8" x14ac:dyDescent="0.2">
      <c r="A124" t="s">
        <v>218</v>
      </c>
      <c r="B124" s="31" t="s">
        <v>219</v>
      </c>
      <c r="C124" s="73">
        <f>('DOE25'!L209)+('DOE25'!L227)+('DOE25'!L245+'DOE25'!L255)</f>
        <v>908711.56999999983</v>
      </c>
      <c r="D124" s="23" t="s">
        <v>288</v>
      </c>
      <c r="E124" s="73">
        <f>+('DOE25'!L288)+('DOE25'!L307)+('DOE25'!L326)</f>
        <v>2744.2400000000002</v>
      </c>
      <c r="F124" s="23" t="s">
        <v>288</v>
      </c>
      <c r="G124" s="23" t="s">
        <v>288</v>
      </c>
      <c r="H124" s="13">
        <f t="shared" si="7"/>
        <v>911455.80999999982</v>
      </c>
    </row>
    <row r="125" spans="1:8" x14ac:dyDescent="0.2">
      <c r="A125" t="s">
        <v>220</v>
      </c>
      <c r="B125" s="31" t="s">
        <v>221</v>
      </c>
      <c r="C125" s="73">
        <f>('DOE25'!L210)+('DOE25'!L228)+('DOE25'!L246)</f>
        <v>413645.32999999996</v>
      </c>
      <c r="D125" s="23" t="s">
        <v>288</v>
      </c>
      <c r="E125" s="73">
        <f>+('DOE25'!L289)+('DOE25'!L308)+('DOE25'!L327)</f>
        <v>0</v>
      </c>
      <c r="F125" s="23" t="s">
        <v>288</v>
      </c>
      <c r="G125" s="23" t="s">
        <v>288</v>
      </c>
      <c r="H125" s="13">
        <f t="shared" si="7"/>
        <v>413645.32999999996</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489077.76000000001</v>
      </c>
      <c r="E127" s="23" t="s">
        <v>288</v>
      </c>
      <c r="F127" s="23" t="s">
        <v>288</v>
      </c>
      <c r="G127" s="23" t="s">
        <v>288</v>
      </c>
      <c r="H127" s="13">
        <f t="shared" si="7"/>
        <v>489077.76000000001</v>
      </c>
    </row>
    <row r="128" spans="1:8" ht="12.75" thickTop="1" thickBot="1" x14ac:dyDescent="0.25">
      <c r="A128" s="32" t="s">
        <v>226</v>
      </c>
      <c r="C128" s="68">
        <f>SUM(C118:C127)</f>
        <v>7770530.5099999998</v>
      </c>
      <c r="D128" s="68">
        <f>SUM(D118:D127)</f>
        <v>489077.76000000001</v>
      </c>
      <c r="E128" s="68">
        <f>SUM(E118:E127)</f>
        <v>375269.02</v>
      </c>
      <c r="F128" s="68">
        <f>SUM(F118:F127)</f>
        <v>0</v>
      </c>
      <c r="G128" s="68">
        <f>SUM(G118:G127)</f>
        <v>0</v>
      </c>
      <c r="H128" s="68">
        <f t="shared" si="7"/>
        <v>8634877.2899999991</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1475000</v>
      </c>
      <c r="D131" s="23" t="s">
        <v>288</v>
      </c>
      <c r="E131" s="92">
        <f>'DOE25'!L342</f>
        <v>0</v>
      </c>
      <c r="F131" s="23" t="s">
        <v>288</v>
      </c>
      <c r="G131" s="23" t="s">
        <v>288</v>
      </c>
      <c r="H131" s="13">
        <f t="shared" si="7"/>
        <v>1475000</v>
      </c>
    </row>
    <row r="132" spans="1:8" x14ac:dyDescent="0.2">
      <c r="A132" t="s">
        <v>230</v>
      </c>
      <c r="B132" s="31">
        <v>5120</v>
      </c>
      <c r="C132" s="73">
        <f>'DOE25'!L262</f>
        <v>278258.75</v>
      </c>
      <c r="D132" s="23" t="s">
        <v>288</v>
      </c>
      <c r="E132" s="92">
        <f>'DOE25'!L343</f>
        <v>0</v>
      </c>
      <c r="F132" s="23" t="s">
        <v>288</v>
      </c>
      <c r="G132" s="23" t="s">
        <v>288</v>
      </c>
      <c r="H132" s="13">
        <f t="shared" si="7"/>
        <v>278258.75</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91474.45</v>
      </c>
      <c r="F134" s="73">
        <f>'DOE25'!K382</f>
        <v>0</v>
      </c>
      <c r="G134" s="73">
        <f>'DOE25'!K435</f>
        <v>0</v>
      </c>
      <c r="H134" s="13">
        <f t="shared" si="7"/>
        <v>91474.45</v>
      </c>
    </row>
    <row r="135" spans="1:8" x14ac:dyDescent="0.2">
      <c r="A135" t="s">
        <v>233</v>
      </c>
      <c r="B135" s="31" t="s">
        <v>234</v>
      </c>
      <c r="C135" s="73">
        <f>'DOE25'!L264</f>
        <v>26700.5</v>
      </c>
      <c r="D135" s="23" t="s">
        <v>288</v>
      </c>
      <c r="E135" s="92">
        <f>'DOE25'!L346</f>
        <v>0</v>
      </c>
      <c r="F135" s="23" t="s">
        <v>288</v>
      </c>
      <c r="G135" s="23" t="s">
        <v>288</v>
      </c>
      <c r="H135" s="13">
        <f t="shared" si="7"/>
        <v>26700.5</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60000</v>
      </c>
      <c r="D138" s="23" t="s">
        <v>288</v>
      </c>
      <c r="E138" s="23" t="s">
        <v>288</v>
      </c>
      <c r="F138" s="23" t="s">
        <v>288</v>
      </c>
      <c r="G138" s="23" t="s">
        <v>288</v>
      </c>
      <c r="H138" s="13">
        <f t="shared" si="7"/>
        <v>60000</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0</v>
      </c>
      <c r="D141" s="23" t="s">
        <v>288</v>
      </c>
      <c r="E141" s="23" t="s">
        <v>288</v>
      </c>
      <c r="F141" s="23" t="s">
        <v>288</v>
      </c>
      <c r="G141" s="23" t="s">
        <v>288</v>
      </c>
      <c r="H141" s="13">
        <f t="shared" si="7"/>
        <v>0</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1839959.25</v>
      </c>
      <c r="D144" s="98">
        <f>SUM(D130:D143)</f>
        <v>0</v>
      </c>
      <c r="E144" s="98">
        <f>SUM(E130:E143)</f>
        <v>91474.45</v>
      </c>
      <c r="F144" s="98">
        <f>SUM(F130:F143)</f>
        <v>0</v>
      </c>
      <c r="G144" s="98">
        <f>SUM(G130:G143)</f>
        <v>0</v>
      </c>
      <c r="H144" s="98">
        <f t="shared" si="7"/>
        <v>1931433.7</v>
      </c>
    </row>
    <row r="145" spans="1:9" ht="12.75" thickTop="1" thickBot="1" x14ac:dyDescent="0.25">
      <c r="A145" s="32" t="s">
        <v>244</v>
      </c>
      <c r="C145" s="68">
        <f>(C115+C128+C144)</f>
        <v>18951190.510000002</v>
      </c>
      <c r="D145" s="68">
        <f>(D115+D128+D144)</f>
        <v>489077.76000000001</v>
      </c>
      <c r="E145" s="68">
        <f>(E115+E128+E144)</f>
        <v>1295737.0900000001</v>
      </c>
      <c r="F145" s="68">
        <f>(F115+F128+F144)</f>
        <v>0</v>
      </c>
      <c r="G145" s="68">
        <f>(G115+G128+G144)</f>
        <v>0</v>
      </c>
      <c r="H145" s="68">
        <f t="shared" si="7"/>
        <v>20736005.360000003</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16</v>
      </c>
      <c r="C151" s="110">
        <f>'DOE25'!G491</f>
        <v>0</v>
      </c>
      <c r="D151" s="110">
        <f>'DOE25'!H491</f>
        <v>0</v>
      </c>
      <c r="E151" s="110">
        <f>'DOE25'!I491</f>
        <v>0</v>
      </c>
      <c r="F151" s="110">
        <f>'DOE25'!J491</f>
        <v>0</v>
      </c>
      <c r="G151" s="23" t="s">
        <v>288</v>
      </c>
    </row>
    <row r="152" spans="1:9" x14ac:dyDescent="0.2">
      <c r="A152" s="21" t="s">
        <v>28</v>
      </c>
      <c r="B152" s="109" t="str">
        <f>'DOE25'!F492</f>
        <v>06/10</v>
      </c>
      <c r="C152" s="109" t="str">
        <f>'DOE25'!G492</f>
        <v>0</v>
      </c>
      <c r="D152" s="109">
        <f>'DOE25'!H492</f>
        <v>0</v>
      </c>
      <c r="E152" s="109">
        <f>'DOE25'!I492</f>
        <v>0</v>
      </c>
      <c r="F152" s="109">
        <f>'DOE25'!J492</f>
        <v>0</v>
      </c>
      <c r="G152" s="23" t="s">
        <v>288</v>
      </c>
    </row>
    <row r="153" spans="1:9" x14ac:dyDescent="0.2">
      <c r="A153" s="21" t="s">
        <v>29</v>
      </c>
      <c r="B153" s="109" t="str">
        <f>'DOE25'!F493</f>
        <v>09/26</v>
      </c>
      <c r="C153" s="109" t="str">
        <f>'DOE25'!G493</f>
        <v>0</v>
      </c>
      <c r="D153" s="109">
        <f>'DOE25'!H493</f>
        <v>0</v>
      </c>
      <c r="E153" s="109">
        <f>'DOE25'!I493</f>
        <v>0</v>
      </c>
      <c r="F153" s="109">
        <f>'DOE25'!J493</f>
        <v>0</v>
      </c>
      <c r="G153" s="23" t="s">
        <v>288</v>
      </c>
    </row>
    <row r="154" spans="1:9" x14ac:dyDescent="0.2">
      <c r="A154" s="21" t="s">
        <v>30</v>
      </c>
      <c r="B154" s="19">
        <f>'DOE25'!F494</f>
        <v>23623315</v>
      </c>
      <c r="C154" s="19">
        <f>'DOE25'!G494</f>
        <v>0</v>
      </c>
      <c r="D154" s="19">
        <f>'DOE25'!H494</f>
        <v>0</v>
      </c>
      <c r="E154" s="19">
        <f>'DOE25'!I494</f>
        <v>0</v>
      </c>
      <c r="F154" s="19">
        <f>'DOE25'!J494</f>
        <v>0</v>
      </c>
      <c r="G154" s="23" t="s">
        <v>288</v>
      </c>
    </row>
    <row r="155" spans="1:9" x14ac:dyDescent="0.2">
      <c r="A155" s="21" t="s">
        <v>31</v>
      </c>
      <c r="B155" s="19">
        <f>'DOE25'!F495</f>
        <v>5.39</v>
      </c>
      <c r="C155" s="19">
        <f>'DOE25'!G495</f>
        <v>0</v>
      </c>
      <c r="D155" s="19">
        <f>'DOE25'!H495</f>
        <v>0</v>
      </c>
      <c r="E155" s="19">
        <f>'DOE25'!I495</f>
        <v>0</v>
      </c>
      <c r="F155" s="19">
        <f>'DOE25'!J495</f>
        <v>0</v>
      </c>
      <c r="G155" s="23" t="s">
        <v>288</v>
      </c>
    </row>
    <row r="156" spans="1:9" x14ac:dyDescent="0.2">
      <c r="A156" s="21" t="s">
        <v>32</v>
      </c>
      <c r="B156" s="19">
        <f>'DOE25'!F496</f>
        <v>5900000</v>
      </c>
      <c r="C156" s="19">
        <f>'DOE25'!G496</f>
        <v>0</v>
      </c>
      <c r="D156" s="19">
        <f>'DOE25'!H496</f>
        <v>0</v>
      </c>
      <c r="E156" s="19">
        <f>'DOE25'!I496</f>
        <v>0</v>
      </c>
      <c r="F156" s="19">
        <f>'DOE25'!J496</f>
        <v>0</v>
      </c>
      <c r="G156" s="96">
        <f>SUM(B156:F156)</f>
        <v>5900000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1475000</v>
      </c>
      <c r="C158" s="19">
        <f>'DOE25'!G498</f>
        <v>0</v>
      </c>
      <c r="D158" s="19">
        <f>'DOE25'!H498</f>
        <v>0</v>
      </c>
      <c r="E158" s="19">
        <f>'DOE25'!I498</f>
        <v>0</v>
      </c>
      <c r="F158" s="19">
        <f>'DOE25'!J498</f>
        <v>0</v>
      </c>
      <c r="G158" s="96">
        <f t="shared" si="8"/>
        <v>1475000</v>
      </c>
    </row>
    <row r="159" spans="1:9" x14ac:dyDescent="0.2">
      <c r="A159" s="21" t="s">
        <v>35</v>
      </c>
      <c r="B159" s="19">
        <f>'DOE25'!F499</f>
        <v>4425000</v>
      </c>
      <c r="C159" s="19">
        <f>'DOE25'!G499</f>
        <v>0</v>
      </c>
      <c r="D159" s="19">
        <f>'DOE25'!H499</f>
        <v>0</v>
      </c>
      <c r="E159" s="19">
        <f>'DOE25'!I499</f>
        <v>0</v>
      </c>
      <c r="F159" s="19">
        <f>'DOE25'!J499</f>
        <v>0</v>
      </c>
      <c r="G159" s="96">
        <f t="shared" si="8"/>
        <v>4425000</v>
      </c>
    </row>
    <row r="160" spans="1:9" x14ac:dyDescent="0.2">
      <c r="A160" s="21" t="s">
        <v>36</v>
      </c>
      <c r="B160" s="19">
        <f>'DOE25'!F500</f>
        <v>357761.25</v>
      </c>
      <c r="C160" s="19">
        <f>'DOE25'!G500</f>
        <v>0</v>
      </c>
      <c r="D160" s="19">
        <f>'DOE25'!H500</f>
        <v>0</v>
      </c>
      <c r="E160" s="19">
        <f>'DOE25'!I500</f>
        <v>0</v>
      </c>
      <c r="F160" s="19">
        <f>'DOE25'!J500</f>
        <v>0</v>
      </c>
      <c r="G160" s="96">
        <f t="shared" si="8"/>
        <v>357761.25</v>
      </c>
    </row>
    <row r="161" spans="1:7" x14ac:dyDescent="0.2">
      <c r="A161" s="21" t="s">
        <v>37</v>
      </c>
      <c r="B161" s="19">
        <f>'DOE25'!F501</f>
        <v>4782761.25</v>
      </c>
      <c r="C161" s="19">
        <f>'DOE25'!G501</f>
        <v>0</v>
      </c>
      <c r="D161" s="19">
        <f>'DOE25'!H501</f>
        <v>0</v>
      </c>
      <c r="E161" s="19">
        <f>'DOE25'!I501</f>
        <v>0</v>
      </c>
      <c r="F161" s="19">
        <f>'DOE25'!J501</f>
        <v>0</v>
      </c>
      <c r="G161" s="96">
        <f t="shared" si="8"/>
        <v>4782761.25</v>
      </c>
    </row>
    <row r="162" spans="1:7" x14ac:dyDescent="0.2">
      <c r="A162" s="21" t="s">
        <v>38</v>
      </c>
      <c r="B162" s="19">
        <f>'DOE25'!F502</f>
        <v>1475000</v>
      </c>
      <c r="C162" s="19">
        <f>'DOE25'!G502</f>
        <v>0</v>
      </c>
      <c r="D162" s="19">
        <f>'DOE25'!H502</f>
        <v>0</v>
      </c>
      <c r="E162" s="19">
        <f>'DOE25'!I502</f>
        <v>0</v>
      </c>
      <c r="F162" s="19">
        <f>'DOE25'!J502</f>
        <v>0</v>
      </c>
      <c r="G162" s="96">
        <f t="shared" si="8"/>
        <v>1475000</v>
      </c>
    </row>
    <row r="163" spans="1:7" x14ac:dyDescent="0.2">
      <c r="A163" s="21" t="s">
        <v>39</v>
      </c>
      <c r="B163" s="19">
        <f>'DOE25'!F503</f>
        <v>198756.25</v>
      </c>
      <c r="C163" s="19">
        <f>'DOE25'!G503</f>
        <v>0</v>
      </c>
      <c r="D163" s="19">
        <f>'DOE25'!H503</f>
        <v>0</v>
      </c>
      <c r="E163" s="19">
        <f>'DOE25'!I503</f>
        <v>0</v>
      </c>
      <c r="F163" s="19">
        <f>'DOE25'!J503</f>
        <v>0</v>
      </c>
      <c r="G163" s="96">
        <f t="shared" si="8"/>
        <v>198756.25</v>
      </c>
    </row>
    <row r="164" spans="1:7" x14ac:dyDescent="0.2">
      <c r="A164" s="21" t="s">
        <v>246</v>
      </c>
      <c r="B164" s="19">
        <f>'DOE25'!F504</f>
        <v>1673756.25</v>
      </c>
      <c r="C164" s="19">
        <f>'DOE25'!G504</f>
        <v>0</v>
      </c>
      <c r="D164" s="19">
        <f>'DOE25'!H504</f>
        <v>0</v>
      </c>
      <c r="E164" s="19">
        <f>'DOE25'!I504</f>
        <v>0</v>
      </c>
      <c r="F164" s="19">
        <f>'DOE25'!J504</f>
        <v>0</v>
      </c>
      <c r="G164" s="96">
        <f t="shared" si="8"/>
        <v>1673756.25</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3" t="s">
        <v>736</v>
      </c>
      <c r="B1" s="333"/>
      <c r="C1" s="333"/>
      <c r="D1" s="333"/>
    </row>
    <row r="2" spans="1:4" x14ac:dyDescent="0.2">
      <c r="A2" s="135" t="s">
        <v>713</v>
      </c>
      <c r="B2" s="134" t="str">
        <f>'DOE25'!A2</f>
        <v>Mascenic Regional</v>
      </c>
    </row>
    <row r="3" spans="1:4" x14ac:dyDescent="0.2">
      <c r="B3" s="136" t="s">
        <v>1792</v>
      </c>
    </row>
    <row r="4" spans="1:4" x14ac:dyDescent="0.2">
      <c r="B4" t="s">
        <v>61</v>
      </c>
      <c r="C4" s="128">
        <f>IF('DOE25'!F666+'DOE25'!F671=0,0,ROUND('DOE25'!F673,0))</f>
        <v>17344</v>
      </c>
    </row>
    <row r="5" spans="1:4" x14ac:dyDescent="0.2">
      <c r="B5" t="s">
        <v>700</v>
      </c>
      <c r="C5" s="128">
        <f>IF('DOE25'!G666+'DOE25'!G671=0,0,ROUND('DOE25'!G673,0))</f>
        <v>20121</v>
      </c>
    </row>
    <row r="6" spans="1:4" x14ac:dyDescent="0.2">
      <c r="B6" t="s">
        <v>62</v>
      </c>
      <c r="C6" s="128">
        <f>IF('DOE25'!H666+'DOE25'!H671=0,0,ROUND('DOE25'!H673,0))</f>
        <v>22823</v>
      </c>
    </row>
    <row r="7" spans="1:4" x14ac:dyDescent="0.2">
      <c r="B7" t="s">
        <v>701</v>
      </c>
      <c r="C7" s="128">
        <f>IF('DOE25'!I666+'DOE25'!I671=0,0,ROUND('DOE25'!I673,0))</f>
        <v>19736</v>
      </c>
    </row>
    <row r="9" spans="1:4" x14ac:dyDescent="0.2">
      <c r="A9" s="135" t="s">
        <v>94</v>
      </c>
      <c r="B9" s="136" t="s">
        <v>1793</v>
      </c>
      <c r="C9" s="130" t="s">
        <v>720</v>
      </c>
      <c r="D9" s="130" t="s">
        <v>721</v>
      </c>
    </row>
    <row r="10" spans="1:4" x14ac:dyDescent="0.2">
      <c r="A10">
        <v>1100</v>
      </c>
      <c r="B10" t="s">
        <v>702</v>
      </c>
      <c r="C10" s="128">
        <f>ROUND('DOE25'!L198+'DOE25'!L216+'DOE25'!L234+'DOE25'!L277+'DOE25'!L296+'DOE25'!L315,0)</f>
        <v>7728092</v>
      </c>
      <c r="D10" s="131">
        <f>ROUND((C10/$C$28)*100,1)</f>
        <v>40.9</v>
      </c>
    </row>
    <row r="11" spans="1:4" x14ac:dyDescent="0.2">
      <c r="A11">
        <v>1200</v>
      </c>
      <c r="B11" t="s">
        <v>703</v>
      </c>
      <c r="C11" s="128">
        <f>ROUND('DOE25'!L199+'DOE25'!L217+'DOE25'!L235+'DOE25'!L278+'DOE25'!L297+'DOE25'!L316,0)</f>
        <v>2046680</v>
      </c>
      <c r="D11" s="131">
        <f>ROUND((C11/$C$28)*100,1)</f>
        <v>10.8</v>
      </c>
    </row>
    <row r="12" spans="1:4" x14ac:dyDescent="0.2">
      <c r="A12">
        <v>1300</v>
      </c>
      <c r="B12" t="s">
        <v>704</v>
      </c>
      <c r="C12" s="128">
        <f>ROUND('DOE25'!L200+'DOE25'!L218+'DOE25'!L236+'DOE25'!L279+'DOE25'!L298+'DOE25'!L317,0)</f>
        <v>121890</v>
      </c>
      <c r="D12" s="131">
        <f>ROUND((C12/$C$28)*100,1)</f>
        <v>0.6</v>
      </c>
    </row>
    <row r="13" spans="1:4" x14ac:dyDescent="0.2">
      <c r="A13">
        <v>1400</v>
      </c>
      <c r="B13" t="s">
        <v>705</v>
      </c>
      <c r="C13" s="128">
        <f>ROUND('DOE25'!L201+'DOE25'!L219+'DOE25'!L237+'DOE25'!L280+'DOE25'!L299+'DOE25'!L318,0)</f>
        <v>273032</v>
      </c>
      <c r="D13" s="131">
        <f>ROUND((C13/$C$28)*100,1)</f>
        <v>1.4</v>
      </c>
    </row>
    <row r="14" spans="1:4" x14ac:dyDescent="0.2">
      <c r="D14" s="131"/>
    </row>
    <row r="15" spans="1:4" x14ac:dyDescent="0.2">
      <c r="A15">
        <v>2100</v>
      </c>
      <c r="B15" t="s">
        <v>706</v>
      </c>
      <c r="C15" s="128">
        <f>ROUND('DOE25'!L203+'DOE25'!L221+'DOE25'!L239+'DOE25'!L282+'DOE25'!L301+'DOE25'!L320,0)</f>
        <v>1781507</v>
      </c>
      <c r="D15" s="131">
        <f t="shared" ref="D15:D27" si="0">ROUND((C15/$C$28)*100,1)</f>
        <v>9.4</v>
      </c>
    </row>
    <row r="16" spans="1:4" x14ac:dyDescent="0.2">
      <c r="A16">
        <v>2200</v>
      </c>
      <c r="B16" t="s">
        <v>707</v>
      </c>
      <c r="C16" s="128">
        <f>ROUND('DOE25'!L204+'DOE25'!L222+'DOE25'!L240+'DOE25'!L283+'DOE25'!L302+'DOE25'!L321,0)</f>
        <v>319123</v>
      </c>
      <c r="D16" s="131">
        <f t="shared" si="0"/>
        <v>1.7</v>
      </c>
    </row>
    <row r="17" spans="1:4" x14ac:dyDescent="0.2">
      <c r="A17" s="132" t="s">
        <v>723</v>
      </c>
      <c r="B17" t="s">
        <v>738</v>
      </c>
      <c r="C17" s="128">
        <f>ROUND('DOE25'!L205+'DOE25'!L210+'DOE25'!L223+'DOE25'!L228+'DOE25'!L241+'DOE25'!L246+'DOE25'!L284+'DOE25'!L289+'DOE25'!L303+'DOE25'!L308+'DOE25'!L322+'DOE25'!L327,0)</f>
        <v>1374258</v>
      </c>
      <c r="D17" s="131">
        <f t="shared" si="0"/>
        <v>7.3</v>
      </c>
    </row>
    <row r="18" spans="1:4" x14ac:dyDescent="0.2">
      <c r="A18">
        <v>2400</v>
      </c>
      <c r="B18" t="s">
        <v>711</v>
      </c>
      <c r="C18" s="128">
        <f>ROUND('DOE25'!L206+'DOE25'!L224+'DOE25'!L242+'DOE25'!L285+'DOE25'!L304+'DOE25'!L323,0)</f>
        <v>1372890</v>
      </c>
      <c r="D18" s="131">
        <f t="shared" si="0"/>
        <v>7.3</v>
      </c>
    </row>
    <row r="19" spans="1:4" x14ac:dyDescent="0.2">
      <c r="A19">
        <v>2500</v>
      </c>
      <c r="B19" t="s">
        <v>708</v>
      </c>
      <c r="C19" s="128">
        <f>ROUND('DOE25'!L207+'DOE25'!L225+'DOE25'!L243+'DOE25'!L286+'DOE25'!L305+'DOE25'!L324,0)</f>
        <v>394371</v>
      </c>
      <c r="D19" s="131">
        <f t="shared" si="0"/>
        <v>2.1</v>
      </c>
    </row>
    <row r="20" spans="1:4" x14ac:dyDescent="0.2">
      <c r="A20">
        <v>2600</v>
      </c>
      <c r="B20" t="s">
        <v>709</v>
      </c>
      <c r="C20" s="128">
        <f>ROUND('DOE25'!L208+'DOE25'!L226+'DOE25'!L244+'DOE25'!L287+'DOE25'!L306+'DOE25'!L325,0)</f>
        <v>1992195</v>
      </c>
      <c r="D20" s="131">
        <f t="shared" si="0"/>
        <v>10.5</v>
      </c>
    </row>
    <row r="21" spans="1:4" x14ac:dyDescent="0.2">
      <c r="A21">
        <v>2700</v>
      </c>
      <c r="B21" t="s">
        <v>710</v>
      </c>
      <c r="C21" s="128">
        <f>ROUND('DOE25'!L209+'DOE25'!L227+'DOE25'!L245+'DOE25'!L288+'DOE25'!L307+'DOE25'!L326,0)</f>
        <v>911456</v>
      </c>
      <c r="D21" s="131">
        <f t="shared" si="0"/>
        <v>4.8</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278259</v>
      </c>
      <c r="D25" s="131">
        <f t="shared" si="0"/>
        <v>1.5</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294666.92000000004</v>
      </c>
      <c r="D27" s="131">
        <f t="shared" si="0"/>
        <v>1.6</v>
      </c>
    </row>
    <row r="28" spans="1:4" x14ac:dyDescent="0.2">
      <c r="B28" s="135" t="s">
        <v>719</v>
      </c>
      <c r="C28" s="129">
        <f>SUM(C10:C27)</f>
        <v>18888419.920000002</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18888419.920000002</v>
      </c>
    </row>
    <row r="31" spans="1:4" x14ac:dyDescent="0.2">
      <c r="B31" s="32"/>
      <c r="C31" s="129"/>
    </row>
    <row r="32" spans="1:4" x14ac:dyDescent="0.2">
      <c r="A32">
        <v>5100</v>
      </c>
      <c r="B32" s="32" t="s">
        <v>726</v>
      </c>
      <c r="C32" s="129">
        <f>ROUND('DOE25'!L261+'DOE25'!L342,0)</f>
        <v>1475000</v>
      </c>
    </row>
    <row r="34" spans="1:4" x14ac:dyDescent="0.2">
      <c r="A34" s="135" t="s">
        <v>94</v>
      </c>
      <c r="B34" s="136" t="s">
        <v>1794</v>
      </c>
      <c r="C34" s="130" t="s">
        <v>720</v>
      </c>
      <c r="D34" s="130" t="s">
        <v>721</v>
      </c>
    </row>
    <row r="35" spans="1:4" x14ac:dyDescent="0.2">
      <c r="A35">
        <v>1100</v>
      </c>
      <c r="B35" s="71" t="s">
        <v>727</v>
      </c>
      <c r="C35" s="128">
        <f>ROUND('DOE25'!F60+'DOE25'!G60+'DOE25'!H60+'DOE25'!I60+'DOE25'!J60,0)</f>
        <v>10982599</v>
      </c>
      <c r="D35" s="131">
        <f t="shared" ref="D35:D40" si="1">ROUND((C35/$C$41)*100,1)</f>
        <v>54</v>
      </c>
    </row>
    <row r="36" spans="1:4" x14ac:dyDescent="0.2">
      <c r="B36" s="71" t="s">
        <v>739</v>
      </c>
      <c r="C36" s="128">
        <f>SUM('DOE25'!F112:J112)-SUM('DOE25'!G97:G110)+('DOE25'!F175+'DOE25'!F176+'DOE25'!I175+'DOE25'!I176)-C35</f>
        <v>626678.77999999747</v>
      </c>
      <c r="D36" s="131">
        <f t="shared" si="1"/>
        <v>3.1</v>
      </c>
    </row>
    <row r="37" spans="1:4" x14ac:dyDescent="0.2">
      <c r="A37" s="132" t="s">
        <v>831</v>
      </c>
      <c r="B37" s="71" t="s">
        <v>728</v>
      </c>
      <c r="C37" s="128">
        <f>ROUND('DOE25'!F117+'DOE25'!F118,0)</f>
        <v>6196412</v>
      </c>
      <c r="D37" s="131">
        <f t="shared" si="1"/>
        <v>30.5</v>
      </c>
    </row>
    <row r="38" spans="1:4" x14ac:dyDescent="0.2">
      <c r="A38" s="132" t="s">
        <v>734</v>
      </c>
      <c r="B38" s="71" t="s">
        <v>729</v>
      </c>
      <c r="C38" s="128">
        <f>ROUND(SUM('DOE25'!F140:J140)-SUM('DOE25'!F117:F119),0)</f>
        <v>1049924</v>
      </c>
      <c r="D38" s="131">
        <f t="shared" si="1"/>
        <v>5.2</v>
      </c>
    </row>
    <row r="39" spans="1:4" x14ac:dyDescent="0.2">
      <c r="A39">
        <v>4000</v>
      </c>
      <c r="B39" s="71" t="s">
        <v>730</v>
      </c>
      <c r="C39" s="128">
        <f>ROUND('DOE25'!F170+'DOE25'!G170+'DOE25'!H170+'DOE25'!I170,0)</f>
        <v>1473007</v>
      </c>
      <c r="D39" s="131">
        <f t="shared" si="1"/>
        <v>7.2</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20328620.779999997</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5" sqref="C5:M5"/>
    </sheetView>
  </sheetViews>
  <sheetFormatPr defaultRowHeight="11.25" x14ac:dyDescent="0.2"/>
  <cols>
    <col min="1" max="1" width="10.33203125" customWidth="1"/>
    <col min="14" max="14" width="6.1640625" customWidth="1"/>
  </cols>
  <sheetData>
    <row r="1" spans="1:13" ht="16.5" thickTop="1" x14ac:dyDescent="0.25">
      <c r="A1" s="337" t="s">
        <v>763</v>
      </c>
      <c r="B1" s="338"/>
      <c r="C1" s="338"/>
      <c r="D1" s="338"/>
      <c r="E1" s="338"/>
      <c r="F1" s="338"/>
      <c r="G1" s="338"/>
      <c r="H1" s="338"/>
      <c r="I1" s="338"/>
      <c r="J1" s="154"/>
      <c r="K1" s="154"/>
      <c r="L1" s="154"/>
      <c r="M1" s="155"/>
    </row>
    <row r="2" spans="1:13" ht="12.75" x14ac:dyDescent="0.2">
      <c r="A2" s="342" t="s">
        <v>760</v>
      </c>
      <c r="B2" s="343"/>
      <c r="C2" s="343"/>
      <c r="D2" s="343"/>
      <c r="E2" s="343"/>
      <c r="F2" s="340" t="str">
        <f>'DOE25'!A2</f>
        <v>Mascenic Regional</v>
      </c>
      <c r="G2" s="341"/>
      <c r="H2" s="341"/>
      <c r="I2" s="341"/>
      <c r="M2" s="156"/>
    </row>
    <row r="3" spans="1:13" x14ac:dyDescent="0.2">
      <c r="A3" s="157" t="s">
        <v>761</v>
      </c>
      <c r="B3" s="130" t="s">
        <v>762</v>
      </c>
      <c r="C3" s="326" t="s">
        <v>764</v>
      </c>
      <c r="D3" s="326"/>
      <c r="E3" s="326"/>
      <c r="F3" s="326"/>
      <c r="G3" s="326"/>
      <c r="H3" s="326"/>
      <c r="I3" s="326"/>
      <c r="J3" s="326"/>
      <c r="K3" s="326"/>
      <c r="L3" s="326"/>
      <c r="M3" s="339"/>
    </row>
    <row r="4" spans="1:13" x14ac:dyDescent="0.2">
      <c r="A4" s="158">
        <v>4</v>
      </c>
      <c r="B4" s="149">
        <v>4</v>
      </c>
      <c r="C4" s="334" t="s">
        <v>1841</v>
      </c>
      <c r="D4" s="334"/>
      <c r="E4" s="334"/>
      <c r="F4" s="334"/>
      <c r="G4" s="334"/>
      <c r="H4" s="334"/>
      <c r="I4" s="334"/>
      <c r="J4" s="334"/>
      <c r="K4" s="334"/>
      <c r="L4" s="334"/>
      <c r="M4" s="336"/>
    </row>
    <row r="5" spans="1:13" x14ac:dyDescent="0.2">
      <c r="A5" s="158"/>
      <c r="B5" s="149"/>
      <c r="C5" s="334"/>
      <c r="D5" s="334"/>
      <c r="E5" s="334"/>
      <c r="F5" s="334"/>
      <c r="G5" s="334"/>
      <c r="H5" s="334"/>
      <c r="I5" s="334"/>
      <c r="J5" s="334"/>
      <c r="K5" s="334"/>
      <c r="L5" s="334"/>
      <c r="M5" s="336"/>
    </row>
    <row r="6" spans="1:13" x14ac:dyDescent="0.2">
      <c r="A6" s="158"/>
      <c r="B6" s="149"/>
      <c r="C6" s="334"/>
      <c r="D6" s="334"/>
      <c r="E6" s="334"/>
      <c r="F6" s="334"/>
      <c r="G6" s="334"/>
      <c r="H6" s="334"/>
      <c r="I6" s="334"/>
      <c r="J6" s="334"/>
      <c r="K6" s="334"/>
      <c r="L6" s="334"/>
      <c r="M6" s="336"/>
    </row>
    <row r="7" spans="1:13" x14ac:dyDescent="0.2">
      <c r="A7" s="158"/>
      <c r="B7" s="149"/>
      <c r="C7" s="334"/>
      <c r="D7" s="334"/>
      <c r="E7" s="334"/>
      <c r="F7" s="334"/>
      <c r="G7" s="334"/>
      <c r="H7" s="334"/>
      <c r="I7" s="334"/>
      <c r="J7" s="334"/>
      <c r="K7" s="334"/>
      <c r="L7" s="334"/>
      <c r="M7" s="336"/>
    </row>
    <row r="8" spans="1:13" x14ac:dyDescent="0.2">
      <c r="A8" s="158"/>
      <c r="B8" s="149"/>
      <c r="C8" s="334"/>
      <c r="D8" s="334"/>
      <c r="E8" s="334"/>
      <c r="F8" s="334"/>
      <c r="G8" s="334"/>
      <c r="H8" s="334"/>
      <c r="I8" s="334"/>
      <c r="J8" s="334"/>
      <c r="K8" s="334"/>
      <c r="L8" s="334"/>
      <c r="M8" s="336"/>
    </row>
    <row r="9" spans="1:13" x14ac:dyDescent="0.2">
      <c r="A9" s="158"/>
      <c r="B9" s="149"/>
      <c r="C9" s="334"/>
      <c r="D9" s="334"/>
      <c r="E9" s="334"/>
      <c r="F9" s="334"/>
      <c r="G9" s="334"/>
      <c r="H9" s="334"/>
      <c r="I9" s="334"/>
      <c r="J9" s="334"/>
      <c r="K9" s="334"/>
      <c r="L9" s="334"/>
      <c r="M9" s="336"/>
    </row>
    <row r="10" spans="1:13" x14ac:dyDescent="0.2">
      <c r="A10" s="158"/>
      <c r="B10" s="149"/>
      <c r="C10" s="334"/>
      <c r="D10" s="334"/>
      <c r="E10" s="334"/>
      <c r="F10" s="334"/>
      <c r="G10" s="334"/>
      <c r="H10" s="334"/>
      <c r="I10" s="334"/>
      <c r="J10" s="334"/>
      <c r="K10" s="334"/>
      <c r="L10" s="334"/>
      <c r="M10" s="336"/>
    </row>
    <row r="11" spans="1:13" x14ac:dyDescent="0.2">
      <c r="A11" s="158"/>
      <c r="B11" s="149"/>
      <c r="C11" s="334"/>
      <c r="D11" s="334"/>
      <c r="E11" s="334"/>
      <c r="F11" s="334"/>
      <c r="G11" s="334"/>
      <c r="H11" s="334"/>
      <c r="I11" s="334"/>
      <c r="J11" s="334"/>
      <c r="K11" s="334"/>
      <c r="L11" s="334"/>
      <c r="M11" s="336"/>
    </row>
    <row r="12" spans="1:13" x14ac:dyDescent="0.2">
      <c r="A12" s="158"/>
      <c r="B12" s="149"/>
      <c r="C12" s="334"/>
      <c r="D12" s="334"/>
      <c r="E12" s="334"/>
      <c r="F12" s="334"/>
      <c r="G12" s="334"/>
      <c r="H12" s="334"/>
      <c r="I12" s="334"/>
      <c r="J12" s="334"/>
      <c r="K12" s="334"/>
      <c r="L12" s="334"/>
      <c r="M12" s="336"/>
    </row>
    <row r="13" spans="1:13" x14ac:dyDescent="0.2">
      <c r="A13" s="158"/>
      <c r="B13" s="149"/>
      <c r="C13" s="334"/>
      <c r="D13" s="334"/>
      <c r="E13" s="334"/>
      <c r="F13" s="334"/>
      <c r="G13" s="334"/>
      <c r="H13" s="334"/>
      <c r="I13" s="334"/>
      <c r="J13" s="334"/>
      <c r="K13" s="334"/>
      <c r="L13" s="334"/>
      <c r="M13" s="336"/>
    </row>
    <row r="14" spans="1:13" x14ac:dyDescent="0.2">
      <c r="A14" s="158"/>
      <c r="B14" s="149"/>
      <c r="C14" s="334"/>
      <c r="D14" s="334"/>
      <c r="E14" s="334"/>
      <c r="F14" s="334"/>
      <c r="G14" s="334"/>
      <c r="H14" s="334"/>
      <c r="I14" s="334"/>
      <c r="J14" s="334"/>
      <c r="K14" s="334"/>
      <c r="L14" s="334"/>
      <c r="M14" s="336"/>
    </row>
    <row r="15" spans="1:13" x14ac:dyDescent="0.2">
      <c r="A15" s="158"/>
      <c r="B15" s="149"/>
      <c r="C15" s="334"/>
      <c r="D15" s="334"/>
      <c r="E15" s="334"/>
      <c r="F15" s="334"/>
      <c r="G15" s="334"/>
      <c r="H15" s="334"/>
      <c r="I15" s="334"/>
      <c r="J15" s="334"/>
      <c r="K15" s="334"/>
      <c r="L15" s="334"/>
      <c r="M15" s="336"/>
    </row>
    <row r="16" spans="1:13" x14ac:dyDescent="0.2">
      <c r="A16" s="158"/>
      <c r="B16" s="149"/>
      <c r="C16" s="334"/>
      <c r="D16" s="334"/>
      <c r="E16" s="334"/>
      <c r="F16" s="334"/>
      <c r="G16" s="334"/>
      <c r="H16" s="334"/>
      <c r="I16" s="334"/>
      <c r="J16" s="334"/>
      <c r="K16" s="334"/>
      <c r="L16" s="334"/>
      <c r="M16" s="336"/>
    </row>
    <row r="17" spans="1:256" x14ac:dyDescent="0.2">
      <c r="A17" s="158"/>
      <c r="B17" s="149"/>
      <c r="C17" s="334"/>
      <c r="D17" s="334"/>
      <c r="E17" s="334"/>
      <c r="F17" s="334"/>
      <c r="G17" s="334"/>
      <c r="H17" s="334"/>
      <c r="I17" s="334"/>
      <c r="J17" s="334"/>
      <c r="K17" s="334"/>
      <c r="L17" s="334"/>
      <c r="M17" s="336"/>
    </row>
    <row r="18" spans="1:256" x14ac:dyDescent="0.2">
      <c r="A18" s="158"/>
      <c r="B18" s="149"/>
      <c r="C18" s="334"/>
      <c r="D18" s="334"/>
      <c r="E18" s="334"/>
      <c r="F18" s="334"/>
      <c r="G18" s="334"/>
      <c r="H18" s="334"/>
      <c r="I18" s="334"/>
      <c r="J18" s="334"/>
      <c r="K18" s="334"/>
      <c r="L18" s="334"/>
      <c r="M18" s="336"/>
    </row>
    <row r="19" spans="1:256" x14ac:dyDescent="0.2">
      <c r="A19" s="158"/>
      <c r="B19" s="149"/>
      <c r="C19" s="334"/>
      <c r="D19" s="334"/>
      <c r="E19" s="334"/>
      <c r="F19" s="334"/>
      <c r="G19" s="334"/>
      <c r="H19" s="334"/>
      <c r="I19" s="334"/>
      <c r="J19" s="334"/>
      <c r="K19" s="334"/>
      <c r="L19" s="334"/>
      <c r="M19" s="336"/>
    </row>
    <row r="20" spans="1:256" x14ac:dyDescent="0.2">
      <c r="A20" s="158"/>
      <c r="B20" s="149"/>
      <c r="C20" s="334"/>
      <c r="D20" s="334"/>
      <c r="E20" s="334"/>
      <c r="F20" s="334"/>
      <c r="G20" s="334"/>
      <c r="H20" s="334"/>
      <c r="I20" s="334"/>
      <c r="J20" s="334"/>
      <c r="K20" s="334"/>
      <c r="L20" s="334"/>
      <c r="M20" s="336"/>
    </row>
    <row r="21" spans="1:256" x14ac:dyDescent="0.2">
      <c r="A21" s="158"/>
      <c r="B21" s="149"/>
      <c r="C21" s="334"/>
      <c r="D21" s="334"/>
      <c r="E21" s="334"/>
      <c r="F21" s="334"/>
      <c r="G21" s="334"/>
      <c r="H21" s="334"/>
      <c r="I21" s="334"/>
      <c r="J21" s="334"/>
      <c r="K21" s="334"/>
      <c r="L21" s="334"/>
      <c r="M21" s="336"/>
    </row>
    <row r="22" spans="1:256" x14ac:dyDescent="0.2">
      <c r="A22" s="158"/>
      <c r="B22" s="149"/>
      <c r="C22" s="334"/>
      <c r="D22" s="334"/>
      <c r="E22" s="334"/>
      <c r="F22" s="334"/>
      <c r="G22" s="334"/>
      <c r="H22" s="334"/>
      <c r="I22" s="334"/>
      <c r="J22" s="334"/>
      <c r="K22" s="334"/>
      <c r="L22" s="334"/>
      <c r="M22" s="336"/>
    </row>
    <row r="23" spans="1:256" x14ac:dyDescent="0.2">
      <c r="A23" s="158"/>
      <c r="B23" s="149"/>
      <c r="C23" s="334"/>
      <c r="D23" s="334"/>
      <c r="E23" s="334"/>
      <c r="F23" s="334"/>
      <c r="G23" s="334"/>
      <c r="H23" s="334"/>
      <c r="I23" s="334"/>
      <c r="J23" s="334"/>
      <c r="K23" s="334"/>
      <c r="L23" s="334"/>
      <c r="M23" s="336"/>
    </row>
    <row r="24" spans="1:256" x14ac:dyDescent="0.2">
      <c r="A24" s="158"/>
      <c r="B24" s="149"/>
      <c r="C24" s="334"/>
      <c r="D24" s="334"/>
      <c r="E24" s="334"/>
      <c r="F24" s="334"/>
      <c r="G24" s="334"/>
      <c r="H24" s="334"/>
      <c r="I24" s="334"/>
      <c r="J24" s="334"/>
      <c r="K24" s="334"/>
      <c r="L24" s="334"/>
      <c r="M24" s="336"/>
    </row>
    <row r="25" spans="1:256" x14ac:dyDescent="0.2">
      <c r="A25" s="158"/>
      <c r="B25" s="149"/>
      <c r="C25" s="334"/>
      <c r="D25" s="334"/>
      <c r="E25" s="334"/>
      <c r="F25" s="334"/>
      <c r="G25" s="334"/>
      <c r="H25" s="334"/>
      <c r="I25" s="334"/>
      <c r="J25" s="334"/>
      <c r="K25" s="334"/>
      <c r="L25" s="334"/>
      <c r="M25" s="336"/>
    </row>
    <row r="26" spans="1:256" x14ac:dyDescent="0.2">
      <c r="A26" s="158"/>
      <c r="B26" s="149"/>
      <c r="C26" s="334"/>
      <c r="D26" s="334"/>
      <c r="E26" s="334"/>
      <c r="F26" s="334"/>
      <c r="G26" s="334"/>
      <c r="H26" s="334"/>
      <c r="I26" s="334"/>
      <c r="J26" s="334"/>
      <c r="K26" s="334"/>
      <c r="L26" s="334"/>
      <c r="M26" s="336"/>
    </row>
    <row r="27" spans="1:256" x14ac:dyDescent="0.2">
      <c r="A27" s="158"/>
      <c r="B27" s="149"/>
      <c r="C27" s="334"/>
      <c r="D27" s="334"/>
      <c r="E27" s="334"/>
      <c r="F27" s="334"/>
      <c r="G27" s="334"/>
      <c r="H27" s="334"/>
      <c r="I27" s="334"/>
      <c r="J27" s="334"/>
      <c r="K27" s="334"/>
      <c r="L27" s="334"/>
      <c r="M27" s="336"/>
    </row>
    <row r="28" spans="1:256" x14ac:dyDescent="0.2">
      <c r="A28" s="158"/>
      <c r="B28" s="149"/>
      <c r="C28" s="334"/>
      <c r="D28" s="334"/>
      <c r="E28" s="334"/>
      <c r="F28" s="334"/>
      <c r="G28" s="334"/>
      <c r="H28" s="334"/>
      <c r="I28" s="334"/>
      <c r="J28" s="334"/>
      <c r="K28" s="334"/>
      <c r="L28" s="334"/>
      <c r="M28" s="336"/>
    </row>
    <row r="29" spans="1:256" x14ac:dyDescent="0.2">
      <c r="A29" s="158"/>
      <c r="B29" s="149"/>
      <c r="C29" s="334"/>
      <c r="D29" s="334"/>
      <c r="E29" s="334"/>
      <c r="F29" s="334"/>
      <c r="G29" s="334"/>
      <c r="H29" s="334"/>
      <c r="I29" s="334"/>
      <c r="J29" s="334"/>
      <c r="K29" s="334"/>
      <c r="L29" s="334"/>
      <c r="M29" s="336"/>
      <c r="N29" s="152"/>
      <c r="O29" s="152"/>
      <c r="P29" s="335"/>
      <c r="Q29" s="335"/>
      <c r="R29" s="335"/>
      <c r="S29" s="335"/>
      <c r="T29" s="335"/>
      <c r="U29" s="335"/>
      <c r="V29" s="335"/>
      <c r="W29" s="335"/>
      <c r="X29" s="335"/>
      <c r="Y29" s="335"/>
      <c r="Z29" s="335"/>
      <c r="AA29" s="149"/>
      <c r="AB29" s="149"/>
      <c r="AC29" s="334"/>
      <c r="AD29" s="334"/>
      <c r="AE29" s="334"/>
      <c r="AF29" s="334"/>
      <c r="AG29" s="334"/>
      <c r="AH29" s="334"/>
      <c r="AI29" s="334"/>
      <c r="AJ29" s="334"/>
      <c r="AK29" s="334"/>
      <c r="AL29" s="334"/>
      <c r="AM29" s="334"/>
      <c r="AN29" s="149"/>
      <c r="AO29" s="149"/>
      <c r="AP29" s="334"/>
      <c r="AQ29" s="334"/>
      <c r="AR29" s="334"/>
      <c r="AS29" s="334"/>
      <c r="AT29" s="334"/>
      <c r="AU29" s="334"/>
      <c r="AV29" s="334"/>
      <c r="AW29" s="334"/>
      <c r="AX29" s="334"/>
      <c r="AY29" s="334"/>
      <c r="AZ29" s="334"/>
      <c r="BA29" s="149"/>
      <c r="BB29" s="149"/>
      <c r="BC29" s="334"/>
      <c r="BD29" s="334"/>
      <c r="BE29" s="334"/>
      <c r="BF29" s="334"/>
      <c r="BG29" s="334"/>
      <c r="BH29" s="334"/>
      <c r="BI29" s="334"/>
      <c r="BJ29" s="334"/>
      <c r="BK29" s="334"/>
      <c r="BL29" s="334"/>
      <c r="BM29" s="334"/>
      <c r="BN29" s="149"/>
      <c r="BO29" s="149"/>
      <c r="BP29" s="334"/>
      <c r="BQ29" s="334"/>
      <c r="BR29" s="334"/>
      <c r="BS29" s="334"/>
      <c r="BT29" s="334"/>
      <c r="BU29" s="334"/>
      <c r="BV29" s="334"/>
      <c r="BW29" s="334"/>
      <c r="BX29" s="334"/>
      <c r="BY29" s="334"/>
      <c r="BZ29" s="334"/>
      <c r="CA29" s="149"/>
      <c r="CB29" s="149"/>
      <c r="CC29" s="334"/>
      <c r="CD29" s="334"/>
      <c r="CE29" s="334"/>
      <c r="CF29" s="334"/>
      <c r="CG29" s="334"/>
      <c r="CH29" s="334"/>
      <c r="CI29" s="334"/>
      <c r="CJ29" s="334"/>
      <c r="CK29" s="334"/>
      <c r="CL29" s="334"/>
      <c r="CM29" s="334"/>
      <c r="CN29" s="149"/>
      <c r="CO29" s="149"/>
      <c r="CP29" s="334"/>
      <c r="CQ29" s="334"/>
      <c r="CR29" s="334"/>
      <c r="CS29" s="334"/>
      <c r="CT29" s="334"/>
      <c r="CU29" s="334"/>
      <c r="CV29" s="334"/>
      <c r="CW29" s="334"/>
      <c r="CX29" s="334"/>
      <c r="CY29" s="334"/>
      <c r="CZ29" s="334"/>
      <c r="DA29" s="149"/>
      <c r="DB29" s="149"/>
      <c r="DC29" s="334"/>
      <c r="DD29" s="334"/>
      <c r="DE29" s="334"/>
      <c r="DF29" s="334"/>
      <c r="DG29" s="334"/>
      <c r="DH29" s="334"/>
      <c r="DI29" s="334"/>
      <c r="DJ29" s="334"/>
      <c r="DK29" s="334"/>
      <c r="DL29" s="334"/>
      <c r="DM29" s="334"/>
      <c r="DN29" s="149"/>
      <c r="DO29" s="149"/>
      <c r="DP29" s="334"/>
      <c r="DQ29" s="334"/>
      <c r="DR29" s="334"/>
      <c r="DS29" s="334"/>
      <c r="DT29" s="334"/>
      <c r="DU29" s="334"/>
      <c r="DV29" s="334"/>
      <c r="DW29" s="334"/>
      <c r="DX29" s="334"/>
      <c r="DY29" s="334"/>
      <c r="DZ29" s="334"/>
      <c r="EA29" s="149"/>
      <c r="EB29" s="149"/>
      <c r="EC29" s="334"/>
      <c r="ED29" s="334"/>
      <c r="EE29" s="334"/>
      <c r="EF29" s="334"/>
      <c r="EG29" s="334"/>
      <c r="EH29" s="334"/>
      <c r="EI29" s="334"/>
      <c r="EJ29" s="334"/>
      <c r="EK29" s="334"/>
      <c r="EL29" s="334"/>
      <c r="EM29" s="334"/>
      <c r="EN29" s="149"/>
      <c r="EO29" s="149"/>
      <c r="EP29" s="334"/>
      <c r="EQ29" s="334"/>
      <c r="ER29" s="334"/>
      <c r="ES29" s="334"/>
      <c r="ET29" s="334"/>
      <c r="EU29" s="334"/>
      <c r="EV29" s="334"/>
      <c r="EW29" s="334"/>
      <c r="EX29" s="334"/>
      <c r="EY29" s="334"/>
      <c r="EZ29" s="334"/>
      <c r="FA29" s="149"/>
      <c r="FB29" s="149"/>
      <c r="FC29" s="334"/>
      <c r="FD29" s="334"/>
      <c r="FE29" s="334"/>
      <c r="FF29" s="334"/>
      <c r="FG29" s="334"/>
      <c r="FH29" s="334"/>
      <c r="FI29" s="334"/>
      <c r="FJ29" s="334"/>
      <c r="FK29" s="334"/>
      <c r="FL29" s="334"/>
      <c r="FM29" s="334"/>
      <c r="FN29" s="149"/>
      <c r="FO29" s="149"/>
      <c r="FP29" s="334"/>
      <c r="FQ29" s="334"/>
      <c r="FR29" s="334"/>
      <c r="FS29" s="334"/>
      <c r="FT29" s="334"/>
      <c r="FU29" s="334"/>
      <c r="FV29" s="334"/>
      <c r="FW29" s="334"/>
      <c r="FX29" s="334"/>
      <c r="FY29" s="334"/>
      <c r="FZ29" s="334"/>
      <c r="GA29" s="149"/>
      <c r="GB29" s="149"/>
      <c r="GC29" s="334"/>
      <c r="GD29" s="334"/>
      <c r="GE29" s="334"/>
      <c r="GF29" s="334"/>
      <c r="GG29" s="334"/>
      <c r="GH29" s="334"/>
      <c r="GI29" s="334"/>
      <c r="GJ29" s="334"/>
      <c r="GK29" s="334"/>
      <c r="GL29" s="334"/>
      <c r="GM29" s="334"/>
      <c r="GN29" s="149"/>
      <c r="GO29" s="149"/>
      <c r="GP29" s="334"/>
      <c r="GQ29" s="334"/>
      <c r="GR29" s="334"/>
      <c r="GS29" s="334"/>
      <c r="GT29" s="334"/>
      <c r="GU29" s="334"/>
      <c r="GV29" s="334"/>
      <c r="GW29" s="334"/>
      <c r="GX29" s="334"/>
      <c r="GY29" s="334"/>
      <c r="GZ29" s="334"/>
      <c r="HA29" s="149"/>
      <c r="HB29" s="149"/>
      <c r="HC29" s="334"/>
      <c r="HD29" s="334"/>
      <c r="HE29" s="334"/>
      <c r="HF29" s="334"/>
      <c r="HG29" s="334"/>
      <c r="HH29" s="334"/>
      <c r="HI29" s="334"/>
      <c r="HJ29" s="334"/>
      <c r="HK29" s="334"/>
      <c r="HL29" s="334"/>
      <c r="HM29" s="334"/>
      <c r="HN29" s="149"/>
      <c r="HO29" s="149"/>
      <c r="HP29" s="334"/>
      <c r="HQ29" s="334"/>
      <c r="HR29" s="334"/>
      <c r="HS29" s="334"/>
      <c r="HT29" s="334"/>
      <c r="HU29" s="334"/>
      <c r="HV29" s="334"/>
      <c r="HW29" s="334"/>
      <c r="HX29" s="334"/>
      <c r="HY29" s="334"/>
      <c r="HZ29" s="334"/>
      <c r="IA29" s="149"/>
      <c r="IB29" s="149"/>
      <c r="IC29" s="334"/>
      <c r="ID29" s="334"/>
      <c r="IE29" s="334"/>
      <c r="IF29" s="334"/>
      <c r="IG29" s="334"/>
      <c r="IH29" s="334"/>
      <c r="II29" s="334"/>
      <c r="IJ29" s="334"/>
      <c r="IK29" s="334"/>
      <c r="IL29" s="334"/>
      <c r="IM29" s="334"/>
      <c r="IN29" s="149"/>
      <c r="IO29" s="149"/>
      <c r="IP29" s="334"/>
      <c r="IQ29" s="334"/>
      <c r="IR29" s="334"/>
      <c r="IS29" s="334"/>
      <c r="IT29" s="334"/>
      <c r="IU29" s="334"/>
      <c r="IV29" s="334"/>
    </row>
    <row r="30" spans="1:256" x14ac:dyDescent="0.2">
      <c r="A30" s="158"/>
      <c r="B30" s="149"/>
      <c r="C30" s="334"/>
      <c r="D30" s="334"/>
      <c r="E30" s="334"/>
      <c r="F30" s="334"/>
      <c r="G30" s="334"/>
      <c r="H30" s="334"/>
      <c r="I30" s="334"/>
      <c r="J30" s="334"/>
      <c r="K30" s="334"/>
      <c r="L30" s="334"/>
      <c r="M30" s="336"/>
      <c r="N30" s="152"/>
      <c r="O30" s="152"/>
      <c r="P30" s="335"/>
      <c r="Q30" s="335"/>
      <c r="R30" s="335"/>
      <c r="S30" s="335"/>
      <c r="T30" s="335"/>
      <c r="U30" s="335"/>
      <c r="V30" s="335"/>
      <c r="W30" s="335"/>
      <c r="X30" s="335"/>
      <c r="Y30" s="335"/>
      <c r="Z30" s="335"/>
      <c r="AA30" s="149"/>
      <c r="AB30" s="149"/>
      <c r="AC30" s="334"/>
      <c r="AD30" s="334"/>
      <c r="AE30" s="334"/>
      <c r="AF30" s="334"/>
      <c r="AG30" s="334"/>
      <c r="AH30" s="334"/>
      <c r="AI30" s="334"/>
      <c r="AJ30" s="334"/>
      <c r="AK30" s="334"/>
      <c r="AL30" s="334"/>
      <c r="AM30" s="334"/>
      <c r="AN30" s="149"/>
      <c r="AO30" s="149"/>
      <c r="AP30" s="334"/>
      <c r="AQ30" s="334"/>
      <c r="AR30" s="334"/>
      <c r="AS30" s="334"/>
      <c r="AT30" s="334"/>
      <c r="AU30" s="334"/>
      <c r="AV30" s="334"/>
      <c r="AW30" s="334"/>
      <c r="AX30" s="334"/>
      <c r="AY30" s="334"/>
      <c r="AZ30" s="334"/>
      <c r="BA30" s="149"/>
      <c r="BB30" s="149"/>
      <c r="BC30" s="334"/>
      <c r="BD30" s="334"/>
      <c r="BE30" s="334"/>
      <c r="BF30" s="334"/>
      <c r="BG30" s="334"/>
      <c r="BH30" s="334"/>
      <c r="BI30" s="334"/>
      <c r="BJ30" s="334"/>
      <c r="BK30" s="334"/>
      <c r="BL30" s="334"/>
      <c r="BM30" s="334"/>
      <c r="BN30" s="149"/>
      <c r="BO30" s="149"/>
      <c r="BP30" s="334"/>
      <c r="BQ30" s="334"/>
      <c r="BR30" s="334"/>
      <c r="BS30" s="334"/>
      <c r="BT30" s="334"/>
      <c r="BU30" s="334"/>
      <c r="BV30" s="334"/>
      <c r="BW30" s="334"/>
      <c r="BX30" s="334"/>
      <c r="BY30" s="334"/>
      <c r="BZ30" s="334"/>
      <c r="CA30" s="149"/>
      <c r="CB30" s="149"/>
      <c r="CC30" s="334"/>
      <c r="CD30" s="334"/>
      <c r="CE30" s="334"/>
      <c r="CF30" s="334"/>
      <c r="CG30" s="334"/>
      <c r="CH30" s="334"/>
      <c r="CI30" s="334"/>
      <c r="CJ30" s="334"/>
      <c r="CK30" s="334"/>
      <c r="CL30" s="334"/>
      <c r="CM30" s="334"/>
      <c r="CN30" s="149"/>
      <c r="CO30" s="149"/>
      <c r="CP30" s="334"/>
      <c r="CQ30" s="334"/>
      <c r="CR30" s="334"/>
      <c r="CS30" s="334"/>
      <c r="CT30" s="334"/>
      <c r="CU30" s="334"/>
      <c r="CV30" s="334"/>
      <c r="CW30" s="334"/>
      <c r="CX30" s="334"/>
      <c r="CY30" s="334"/>
      <c r="CZ30" s="334"/>
      <c r="DA30" s="149"/>
      <c r="DB30" s="149"/>
      <c r="DC30" s="334"/>
      <c r="DD30" s="334"/>
      <c r="DE30" s="334"/>
      <c r="DF30" s="334"/>
      <c r="DG30" s="334"/>
      <c r="DH30" s="334"/>
      <c r="DI30" s="334"/>
      <c r="DJ30" s="334"/>
      <c r="DK30" s="334"/>
      <c r="DL30" s="334"/>
      <c r="DM30" s="334"/>
      <c r="DN30" s="149"/>
      <c r="DO30" s="149"/>
      <c r="DP30" s="334"/>
      <c r="DQ30" s="334"/>
      <c r="DR30" s="334"/>
      <c r="DS30" s="334"/>
      <c r="DT30" s="334"/>
      <c r="DU30" s="334"/>
      <c r="DV30" s="334"/>
      <c r="DW30" s="334"/>
      <c r="DX30" s="334"/>
      <c r="DY30" s="334"/>
      <c r="DZ30" s="334"/>
      <c r="EA30" s="149"/>
      <c r="EB30" s="149"/>
      <c r="EC30" s="334"/>
      <c r="ED30" s="334"/>
      <c r="EE30" s="334"/>
      <c r="EF30" s="334"/>
      <c r="EG30" s="334"/>
      <c r="EH30" s="334"/>
      <c r="EI30" s="334"/>
      <c r="EJ30" s="334"/>
      <c r="EK30" s="334"/>
      <c r="EL30" s="334"/>
      <c r="EM30" s="334"/>
      <c r="EN30" s="149"/>
      <c r="EO30" s="149"/>
      <c r="EP30" s="334"/>
      <c r="EQ30" s="334"/>
      <c r="ER30" s="334"/>
      <c r="ES30" s="334"/>
      <c r="ET30" s="334"/>
      <c r="EU30" s="334"/>
      <c r="EV30" s="334"/>
      <c r="EW30" s="334"/>
      <c r="EX30" s="334"/>
      <c r="EY30" s="334"/>
      <c r="EZ30" s="334"/>
      <c r="FA30" s="149"/>
      <c r="FB30" s="149"/>
      <c r="FC30" s="334"/>
      <c r="FD30" s="334"/>
      <c r="FE30" s="334"/>
      <c r="FF30" s="334"/>
      <c r="FG30" s="334"/>
      <c r="FH30" s="334"/>
      <c r="FI30" s="334"/>
      <c r="FJ30" s="334"/>
      <c r="FK30" s="334"/>
      <c r="FL30" s="334"/>
      <c r="FM30" s="334"/>
      <c r="FN30" s="149"/>
      <c r="FO30" s="149"/>
      <c r="FP30" s="334"/>
      <c r="FQ30" s="334"/>
      <c r="FR30" s="334"/>
      <c r="FS30" s="334"/>
      <c r="FT30" s="334"/>
      <c r="FU30" s="334"/>
      <c r="FV30" s="334"/>
      <c r="FW30" s="334"/>
      <c r="FX30" s="334"/>
      <c r="FY30" s="334"/>
      <c r="FZ30" s="334"/>
      <c r="GA30" s="149"/>
      <c r="GB30" s="149"/>
      <c r="GC30" s="334"/>
      <c r="GD30" s="334"/>
      <c r="GE30" s="334"/>
      <c r="GF30" s="334"/>
      <c r="GG30" s="334"/>
      <c r="GH30" s="334"/>
      <c r="GI30" s="334"/>
      <c r="GJ30" s="334"/>
      <c r="GK30" s="334"/>
      <c r="GL30" s="334"/>
      <c r="GM30" s="334"/>
      <c r="GN30" s="149"/>
      <c r="GO30" s="149"/>
      <c r="GP30" s="334"/>
      <c r="GQ30" s="334"/>
      <c r="GR30" s="334"/>
      <c r="GS30" s="334"/>
      <c r="GT30" s="334"/>
      <c r="GU30" s="334"/>
      <c r="GV30" s="334"/>
      <c r="GW30" s="334"/>
      <c r="GX30" s="334"/>
      <c r="GY30" s="334"/>
      <c r="GZ30" s="334"/>
      <c r="HA30" s="149"/>
      <c r="HB30" s="149"/>
      <c r="HC30" s="334"/>
      <c r="HD30" s="334"/>
      <c r="HE30" s="334"/>
      <c r="HF30" s="334"/>
      <c r="HG30" s="334"/>
      <c r="HH30" s="334"/>
      <c r="HI30" s="334"/>
      <c r="HJ30" s="334"/>
      <c r="HK30" s="334"/>
      <c r="HL30" s="334"/>
      <c r="HM30" s="334"/>
      <c r="HN30" s="149"/>
      <c r="HO30" s="149"/>
      <c r="HP30" s="334"/>
      <c r="HQ30" s="334"/>
      <c r="HR30" s="334"/>
      <c r="HS30" s="334"/>
      <c r="HT30" s="334"/>
      <c r="HU30" s="334"/>
      <c r="HV30" s="334"/>
      <c r="HW30" s="334"/>
      <c r="HX30" s="334"/>
      <c r="HY30" s="334"/>
      <c r="HZ30" s="334"/>
      <c r="IA30" s="149"/>
      <c r="IB30" s="149"/>
      <c r="IC30" s="334"/>
      <c r="ID30" s="334"/>
      <c r="IE30" s="334"/>
      <c r="IF30" s="334"/>
      <c r="IG30" s="334"/>
      <c r="IH30" s="334"/>
      <c r="II30" s="334"/>
      <c r="IJ30" s="334"/>
      <c r="IK30" s="334"/>
      <c r="IL30" s="334"/>
      <c r="IM30" s="334"/>
      <c r="IN30" s="149"/>
      <c r="IO30" s="149"/>
      <c r="IP30" s="334"/>
      <c r="IQ30" s="334"/>
      <c r="IR30" s="334"/>
      <c r="IS30" s="334"/>
      <c r="IT30" s="334"/>
      <c r="IU30" s="334"/>
      <c r="IV30" s="334"/>
    </row>
    <row r="31" spans="1:256" x14ac:dyDescent="0.2">
      <c r="A31" s="158"/>
      <c r="B31" s="149"/>
      <c r="C31" s="334"/>
      <c r="D31" s="334"/>
      <c r="E31" s="334"/>
      <c r="F31" s="334"/>
      <c r="G31" s="334"/>
      <c r="H31" s="334"/>
      <c r="I31" s="334"/>
      <c r="J31" s="334"/>
      <c r="K31" s="334"/>
      <c r="L31" s="334"/>
      <c r="M31" s="336"/>
      <c r="N31" s="152"/>
      <c r="O31" s="152"/>
      <c r="P31" s="335"/>
      <c r="Q31" s="335"/>
      <c r="R31" s="335"/>
      <c r="S31" s="335"/>
      <c r="T31" s="335"/>
      <c r="U31" s="335"/>
      <c r="V31" s="335"/>
      <c r="W31" s="335"/>
      <c r="X31" s="335"/>
      <c r="Y31" s="335"/>
      <c r="Z31" s="335"/>
      <c r="AA31" s="149"/>
      <c r="AB31" s="149"/>
      <c r="AC31" s="334"/>
      <c r="AD31" s="334"/>
      <c r="AE31" s="334"/>
      <c r="AF31" s="334"/>
      <c r="AG31" s="334"/>
      <c r="AH31" s="334"/>
      <c r="AI31" s="334"/>
      <c r="AJ31" s="334"/>
      <c r="AK31" s="334"/>
      <c r="AL31" s="334"/>
      <c r="AM31" s="334"/>
      <c r="AN31" s="149"/>
      <c r="AO31" s="149"/>
      <c r="AP31" s="334"/>
      <c r="AQ31" s="334"/>
      <c r="AR31" s="334"/>
      <c r="AS31" s="334"/>
      <c r="AT31" s="334"/>
      <c r="AU31" s="334"/>
      <c r="AV31" s="334"/>
      <c r="AW31" s="334"/>
      <c r="AX31" s="334"/>
      <c r="AY31" s="334"/>
      <c r="AZ31" s="334"/>
      <c r="BA31" s="149"/>
      <c r="BB31" s="149"/>
      <c r="BC31" s="334"/>
      <c r="BD31" s="334"/>
      <c r="BE31" s="334"/>
      <c r="BF31" s="334"/>
      <c r="BG31" s="334"/>
      <c r="BH31" s="334"/>
      <c r="BI31" s="334"/>
      <c r="BJ31" s="334"/>
      <c r="BK31" s="334"/>
      <c r="BL31" s="334"/>
      <c r="BM31" s="334"/>
      <c r="BN31" s="149"/>
      <c r="BO31" s="149"/>
      <c r="BP31" s="334"/>
      <c r="BQ31" s="334"/>
      <c r="BR31" s="334"/>
      <c r="BS31" s="334"/>
      <c r="BT31" s="334"/>
      <c r="BU31" s="334"/>
      <c r="BV31" s="334"/>
      <c r="BW31" s="334"/>
      <c r="BX31" s="334"/>
      <c r="BY31" s="334"/>
      <c r="BZ31" s="334"/>
      <c r="CA31" s="149"/>
      <c r="CB31" s="149"/>
      <c r="CC31" s="334"/>
      <c r="CD31" s="334"/>
      <c r="CE31" s="334"/>
      <c r="CF31" s="334"/>
      <c r="CG31" s="334"/>
      <c r="CH31" s="334"/>
      <c r="CI31" s="334"/>
      <c r="CJ31" s="334"/>
      <c r="CK31" s="334"/>
      <c r="CL31" s="334"/>
      <c r="CM31" s="334"/>
      <c r="CN31" s="149"/>
      <c r="CO31" s="149"/>
      <c r="CP31" s="334"/>
      <c r="CQ31" s="334"/>
      <c r="CR31" s="334"/>
      <c r="CS31" s="334"/>
      <c r="CT31" s="334"/>
      <c r="CU31" s="334"/>
      <c r="CV31" s="334"/>
      <c r="CW31" s="334"/>
      <c r="CX31" s="334"/>
      <c r="CY31" s="334"/>
      <c r="CZ31" s="334"/>
      <c r="DA31" s="149"/>
      <c r="DB31" s="149"/>
      <c r="DC31" s="334"/>
      <c r="DD31" s="334"/>
      <c r="DE31" s="334"/>
      <c r="DF31" s="334"/>
      <c r="DG31" s="334"/>
      <c r="DH31" s="334"/>
      <c r="DI31" s="334"/>
      <c r="DJ31" s="334"/>
      <c r="DK31" s="334"/>
      <c r="DL31" s="334"/>
      <c r="DM31" s="334"/>
      <c r="DN31" s="149"/>
      <c r="DO31" s="149"/>
      <c r="DP31" s="334"/>
      <c r="DQ31" s="334"/>
      <c r="DR31" s="334"/>
      <c r="DS31" s="334"/>
      <c r="DT31" s="334"/>
      <c r="DU31" s="334"/>
      <c r="DV31" s="334"/>
      <c r="DW31" s="334"/>
      <c r="DX31" s="334"/>
      <c r="DY31" s="334"/>
      <c r="DZ31" s="334"/>
      <c r="EA31" s="149"/>
      <c r="EB31" s="149"/>
      <c r="EC31" s="334"/>
      <c r="ED31" s="334"/>
      <c r="EE31" s="334"/>
      <c r="EF31" s="334"/>
      <c r="EG31" s="334"/>
      <c r="EH31" s="334"/>
      <c r="EI31" s="334"/>
      <c r="EJ31" s="334"/>
      <c r="EK31" s="334"/>
      <c r="EL31" s="334"/>
      <c r="EM31" s="334"/>
      <c r="EN31" s="149"/>
      <c r="EO31" s="149"/>
      <c r="EP31" s="334"/>
      <c r="EQ31" s="334"/>
      <c r="ER31" s="334"/>
      <c r="ES31" s="334"/>
      <c r="ET31" s="334"/>
      <c r="EU31" s="334"/>
      <c r="EV31" s="334"/>
      <c r="EW31" s="334"/>
      <c r="EX31" s="334"/>
      <c r="EY31" s="334"/>
      <c r="EZ31" s="334"/>
      <c r="FA31" s="149"/>
      <c r="FB31" s="149"/>
      <c r="FC31" s="334"/>
      <c r="FD31" s="334"/>
      <c r="FE31" s="334"/>
      <c r="FF31" s="334"/>
      <c r="FG31" s="334"/>
      <c r="FH31" s="334"/>
      <c r="FI31" s="334"/>
      <c r="FJ31" s="334"/>
      <c r="FK31" s="334"/>
      <c r="FL31" s="334"/>
      <c r="FM31" s="334"/>
      <c r="FN31" s="149"/>
      <c r="FO31" s="149"/>
      <c r="FP31" s="334"/>
      <c r="FQ31" s="334"/>
      <c r="FR31" s="334"/>
      <c r="FS31" s="334"/>
      <c r="FT31" s="334"/>
      <c r="FU31" s="334"/>
      <c r="FV31" s="334"/>
      <c r="FW31" s="334"/>
      <c r="FX31" s="334"/>
      <c r="FY31" s="334"/>
      <c r="FZ31" s="334"/>
      <c r="GA31" s="149"/>
      <c r="GB31" s="149"/>
      <c r="GC31" s="334"/>
      <c r="GD31" s="334"/>
      <c r="GE31" s="334"/>
      <c r="GF31" s="334"/>
      <c r="GG31" s="334"/>
      <c r="GH31" s="334"/>
      <c r="GI31" s="334"/>
      <c r="GJ31" s="334"/>
      <c r="GK31" s="334"/>
      <c r="GL31" s="334"/>
      <c r="GM31" s="334"/>
      <c r="GN31" s="149"/>
      <c r="GO31" s="149"/>
      <c r="GP31" s="334"/>
      <c r="GQ31" s="334"/>
      <c r="GR31" s="334"/>
      <c r="GS31" s="334"/>
      <c r="GT31" s="334"/>
      <c r="GU31" s="334"/>
      <c r="GV31" s="334"/>
      <c r="GW31" s="334"/>
      <c r="GX31" s="334"/>
      <c r="GY31" s="334"/>
      <c r="GZ31" s="334"/>
      <c r="HA31" s="149"/>
      <c r="HB31" s="149"/>
      <c r="HC31" s="334"/>
      <c r="HD31" s="334"/>
      <c r="HE31" s="334"/>
      <c r="HF31" s="334"/>
      <c r="HG31" s="334"/>
      <c r="HH31" s="334"/>
      <c r="HI31" s="334"/>
      <c r="HJ31" s="334"/>
      <c r="HK31" s="334"/>
      <c r="HL31" s="334"/>
      <c r="HM31" s="334"/>
      <c r="HN31" s="149"/>
      <c r="HO31" s="149"/>
      <c r="HP31" s="334"/>
      <c r="HQ31" s="334"/>
      <c r="HR31" s="334"/>
      <c r="HS31" s="334"/>
      <c r="HT31" s="334"/>
      <c r="HU31" s="334"/>
      <c r="HV31" s="334"/>
      <c r="HW31" s="334"/>
      <c r="HX31" s="334"/>
      <c r="HY31" s="334"/>
      <c r="HZ31" s="334"/>
      <c r="IA31" s="149"/>
      <c r="IB31" s="149"/>
      <c r="IC31" s="334"/>
      <c r="ID31" s="334"/>
      <c r="IE31" s="334"/>
      <c r="IF31" s="334"/>
      <c r="IG31" s="334"/>
      <c r="IH31" s="334"/>
      <c r="II31" s="334"/>
      <c r="IJ31" s="334"/>
      <c r="IK31" s="334"/>
      <c r="IL31" s="334"/>
      <c r="IM31" s="334"/>
      <c r="IN31" s="149"/>
      <c r="IO31" s="149"/>
      <c r="IP31" s="334"/>
      <c r="IQ31" s="334"/>
      <c r="IR31" s="334"/>
      <c r="IS31" s="334"/>
      <c r="IT31" s="334"/>
      <c r="IU31" s="334"/>
      <c r="IV31" s="334"/>
    </row>
    <row r="32" spans="1:256" x14ac:dyDescent="0.2">
      <c r="A32" s="158"/>
      <c r="B32" s="149"/>
      <c r="C32" s="334"/>
      <c r="D32" s="334"/>
      <c r="E32" s="334"/>
      <c r="F32" s="334"/>
      <c r="G32" s="334"/>
      <c r="H32" s="334"/>
      <c r="I32" s="334"/>
      <c r="J32" s="334"/>
      <c r="K32" s="334"/>
      <c r="L32" s="334"/>
      <c r="M32" s="336"/>
      <c r="N32" s="152"/>
      <c r="O32" s="152"/>
      <c r="P32" s="335"/>
      <c r="Q32" s="335"/>
      <c r="R32" s="335"/>
      <c r="S32" s="335"/>
      <c r="T32" s="335"/>
      <c r="U32" s="335"/>
      <c r="V32" s="335"/>
      <c r="W32" s="335"/>
      <c r="X32" s="335"/>
      <c r="Y32" s="335"/>
      <c r="Z32" s="344"/>
      <c r="AA32" s="158"/>
      <c r="AB32" s="149"/>
      <c r="AC32" s="334"/>
      <c r="AD32" s="334"/>
      <c r="AE32" s="334"/>
      <c r="AF32" s="334"/>
      <c r="AG32" s="334"/>
      <c r="AH32" s="334"/>
      <c r="AI32" s="334"/>
      <c r="AJ32" s="334"/>
      <c r="AK32" s="334"/>
      <c r="AL32" s="334"/>
      <c r="AM32" s="336"/>
      <c r="AN32" s="158"/>
      <c r="AO32" s="149"/>
      <c r="AP32" s="334"/>
      <c r="AQ32" s="334"/>
      <c r="AR32" s="334"/>
      <c r="AS32" s="334"/>
      <c r="AT32" s="334"/>
      <c r="AU32" s="334"/>
      <c r="AV32" s="334"/>
      <c r="AW32" s="334"/>
      <c r="AX32" s="334"/>
      <c r="AY32" s="334"/>
      <c r="AZ32" s="336"/>
      <c r="BA32" s="158"/>
      <c r="BB32" s="149"/>
      <c r="BC32" s="334"/>
      <c r="BD32" s="334"/>
      <c r="BE32" s="334"/>
      <c r="BF32" s="334"/>
      <c r="BG32" s="334"/>
      <c r="BH32" s="334"/>
      <c r="BI32" s="334"/>
      <c r="BJ32" s="334"/>
      <c r="BK32" s="334"/>
      <c r="BL32" s="334"/>
      <c r="BM32" s="336"/>
      <c r="BN32" s="158"/>
      <c r="BO32" s="149"/>
      <c r="BP32" s="334"/>
      <c r="BQ32" s="334"/>
      <c r="BR32" s="334"/>
      <c r="BS32" s="334"/>
      <c r="BT32" s="334"/>
      <c r="BU32" s="334"/>
      <c r="BV32" s="334"/>
      <c r="BW32" s="334"/>
      <c r="BX32" s="334"/>
      <c r="BY32" s="334"/>
      <c r="BZ32" s="336"/>
      <c r="CA32" s="158"/>
      <c r="CB32" s="149"/>
      <c r="CC32" s="334"/>
      <c r="CD32" s="334"/>
      <c r="CE32" s="334"/>
      <c r="CF32" s="334"/>
      <c r="CG32" s="334"/>
      <c r="CH32" s="334"/>
      <c r="CI32" s="334"/>
      <c r="CJ32" s="334"/>
      <c r="CK32" s="334"/>
      <c r="CL32" s="334"/>
      <c r="CM32" s="336"/>
      <c r="CN32" s="158"/>
      <c r="CO32" s="149"/>
      <c r="CP32" s="334"/>
      <c r="CQ32" s="334"/>
      <c r="CR32" s="334"/>
      <c r="CS32" s="334"/>
      <c r="CT32" s="334"/>
      <c r="CU32" s="334"/>
      <c r="CV32" s="334"/>
      <c r="CW32" s="334"/>
      <c r="CX32" s="334"/>
      <c r="CY32" s="334"/>
      <c r="CZ32" s="336"/>
      <c r="DA32" s="158"/>
      <c r="DB32" s="149"/>
      <c r="DC32" s="334"/>
      <c r="DD32" s="334"/>
      <c r="DE32" s="334"/>
      <c r="DF32" s="334"/>
      <c r="DG32" s="334"/>
      <c r="DH32" s="334"/>
      <c r="DI32" s="334"/>
      <c r="DJ32" s="334"/>
      <c r="DK32" s="334"/>
      <c r="DL32" s="334"/>
      <c r="DM32" s="336"/>
      <c r="DN32" s="158"/>
      <c r="DO32" s="149"/>
      <c r="DP32" s="334"/>
      <c r="DQ32" s="334"/>
      <c r="DR32" s="334"/>
      <c r="DS32" s="334"/>
      <c r="DT32" s="334"/>
      <c r="DU32" s="334"/>
      <c r="DV32" s="334"/>
      <c r="DW32" s="334"/>
      <c r="DX32" s="334"/>
      <c r="DY32" s="334"/>
      <c r="DZ32" s="336"/>
      <c r="EA32" s="158"/>
      <c r="EB32" s="149"/>
      <c r="EC32" s="334"/>
      <c r="ED32" s="334"/>
      <c r="EE32" s="334"/>
      <c r="EF32" s="334"/>
      <c r="EG32" s="334"/>
      <c r="EH32" s="334"/>
      <c r="EI32" s="334"/>
      <c r="EJ32" s="334"/>
      <c r="EK32" s="334"/>
      <c r="EL32" s="334"/>
      <c r="EM32" s="336"/>
      <c r="EN32" s="158"/>
      <c r="EO32" s="149"/>
      <c r="EP32" s="334"/>
      <c r="EQ32" s="334"/>
      <c r="ER32" s="334"/>
      <c r="ES32" s="334"/>
      <c r="ET32" s="334"/>
      <c r="EU32" s="334"/>
      <c r="EV32" s="334"/>
      <c r="EW32" s="334"/>
      <c r="EX32" s="334"/>
      <c r="EY32" s="334"/>
      <c r="EZ32" s="336"/>
      <c r="FA32" s="158"/>
      <c r="FB32" s="149"/>
      <c r="FC32" s="334"/>
      <c r="FD32" s="334"/>
      <c r="FE32" s="334"/>
      <c r="FF32" s="334"/>
      <c r="FG32" s="334"/>
      <c r="FH32" s="334"/>
      <c r="FI32" s="334"/>
      <c r="FJ32" s="334"/>
      <c r="FK32" s="334"/>
      <c r="FL32" s="334"/>
      <c r="FM32" s="336"/>
      <c r="FN32" s="158"/>
      <c r="FO32" s="149"/>
      <c r="FP32" s="334"/>
      <c r="FQ32" s="334"/>
      <c r="FR32" s="334"/>
      <c r="FS32" s="334"/>
      <c r="FT32" s="334"/>
      <c r="FU32" s="334"/>
      <c r="FV32" s="334"/>
      <c r="FW32" s="334"/>
      <c r="FX32" s="334"/>
      <c r="FY32" s="334"/>
      <c r="FZ32" s="336"/>
      <c r="GA32" s="158"/>
      <c r="GB32" s="149"/>
      <c r="GC32" s="334"/>
      <c r="GD32" s="334"/>
      <c r="GE32" s="334"/>
      <c r="GF32" s="334"/>
      <c r="GG32" s="334"/>
      <c r="GH32" s="334"/>
      <c r="GI32" s="334"/>
      <c r="GJ32" s="334"/>
      <c r="GK32" s="334"/>
      <c r="GL32" s="334"/>
      <c r="GM32" s="336"/>
      <c r="GN32" s="158"/>
      <c r="GO32" s="149"/>
      <c r="GP32" s="334"/>
      <c r="GQ32" s="334"/>
      <c r="GR32" s="334"/>
      <c r="GS32" s="334"/>
      <c r="GT32" s="334"/>
      <c r="GU32" s="334"/>
      <c r="GV32" s="334"/>
      <c r="GW32" s="334"/>
      <c r="GX32" s="334"/>
      <c r="GY32" s="334"/>
      <c r="GZ32" s="336"/>
      <c r="HA32" s="158"/>
      <c r="HB32" s="149"/>
      <c r="HC32" s="334"/>
      <c r="HD32" s="334"/>
      <c r="HE32" s="334"/>
      <c r="HF32" s="334"/>
      <c r="HG32" s="334"/>
      <c r="HH32" s="334"/>
      <c r="HI32" s="334"/>
      <c r="HJ32" s="334"/>
      <c r="HK32" s="334"/>
      <c r="HL32" s="334"/>
      <c r="HM32" s="336"/>
      <c r="HN32" s="158"/>
      <c r="HO32" s="149"/>
      <c r="HP32" s="334"/>
      <c r="HQ32" s="334"/>
      <c r="HR32" s="334"/>
      <c r="HS32" s="334"/>
      <c r="HT32" s="334"/>
      <c r="HU32" s="334"/>
      <c r="HV32" s="334"/>
      <c r="HW32" s="334"/>
      <c r="HX32" s="334"/>
      <c r="HY32" s="334"/>
      <c r="HZ32" s="336"/>
      <c r="IA32" s="158"/>
      <c r="IB32" s="149"/>
      <c r="IC32" s="334"/>
      <c r="ID32" s="334"/>
      <c r="IE32" s="334"/>
      <c r="IF32" s="334"/>
      <c r="IG32" s="334"/>
      <c r="IH32" s="334"/>
      <c r="II32" s="334"/>
      <c r="IJ32" s="334"/>
      <c r="IK32" s="334"/>
      <c r="IL32" s="334"/>
      <c r="IM32" s="336"/>
      <c r="IN32" s="158"/>
      <c r="IO32" s="149"/>
      <c r="IP32" s="334"/>
      <c r="IQ32" s="334"/>
      <c r="IR32" s="334"/>
      <c r="IS32" s="334"/>
      <c r="IT32" s="334"/>
      <c r="IU32" s="334"/>
      <c r="IV32" s="334"/>
    </row>
    <row r="33" spans="1:256" x14ac:dyDescent="0.2">
      <c r="A33" s="158"/>
      <c r="B33" s="149"/>
      <c r="C33" s="334"/>
      <c r="D33" s="334"/>
      <c r="E33" s="334"/>
      <c r="F33" s="334"/>
      <c r="G33" s="334"/>
      <c r="H33" s="334"/>
      <c r="I33" s="334"/>
      <c r="J33" s="334"/>
      <c r="K33" s="334"/>
      <c r="L33" s="334"/>
      <c r="M33" s="336"/>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4"/>
      <c r="D34" s="334"/>
      <c r="E34" s="334"/>
      <c r="F34" s="334"/>
      <c r="G34" s="334"/>
      <c r="H34" s="334"/>
      <c r="I34" s="334"/>
      <c r="J34" s="334"/>
      <c r="K34" s="334"/>
      <c r="L34" s="334"/>
      <c r="M34" s="336"/>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4"/>
      <c r="D35" s="334"/>
      <c r="E35" s="334"/>
      <c r="F35" s="334"/>
      <c r="G35" s="334"/>
      <c r="H35" s="334"/>
      <c r="I35" s="334"/>
      <c r="J35" s="334"/>
      <c r="K35" s="334"/>
      <c r="L35" s="334"/>
      <c r="M35" s="336"/>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4"/>
      <c r="D36" s="334"/>
      <c r="E36" s="334"/>
      <c r="F36" s="334"/>
      <c r="G36" s="334"/>
      <c r="H36" s="334"/>
      <c r="I36" s="334"/>
      <c r="J36" s="334"/>
      <c r="K36" s="334"/>
      <c r="L36" s="334"/>
      <c r="M36" s="336"/>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4"/>
      <c r="D37" s="334"/>
      <c r="E37" s="334"/>
      <c r="F37" s="334"/>
      <c r="G37" s="334"/>
      <c r="H37" s="334"/>
      <c r="I37" s="334"/>
      <c r="J37" s="334"/>
      <c r="K37" s="334"/>
      <c r="L37" s="334"/>
      <c r="M37" s="336"/>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4"/>
      <c r="D38" s="334"/>
      <c r="E38" s="334"/>
      <c r="F38" s="334"/>
      <c r="G38" s="334"/>
      <c r="H38" s="334"/>
      <c r="I38" s="334"/>
      <c r="J38" s="334"/>
      <c r="K38" s="334"/>
      <c r="L38" s="334"/>
      <c r="M38" s="336"/>
      <c r="N38" s="152"/>
      <c r="O38" s="152"/>
      <c r="P38" s="335"/>
      <c r="Q38" s="335"/>
      <c r="R38" s="335"/>
      <c r="S38" s="335"/>
      <c r="T38" s="335"/>
      <c r="U38" s="335"/>
      <c r="V38" s="335"/>
      <c r="W38" s="335"/>
      <c r="X38" s="335"/>
      <c r="Y38" s="335"/>
      <c r="Z38" s="335"/>
      <c r="AA38" s="149"/>
      <c r="AB38" s="149"/>
      <c r="AC38" s="334"/>
      <c r="AD38" s="334"/>
      <c r="AE38" s="334"/>
      <c r="AF38" s="334"/>
      <c r="AG38" s="334"/>
      <c r="AH38" s="334"/>
      <c r="AI38" s="334"/>
      <c r="AJ38" s="334"/>
      <c r="AK38" s="334"/>
      <c r="AL38" s="334"/>
      <c r="AM38" s="334"/>
      <c r="AN38" s="149"/>
      <c r="AO38" s="149"/>
      <c r="AP38" s="334"/>
      <c r="AQ38" s="334"/>
      <c r="AR38" s="334"/>
      <c r="AS38" s="334"/>
      <c r="AT38" s="334"/>
      <c r="AU38" s="334"/>
      <c r="AV38" s="334"/>
      <c r="AW38" s="334"/>
      <c r="AX38" s="334"/>
      <c r="AY38" s="334"/>
      <c r="AZ38" s="334"/>
      <c r="BA38" s="149"/>
      <c r="BB38" s="149"/>
      <c r="BC38" s="334"/>
      <c r="BD38" s="334"/>
      <c r="BE38" s="334"/>
      <c r="BF38" s="334"/>
      <c r="BG38" s="334"/>
      <c r="BH38" s="334"/>
      <c r="BI38" s="334"/>
      <c r="BJ38" s="334"/>
      <c r="BK38" s="334"/>
      <c r="BL38" s="334"/>
      <c r="BM38" s="334"/>
      <c r="BN38" s="149"/>
      <c r="BO38" s="149"/>
      <c r="BP38" s="334"/>
      <c r="BQ38" s="334"/>
      <c r="BR38" s="334"/>
      <c r="BS38" s="334"/>
      <c r="BT38" s="334"/>
      <c r="BU38" s="334"/>
      <c r="BV38" s="334"/>
      <c r="BW38" s="334"/>
      <c r="BX38" s="334"/>
      <c r="BY38" s="334"/>
      <c r="BZ38" s="334"/>
      <c r="CA38" s="149"/>
      <c r="CB38" s="149"/>
      <c r="CC38" s="334"/>
      <c r="CD38" s="334"/>
      <c r="CE38" s="334"/>
      <c r="CF38" s="334"/>
      <c r="CG38" s="334"/>
      <c r="CH38" s="334"/>
      <c r="CI38" s="334"/>
      <c r="CJ38" s="334"/>
      <c r="CK38" s="334"/>
      <c r="CL38" s="334"/>
      <c r="CM38" s="334"/>
      <c r="CN38" s="149"/>
      <c r="CO38" s="149"/>
      <c r="CP38" s="334"/>
      <c r="CQ38" s="334"/>
      <c r="CR38" s="334"/>
      <c r="CS38" s="334"/>
      <c r="CT38" s="334"/>
      <c r="CU38" s="334"/>
      <c r="CV38" s="334"/>
      <c r="CW38" s="334"/>
      <c r="CX38" s="334"/>
      <c r="CY38" s="334"/>
      <c r="CZ38" s="334"/>
      <c r="DA38" s="149"/>
      <c r="DB38" s="149"/>
      <c r="DC38" s="334"/>
      <c r="DD38" s="334"/>
      <c r="DE38" s="334"/>
      <c r="DF38" s="334"/>
      <c r="DG38" s="334"/>
      <c r="DH38" s="334"/>
      <c r="DI38" s="334"/>
      <c r="DJ38" s="334"/>
      <c r="DK38" s="334"/>
      <c r="DL38" s="334"/>
      <c r="DM38" s="334"/>
      <c r="DN38" s="149"/>
      <c r="DO38" s="149"/>
      <c r="DP38" s="334"/>
      <c r="DQ38" s="334"/>
      <c r="DR38" s="334"/>
      <c r="DS38" s="334"/>
      <c r="DT38" s="334"/>
      <c r="DU38" s="334"/>
      <c r="DV38" s="334"/>
      <c r="DW38" s="334"/>
      <c r="DX38" s="334"/>
      <c r="DY38" s="334"/>
      <c r="DZ38" s="334"/>
      <c r="EA38" s="149"/>
      <c r="EB38" s="149"/>
      <c r="EC38" s="334"/>
      <c r="ED38" s="334"/>
      <c r="EE38" s="334"/>
      <c r="EF38" s="334"/>
      <c r="EG38" s="334"/>
      <c r="EH38" s="334"/>
      <c r="EI38" s="334"/>
      <c r="EJ38" s="334"/>
      <c r="EK38" s="334"/>
      <c r="EL38" s="334"/>
      <c r="EM38" s="334"/>
      <c r="EN38" s="149"/>
      <c r="EO38" s="149"/>
      <c r="EP38" s="334"/>
      <c r="EQ38" s="334"/>
      <c r="ER38" s="334"/>
      <c r="ES38" s="334"/>
      <c r="ET38" s="334"/>
      <c r="EU38" s="334"/>
      <c r="EV38" s="334"/>
      <c r="EW38" s="334"/>
      <c r="EX38" s="334"/>
      <c r="EY38" s="334"/>
      <c r="EZ38" s="334"/>
      <c r="FA38" s="149"/>
      <c r="FB38" s="149"/>
      <c r="FC38" s="334"/>
      <c r="FD38" s="334"/>
      <c r="FE38" s="334"/>
      <c r="FF38" s="334"/>
      <c r="FG38" s="334"/>
      <c r="FH38" s="334"/>
      <c r="FI38" s="334"/>
      <c r="FJ38" s="334"/>
      <c r="FK38" s="334"/>
      <c r="FL38" s="334"/>
      <c r="FM38" s="334"/>
      <c r="FN38" s="149"/>
      <c r="FO38" s="149"/>
      <c r="FP38" s="334"/>
      <c r="FQ38" s="334"/>
      <c r="FR38" s="334"/>
      <c r="FS38" s="334"/>
      <c r="FT38" s="334"/>
      <c r="FU38" s="334"/>
      <c r="FV38" s="334"/>
      <c r="FW38" s="334"/>
      <c r="FX38" s="334"/>
      <c r="FY38" s="334"/>
      <c r="FZ38" s="334"/>
      <c r="GA38" s="149"/>
      <c r="GB38" s="149"/>
      <c r="GC38" s="334"/>
      <c r="GD38" s="334"/>
      <c r="GE38" s="334"/>
      <c r="GF38" s="334"/>
      <c r="GG38" s="334"/>
      <c r="GH38" s="334"/>
      <c r="GI38" s="334"/>
      <c r="GJ38" s="334"/>
      <c r="GK38" s="334"/>
      <c r="GL38" s="334"/>
      <c r="GM38" s="334"/>
      <c r="GN38" s="149"/>
      <c r="GO38" s="149"/>
      <c r="GP38" s="334"/>
      <c r="GQ38" s="334"/>
      <c r="GR38" s="334"/>
      <c r="GS38" s="334"/>
      <c r="GT38" s="334"/>
      <c r="GU38" s="334"/>
      <c r="GV38" s="334"/>
      <c r="GW38" s="334"/>
      <c r="GX38" s="334"/>
      <c r="GY38" s="334"/>
      <c r="GZ38" s="334"/>
      <c r="HA38" s="149"/>
      <c r="HB38" s="149"/>
      <c r="HC38" s="334"/>
      <c r="HD38" s="334"/>
      <c r="HE38" s="334"/>
      <c r="HF38" s="334"/>
      <c r="HG38" s="334"/>
      <c r="HH38" s="334"/>
      <c r="HI38" s="334"/>
      <c r="HJ38" s="334"/>
      <c r="HK38" s="334"/>
      <c r="HL38" s="334"/>
      <c r="HM38" s="334"/>
      <c r="HN38" s="149"/>
      <c r="HO38" s="149"/>
      <c r="HP38" s="334"/>
      <c r="HQ38" s="334"/>
      <c r="HR38" s="334"/>
      <c r="HS38" s="334"/>
      <c r="HT38" s="334"/>
      <c r="HU38" s="334"/>
      <c r="HV38" s="334"/>
      <c r="HW38" s="334"/>
      <c r="HX38" s="334"/>
      <c r="HY38" s="334"/>
      <c r="HZ38" s="334"/>
      <c r="IA38" s="149"/>
      <c r="IB38" s="149"/>
      <c r="IC38" s="334"/>
      <c r="ID38" s="334"/>
      <c r="IE38" s="334"/>
      <c r="IF38" s="334"/>
      <c r="IG38" s="334"/>
      <c r="IH38" s="334"/>
      <c r="II38" s="334"/>
      <c r="IJ38" s="334"/>
      <c r="IK38" s="334"/>
      <c r="IL38" s="334"/>
      <c r="IM38" s="334"/>
      <c r="IN38" s="149"/>
      <c r="IO38" s="149"/>
      <c r="IP38" s="334"/>
      <c r="IQ38" s="334"/>
      <c r="IR38" s="334"/>
      <c r="IS38" s="334"/>
      <c r="IT38" s="334"/>
      <c r="IU38" s="334"/>
      <c r="IV38" s="334"/>
    </row>
    <row r="39" spans="1:256" x14ac:dyDescent="0.2">
      <c r="A39" s="158"/>
      <c r="B39" s="149"/>
      <c r="C39" s="334"/>
      <c r="D39" s="334"/>
      <c r="E39" s="334"/>
      <c r="F39" s="334"/>
      <c r="G39" s="334"/>
      <c r="H39" s="334"/>
      <c r="I39" s="334"/>
      <c r="J39" s="334"/>
      <c r="K39" s="334"/>
      <c r="L39" s="334"/>
      <c r="M39" s="336"/>
      <c r="N39" s="152"/>
      <c r="O39" s="152"/>
      <c r="P39" s="335"/>
      <c r="Q39" s="335"/>
      <c r="R39" s="335"/>
      <c r="S39" s="335"/>
      <c r="T39" s="335"/>
      <c r="U39" s="335"/>
      <c r="V39" s="335"/>
      <c r="W39" s="335"/>
      <c r="X39" s="335"/>
      <c r="Y39" s="335"/>
      <c r="Z39" s="335"/>
      <c r="AA39" s="149"/>
      <c r="AB39" s="149"/>
      <c r="AC39" s="334"/>
      <c r="AD39" s="334"/>
      <c r="AE39" s="334"/>
      <c r="AF39" s="334"/>
      <c r="AG39" s="334"/>
      <c r="AH39" s="334"/>
      <c r="AI39" s="334"/>
      <c r="AJ39" s="334"/>
      <c r="AK39" s="334"/>
      <c r="AL39" s="334"/>
      <c r="AM39" s="334"/>
      <c r="AN39" s="149"/>
      <c r="AO39" s="149"/>
      <c r="AP39" s="334"/>
      <c r="AQ39" s="334"/>
      <c r="AR39" s="334"/>
      <c r="AS39" s="334"/>
      <c r="AT39" s="334"/>
      <c r="AU39" s="334"/>
      <c r="AV39" s="334"/>
      <c r="AW39" s="334"/>
      <c r="AX39" s="334"/>
      <c r="AY39" s="334"/>
      <c r="AZ39" s="334"/>
      <c r="BA39" s="149"/>
      <c r="BB39" s="149"/>
      <c r="BC39" s="334"/>
      <c r="BD39" s="334"/>
      <c r="BE39" s="334"/>
      <c r="BF39" s="334"/>
      <c r="BG39" s="334"/>
      <c r="BH39" s="334"/>
      <c r="BI39" s="334"/>
      <c r="BJ39" s="334"/>
      <c r="BK39" s="334"/>
      <c r="BL39" s="334"/>
      <c r="BM39" s="334"/>
      <c r="BN39" s="149"/>
      <c r="BO39" s="149"/>
      <c r="BP39" s="334"/>
      <c r="BQ39" s="334"/>
      <c r="BR39" s="334"/>
      <c r="BS39" s="334"/>
      <c r="BT39" s="334"/>
      <c r="BU39" s="334"/>
      <c r="BV39" s="334"/>
      <c r="BW39" s="334"/>
      <c r="BX39" s="334"/>
      <c r="BY39" s="334"/>
      <c r="BZ39" s="334"/>
      <c r="CA39" s="149"/>
      <c r="CB39" s="149"/>
      <c r="CC39" s="334"/>
      <c r="CD39" s="334"/>
      <c r="CE39" s="334"/>
      <c r="CF39" s="334"/>
      <c r="CG39" s="334"/>
      <c r="CH39" s="334"/>
      <c r="CI39" s="334"/>
      <c r="CJ39" s="334"/>
      <c r="CK39" s="334"/>
      <c r="CL39" s="334"/>
      <c r="CM39" s="334"/>
      <c r="CN39" s="149"/>
      <c r="CO39" s="149"/>
      <c r="CP39" s="334"/>
      <c r="CQ39" s="334"/>
      <c r="CR39" s="334"/>
      <c r="CS39" s="334"/>
      <c r="CT39" s="334"/>
      <c r="CU39" s="334"/>
      <c r="CV39" s="334"/>
      <c r="CW39" s="334"/>
      <c r="CX39" s="334"/>
      <c r="CY39" s="334"/>
      <c r="CZ39" s="334"/>
      <c r="DA39" s="149"/>
      <c r="DB39" s="149"/>
      <c r="DC39" s="334"/>
      <c r="DD39" s="334"/>
      <c r="DE39" s="334"/>
      <c r="DF39" s="334"/>
      <c r="DG39" s="334"/>
      <c r="DH39" s="334"/>
      <c r="DI39" s="334"/>
      <c r="DJ39" s="334"/>
      <c r="DK39" s="334"/>
      <c r="DL39" s="334"/>
      <c r="DM39" s="334"/>
      <c r="DN39" s="149"/>
      <c r="DO39" s="149"/>
      <c r="DP39" s="334"/>
      <c r="DQ39" s="334"/>
      <c r="DR39" s="334"/>
      <c r="DS39" s="334"/>
      <c r="DT39" s="334"/>
      <c r="DU39" s="334"/>
      <c r="DV39" s="334"/>
      <c r="DW39" s="334"/>
      <c r="DX39" s="334"/>
      <c r="DY39" s="334"/>
      <c r="DZ39" s="334"/>
      <c r="EA39" s="149"/>
      <c r="EB39" s="149"/>
      <c r="EC39" s="334"/>
      <c r="ED39" s="334"/>
      <c r="EE39" s="334"/>
      <c r="EF39" s="334"/>
      <c r="EG39" s="334"/>
      <c r="EH39" s="334"/>
      <c r="EI39" s="334"/>
      <c r="EJ39" s="334"/>
      <c r="EK39" s="334"/>
      <c r="EL39" s="334"/>
      <c r="EM39" s="334"/>
      <c r="EN39" s="149"/>
      <c r="EO39" s="149"/>
      <c r="EP39" s="334"/>
      <c r="EQ39" s="334"/>
      <c r="ER39" s="334"/>
      <c r="ES39" s="334"/>
      <c r="ET39" s="334"/>
      <c r="EU39" s="334"/>
      <c r="EV39" s="334"/>
      <c r="EW39" s="334"/>
      <c r="EX39" s="334"/>
      <c r="EY39" s="334"/>
      <c r="EZ39" s="334"/>
      <c r="FA39" s="149"/>
      <c r="FB39" s="149"/>
      <c r="FC39" s="334"/>
      <c r="FD39" s="334"/>
      <c r="FE39" s="334"/>
      <c r="FF39" s="334"/>
      <c r="FG39" s="334"/>
      <c r="FH39" s="334"/>
      <c r="FI39" s="334"/>
      <c r="FJ39" s="334"/>
      <c r="FK39" s="334"/>
      <c r="FL39" s="334"/>
      <c r="FM39" s="334"/>
      <c r="FN39" s="149"/>
      <c r="FO39" s="149"/>
      <c r="FP39" s="334"/>
      <c r="FQ39" s="334"/>
      <c r="FR39" s="334"/>
      <c r="FS39" s="334"/>
      <c r="FT39" s="334"/>
      <c r="FU39" s="334"/>
      <c r="FV39" s="334"/>
      <c r="FW39" s="334"/>
      <c r="FX39" s="334"/>
      <c r="FY39" s="334"/>
      <c r="FZ39" s="334"/>
      <c r="GA39" s="149"/>
      <c r="GB39" s="149"/>
      <c r="GC39" s="334"/>
      <c r="GD39" s="334"/>
      <c r="GE39" s="334"/>
      <c r="GF39" s="334"/>
      <c r="GG39" s="334"/>
      <c r="GH39" s="334"/>
      <c r="GI39" s="334"/>
      <c r="GJ39" s="334"/>
      <c r="GK39" s="334"/>
      <c r="GL39" s="334"/>
      <c r="GM39" s="334"/>
      <c r="GN39" s="149"/>
      <c r="GO39" s="149"/>
      <c r="GP39" s="334"/>
      <c r="GQ39" s="334"/>
      <c r="GR39" s="334"/>
      <c r="GS39" s="334"/>
      <c r="GT39" s="334"/>
      <c r="GU39" s="334"/>
      <c r="GV39" s="334"/>
      <c r="GW39" s="334"/>
      <c r="GX39" s="334"/>
      <c r="GY39" s="334"/>
      <c r="GZ39" s="334"/>
      <c r="HA39" s="149"/>
      <c r="HB39" s="149"/>
      <c r="HC39" s="334"/>
      <c r="HD39" s="334"/>
      <c r="HE39" s="334"/>
      <c r="HF39" s="334"/>
      <c r="HG39" s="334"/>
      <c r="HH39" s="334"/>
      <c r="HI39" s="334"/>
      <c r="HJ39" s="334"/>
      <c r="HK39" s="334"/>
      <c r="HL39" s="334"/>
      <c r="HM39" s="334"/>
      <c r="HN39" s="149"/>
      <c r="HO39" s="149"/>
      <c r="HP39" s="334"/>
      <c r="HQ39" s="334"/>
      <c r="HR39" s="334"/>
      <c r="HS39" s="334"/>
      <c r="HT39" s="334"/>
      <c r="HU39" s="334"/>
      <c r="HV39" s="334"/>
      <c r="HW39" s="334"/>
      <c r="HX39" s="334"/>
      <c r="HY39" s="334"/>
      <c r="HZ39" s="334"/>
      <c r="IA39" s="149"/>
      <c r="IB39" s="149"/>
      <c r="IC39" s="334"/>
      <c r="ID39" s="334"/>
      <c r="IE39" s="334"/>
      <c r="IF39" s="334"/>
      <c r="IG39" s="334"/>
      <c r="IH39" s="334"/>
      <c r="II39" s="334"/>
      <c r="IJ39" s="334"/>
      <c r="IK39" s="334"/>
      <c r="IL39" s="334"/>
      <c r="IM39" s="334"/>
      <c r="IN39" s="149"/>
      <c r="IO39" s="149"/>
      <c r="IP39" s="334"/>
      <c r="IQ39" s="334"/>
      <c r="IR39" s="334"/>
      <c r="IS39" s="334"/>
      <c r="IT39" s="334"/>
      <c r="IU39" s="334"/>
      <c r="IV39" s="334"/>
    </row>
    <row r="40" spans="1:256" x14ac:dyDescent="0.2">
      <c r="A40" s="158"/>
      <c r="B40" s="149"/>
      <c r="C40" s="334"/>
      <c r="D40" s="334"/>
      <c r="E40" s="334"/>
      <c r="F40" s="334"/>
      <c r="G40" s="334"/>
      <c r="H40" s="334"/>
      <c r="I40" s="334"/>
      <c r="J40" s="334"/>
      <c r="K40" s="334"/>
      <c r="L40" s="334"/>
      <c r="M40" s="336"/>
      <c r="N40" s="152"/>
      <c r="O40" s="152"/>
      <c r="P40" s="335"/>
      <c r="Q40" s="335"/>
      <c r="R40" s="335"/>
      <c r="S40" s="335"/>
      <c r="T40" s="335"/>
      <c r="U40" s="335"/>
      <c r="V40" s="335"/>
      <c r="W40" s="335"/>
      <c r="X40" s="335"/>
      <c r="Y40" s="335"/>
      <c r="Z40" s="335"/>
      <c r="AA40" s="149"/>
      <c r="AB40" s="149"/>
      <c r="AC40" s="334"/>
      <c r="AD40" s="334"/>
      <c r="AE40" s="334"/>
      <c r="AF40" s="334"/>
      <c r="AG40" s="334"/>
      <c r="AH40" s="334"/>
      <c r="AI40" s="334"/>
      <c r="AJ40" s="334"/>
      <c r="AK40" s="334"/>
      <c r="AL40" s="334"/>
      <c r="AM40" s="334"/>
      <c r="AN40" s="149"/>
      <c r="AO40" s="149"/>
      <c r="AP40" s="334"/>
      <c r="AQ40" s="334"/>
      <c r="AR40" s="334"/>
      <c r="AS40" s="334"/>
      <c r="AT40" s="334"/>
      <c r="AU40" s="334"/>
      <c r="AV40" s="334"/>
      <c r="AW40" s="334"/>
      <c r="AX40" s="334"/>
      <c r="AY40" s="334"/>
      <c r="AZ40" s="334"/>
      <c r="BA40" s="149"/>
      <c r="BB40" s="149"/>
      <c r="BC40" s="334"/>
      <c r="BD40" s="334"/>
      <c r="BE40" s="334"/>
      <c r="BF40" s="334"/>
      <c r="BG40" s="334"/>
      <c r="BH40" s="334"/>
      <c r="BI40" s="334"/>
      <c r="BJ40" s="334"/>
      <c r="BK40" s="334"/>
      <c r="BL40" s="334"/>
      <c r="BM40" s="334"/>
      <c r="BN40" s="149"/>
      <c r="BO40" s="149"/>
      <c r="BP40" s="334"/>
      <c r="BQ40" s="334"/>
      <c r="BR40" s="334"/>
      <c r="BS40" s="334"/>
      <c r="BT40" s="334"/>
      <c r="BU40" s="334"/>
      <c r="BV40" s="334"/>
      <c r="BW40" s="334"/>
      <c r="BX40" s="334"/>
      <c r="BY40" s="334"/>
      <c r="BZ40" s="334"/>
      <c r="CA40" s="149"/>
      <c r="CB40" s="149"/>
      <c r="CC40" s="334"/>
      <c r="CD40" s="334"/>
      <c r="CE40" s="334"/>
      <c r="CF40" s="334"/>
      <c r="CG40" s="334"/>
      <c r="CH40" s="334"/>
      <c r="CI40" s="334"/>
      <c r="CJ40" s="334"/>
      <c r="CK40" s="334"/>
      <c r="CL40" s="334"/>
      <c r="CM40" s="334"/>
      <c r="CN40" s="149"/>
      <c r="CO40" s="149"/>
      <c r="CP40" s="334"/>
      <c r="CQ40" s="334"/>
      <c r="CR40" s="334"/>
      <c r="CS40" s="334"/>
      <c r="CT40" s="334"/>
      <c r="CU40" s="334"/>
      <c r="CV40" s="334"/>
      <c r="CW40" s="334"/>
      <c r="CX40" s="334"/>
      <c r="CY40" s="334"/>
      <c r="CZ40" s="334"/>
      <c r="DA40" s="149"/>
      <c r="DB40" s="149"/>
      <c r="DC40" s="334"/>
      <c r="DD40" s="334"/>
      <c r="DE40" s="334"/>
      <c r="DF40" s="334"/>
      <c r="DG40" s="334"/>
      <c r="DH40" s="334"/>
      <c r="DI40" s="334"/>
      <c r="DJ40" s="334"/>
      <c r="DK40" s="334"/>
      <c r="DL40" s="334"/>
      <c r="DM40" s="334"/>
      <c r="DN40" s="149"/>
      <c r="DO40" s="149"/>
      <c r="DP40" s="334"/>
      <c r="DQ40" s="334"/>
      <c r="DR40" s="334"/>
      <c r="DS40" s="334"/>
      <c r="DT40" s="334"/>
      <c r="DU40" s="334"/>
      <c r="DV40" s="334"/>
      <c r="DW40" s="334"/>
      <c r="DX40" s="334"/>
      <c r="DY40" s="334"/>
      <c r="DZ40" s="334"/>
      <c r="EA40" s="149"/>
      <c r="EB40" s="149"/>
      <c r="EC40" s="334"/>
      <c r="ED40" s="334"/>
      <c r="EE40" s="334"/>
      <c r="EF40" s="334"/>
      <c r="EG40" s="334"/>
      <c r="EH40" s="334"/>
      <c r="EI40" s="334"/>
      <c r="EJ40" s="334"/>
      <c r="EK40" s="334"/>
      <c r="EL40" s="334"/>
      <c r="EM40" s="334"/>
      <c r="EN40" s="149"/>
      <c r="EO40" s="149"/>
      <c r="EP40" s="334"/>
      <c r="EQ40" s="334"/>
      <c r="ER40" s="334"/>
      <c r="ES40" s="334"/>
      <c r="ET40" s="334"/>
      <c r="EU40" s="334"/>
      <c r="EV40" s="334"/>
      <c r="EW40" s="334"/>
      <c r="EX40" s="334"/>
      <c r="EY40" s="334"/>
      <c r="EZ40" s="334"/>
      <c r="FA40" s="149"/>
      <c r="FB40" s="149"/>
      <c r="FC40" s="334"/>
      <c r="FD40" s="334"/>
      <c r="FE40" s="334"/>
      <c r="FF40" s="334"/>
      <c r="FG40" s="334"/>
      <c r="FH40" s="334"/>
      <c r="FI40" s="334"/>
      <c r="FJ40" s="334"/>
      <c r="FK40" s="334"/>
      <c r="FL40" s="334"/>
      <c r="FM40" s="334"/>
      <c r="FN40" s="149"/>
      <c r="FO40" s="149"/>
      <c r="FP40" s="334"/>
      <c r="FQ40" s="334"/>
      <c r="FR40" s="334"/>
      <c r="FS40" s="334"/>
      <c r="FT40" s="334"/>
      <c r="FU40" s="334"/>
      <c r="FV40" s="334"/>
      <c r="FW40" s="334"/>
      <c r="FX40" s="334"/>
      <c r="FY40" s="334"/>
      <c r="FZ40" s="334"/>
      <c r="GA40" s="149"/>
      <c r="GB40" s="149"/>
      <c r="GC40" s="334"/>
      <c r="GD40" s="334"/>
      <c r="GE40" s="334"/>
      <c r="GF40" s="334"/>
      <c r="GG40" s="334"/>
      <c r="GH40" s="334"/>
      <c r="GI40" s="334"/>
      <c r="GJ40" s="334"/>
      <c r="GK40" s="334"/>
      <c r="GL40" s="334"/>
      <c r="GM40" s="334"/>
      <c r="GN40" s="149"/>
      <c r="GO40" s="149"/>
      <c r="GP40" s="334"/>
      <c r="GQ40" s="334"/>
      <c r="GR40" s="334"/>
      <c r="GS40" s="334"/>
      <c r="GT40" s="334"/>
      <c r="GU40" s="334"/>
      <c r="GV40" s="334"/>
      <c r="GW40" s="334"/>
      <c r="GX40" s="334"/>
      <c r="GY40" s="334"/>
      <c r="GZ40" s="334"/>
      <c r="HA40" s="149"/>
      <c r="HB40" s="149"/>
      <c r="HC40" s="334"/>
      <c r="HD40" s="334"/>
      <c r="HE40" s="334"/>
      <c r="HF40" s="334"/>
      <c r="HG40" s="334"/>
      <c r="HH40" s="334"/>
      <c r="HI40" s="334"/>
      <c r="HJ40" s="334"/>
      <c r="HK40" s="334"/>
      <c r="HL40" s="334"/>
      <c r="HM40" s="334"/>
      <c r="HN40" s="149"/>
      <c r="HO40" s="149"/>
      <c r="HP40" s="334"/>
      <c r="HQ40" s="334"/>
      <c r="HR40" s="334"/>
      <c r="HS40" s="334"/>
      <c r="HT40" s="334"/>
      <c r="HU40" s="334"/>
      <c r="HV40" s="334"/>
      <c r="HW40" s="334"/>
      <c r="HX40" s="334"/>
      <c r="HY40" s="334"/>
      <c r="HZ40" s="334"/>
      <c r="IA40" s="149"/>
      <c r="IB40" s="149"/>
      <c r="IC40" s="334"/>
      <c r="ID40" s="334"/>
      <c r="IE40" s="334"/>
      <c r="IF40" s="334"/>
      <c r="IG40" s="334"/>
      <c r="IH40" s="334"/>
      <c r="II40" s="334"/>
      <c r="IJ40" s="334"/>
      <c r="IK40" s="334"/>
      <c r="IL40" s="334"/>
      <c r="IM40" s="334"/>
      <c r="IN40" s="149"/>
      <c r="IO40" s="149"/>
      <c r="IP40" s="334"/>
      <c r="IQ40" s="334"/>
      <c r="IR40" s="334"/>
      <c r="IS40" s="334"/>
      <c r="IT40" s="334"/>
      <c r="IU40" s="334"/>
      <c r="IV40" s="334"/>
    </row>
    <row r="41" spans="1:256" x14ac:dyDescent="0.2">
      <c r="A41" s="158"/>
      <c r="B41" s="149"/>
      <c r="C41" s="334"/>
      <c r="D41" s="334"/>
      <c r="E41" s="334"/>
      <c r="F41" s="334"/>
      <c r="G41" s="334"/>
      <c r="H41" s="334"/>
      <c r="I41" s="334"/>
      <c r="J41" s="334"/>
      <c r="K41" s="334"/>
      <c r="L41" s="334"/>
      <c r="M41" s="336"/>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4"/>
      <c r="D42" s="334"/>
      <c r="E42" s="334"/>
      <c r="F42" s="334"/>
      <c r="G42" s="334"/>
      <c r="H42" s="334"/>
      <c r="I42" s="334"/>
      <c r="J42" s="334"/>
      <c r="K42" s="334"/>
      <c r="L42" s="334"/>
      <c r="M42" s="336"/>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4"/>
      <c r="D43" s="334"/>
      <c r="E43" s="334"/>
      <c r="F43" s="334"/>
      <c r="G43" s="334"/>
      <c r="H43" s="334"/>
      <c r="I43" s="334"/>
      <c r="J43" s="334"/>
      <c r="K43" s="334"/>
      <c r="L43" s="334"/>
      <c r="M43" s="336"/>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4"/>
      <c r="D44" s="334"/>
      <c r="E44" s="334"/>
      <c r="F44" s="334"/>
      <c r="G44" s="334"/>
      <c r="H44" s="334"/>
      <c r="I44" s="334"/>
      <c r="J44" s="334"/>
      <c r="K44" s="334"/>
      <c r="L44" s="334"/>
      <c r="M44" s="336"/>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4"/>
      <c r="D45" s="334"/>
      <c r="E45" s="334"/>
      <c r="F45" s="334"/>
      <c r="G45" s="334"/>
      <c r="H45" s="334"/>
      <c r="I45" s="334"/>
      <c r="J45" s="334"/>
      <c r="K45" s="334"/>
      <c r="L45" s="334"/>
      <c r="M45" s="336"/>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4"/>
      <c r="D46" s="334"/>
      <c r="E46" s="334"/>
      <c r="F46" s="334"/>
      <c r="G46" s="334"/>
      <c r="H46" s="334"/>
      <c r="I46" s="334"/>
      <c r="J46" s="334"/>
      <c r="K46" s="334"/>
      <c r="L46" s="334"/>
      <c r="M46" s="336"/>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4"/>
      <c r="D47" s="334"/>
      <c r="E47" s="334"/>
      <c r="F47" s="334"/>
      <c r="G47" s="334"/>
      <c r="H47" s="334"/>
      <c r="I47" s="334"/>
      <c r="J47" s="334"/>
      <c r="K47" s="334"/>
      <c r="L47" s="334"/>
      <c r="M47" s="336"/>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4"/>
      <c r="D48" s="334"/>
      <c r="E48" s="334"/>
      <c r="F48" s="334"/>
      <c r="G48" s="334"/>
      <c r="H48" s="334"/>
      <c r="I48" s="334"/>
      <c r="J48" s="334"/>
      <c r="K48" s="334"/>
      <c r="L48" s="334"/>
      <c r="M48" s="336"/>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4"/>
      <c r="D49" s="334"/>
      <c r="E49" s="334"/>
      <c r="F49" s="334"/>
      <c r="G49" s="334"/>
      <c r="H49" s="334"/>
      <c r="I49" s="334"/>
      <c r="J49" s="334"/>
      <c r="K49" s="334"/>
      <c r="L49" s="334"/>
      <c r="M49" s="336"/>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4"/>
      <c r="D50" s="334"/>
      <c r="E50" s="334"/>
      <c r="F50" s="334"/>
      <c r="G50" s="334"/>
      <c r="H50" s="334"/>
      <c r="I50" s="334"/>
      <c r="J50" s="334"/>
      <c r="K50" s="334"/>
      <c r="L50" s="334"/>
      <c r="M50" s="336"/>
    </row>
    <row r="51" spans="1:256" x14ac:dyDescent="0.2">
      <c r="A51" s="158"/>
      <c r="B51" s="149"/>
      <c r="C51" s="334"/>
      <c r="D51" s="334"/>
      <c r="E51" s="334"/>
      <c r="F51" s="334"/>
      <c r="G51" s="334"/>
      <c r="H51" s="334"/>
      <c r="I51" s="334"/>
      <c r="J51" s="334"/>
      <c r="K51" s="334"/>
      <c r="L51" s="334"/>
      <c r="M51" s="336"/>
    </row>
    <row r="52" spans="1:256" x14ac:dyDescent="0.2">
      <c r="A52" s="158"/>
      <c r="B52" s="149"/>
      <c r="C52" s="334"/>
      <c r="D52" s="334"/>
      <c r="E52" s="334"/>
      <c r="F52" s="334"/>
      <c r="G52" s="334"/>
      <c r="H52" s="334"/>
      <c r="I52" s="334"/>
      <c r="J52" s="334"/>
      <c r="K52" s="334"/>
      <c r="L52" s="334"/>
      <c r="M52" s="336"/>
    </row>
    <row r="53" spans="1:256" x14ac:dyDescent="0.2">
      <c r="A53" s="158"/>
      <c r="B53" s="149"/>
      <c r="C53" s="334"/>
      <c r="D53" s="334"/>
      <c r="E53" s="334"/>
      <c r="F53" s="334"/>
      <c r="G53" s="334"/>
      <c r="H53" s="334"/>
      <c r="I53" s="334"/>
      <c r="J53" s="334"/>
      <c r="K53" s="334"/>
      <c r="L53" s="334"/>
      <c r="M53" s="336"/>
    </row>
    <row r="54" spans="1:256" x14ac:dyDescent="0.2">
      <c r="A54" s="158"/>
      <c r="B54" s="149"/>
      <c r="C54" s="334"/>
      <c r="D54" s="334"/>
      <c r="E54" s="334"/>
      <c r="F54" s="334"/>
      <c r="G54" s="334"/>
      <c r="H54" s="334"/>
      <c r="I54" s="334"/>
      <c r="J54" s="334"/>
      <c r="K54" s="334"/>
      <c r="L54" s="334"/>
      <c r="M54" s="336"/>
    </row>
    <row r="55" spans="1:256" x14ac:dyDescent="0.2">
      <c r="A55" s="158"/>
      <c r="B55" s="149"/>
      <c r="C55" s="334"/>
      <c r="D55" s="334"/>
      <c r="E55" s="334"/>
      <c r="F55" s="334"/>
      <c r="G55" s="334"/>
      <c r="H55" s="334"/>
      <c r="I55" s="334"/>
      <c r="J55" s="334"/>
      <c r="K55" s="334"/>
      <c r="L55" s="334"/>
      <c r="M55" s="336"/>
    </row>
    <row r="56" spans="1:256" x14ac:dyDescent="0.2">
      <c r="A56" s="158"/>
      <c r="B56" s="149"/>
      <c r="C56" s="334"/>
      <c r="D56" s="334"/>
      <c r="E56" s="334"/>
      <c r="F56" s="334"/>
      <c r="G56" s="334"/>
      <c r="H56" s="334"/>
      <c r="I56" s="334"/>
      <c r="J56" s="334"/>
      <c r="K56" s="334"/>
      <c r="L56" s="334"/>
      <c r="M56" s="336"/>
    </row>
    <row r="57" spans="1:256" x14ac:dyDescent="0.2">
      <c r="A57" s="158"/>
      <c r="B57" s="149"/>
      <c r="C57" s="334"/>
      <c r="D57" s="334"/>
      <c r="E57" s="334"/>
      <c r="F57" s="334"/>
      <c r="G57" s="334"/>
      <c r="H57" s="334"/>
      <c r="I57" s="334"/>
      <c r="J57" s="334"/>
      <c r="K57" s="334"/>
      <c r="L57" s="334"/>
      <c r="M57" s="336"/>
    </row>
    <row r="58" spans="1:256" x14ac:dyDescent="0.2">
      <c r="A58" s="158"/>
      <c r="B58" s="149"/>
      <c r="C58" s="334"/>
      <c r="D58" s="334"/>
      <c r="E58" s="334"/>
      <c r="F58" s="334"/>
      <c r="G58" s="334"/>
      <c r="H58" s="334"/>
      <c r="I58" s="334"/>
      <c r="J58" s="334"/>
      <c r="K58" s="334"/>
      <c r="L58" s="334"/>
      <c r="M58" s="336"/>
    </row>
    <row r="59" spans="1:256" x14ac:dyDescent="0.2">
      <c r="A59" s="158"/>
      <c r="B59" s="149"/>
      <c r="C59" s="334"/>
      <c r="D59" s="334"/>
      <c r="E59" s="334"/>
      <c r="F59" s="334"/>
      <c r="G59" s="334"/>
      <c r="H59" s="334"/>
      <c r="I59" s="334"/>
      <c r="J59" s="334"/>
      <c r="K59" s="334"/>
      <c r="L59" s="334"/>
      <c r="M59" s="336"/>
    </row>
    <row r="60" spans="1:256" x14ac:dyDescent="0.2">
      <c r="A60" s="158"/>
      <c r="B60" s="149"/>
      <c r="C60" s="334"/>
      <c r="D60" s="334"/>
      <c r="E60" s="334"/>
      <c r="F60" s="334"/>
      <c r="G60" s="334"/>
      <c r="H60" s="334"/>
      <c r="I60" s="334"/>
      <c r="J60" s="334"/>
      <c r="K60" s="334"/>
      <c r="L60" s="334"/>
      <c r="M60" s="336"/>
    </row>
    <row r="61" spans="1:256" x14ac:dyDescent="0.2">
      <c r="A61" s="158"/>
      <c r="B61" s="149"/>
      <c r="C61" s="334"/>
      <c r="D61" s="334"/>
      <c r="E61" s="334"/>
      <c r="F61" s="334"/>
      <c r="G61" s="334"/>
      <c r="H61" s="334"/>
      <c r="I61" s="334"/>
      <c r="J61" s="334"/>
      <c r="K61" s="334"/>
      <c r="L61" s="334"/>
      <c r="M61" s="336"/>
    </row>
    <row r="62" spans="1:256" x14ac:dyDescent="0.2">
      <c r="A62" s="158"/>
      <c r="B62" s="149"/>
      <c r="C62" s="334"/>
      <c r="D62" s="334"/>
      <c r="E62" s="334"/>
      <c r="F62" s="334"/>
      <c r="G62" s="334"/>
      <c r="H62" s="334"/>
      <c r="I62" s="334"/>
      <c r="J62" s="334"/>
      <c r="K62" s="334"/>
      <c r="L62" s="334"/>
      <c r="M62" s="336"/>
    </row>
    <row r="63" spans="1:256" x14ac:dyDescent="0.2">
      <c r="A63" s="158"/>
      <c r="B63" s="149"/>
      <c r="C63" s="334"/>
      <c r="D63" s="334"/>
      <c r="E63" s="334"/>
      <c r="F63" s="334"/>
      <c r="G63" s="334"/>
      <c r="H63" s="334"/>
      <c r="I63" s="334"/>
      <c r="J63" s="334"/>
      <c r="K63" s="334"/>
      <c r="L63" s="334"/>
      <c r="M63" s="336"/>
    </row>
    <row r="64" spans="1:256" x14ac:dyDescent="0.2">
      <c r="A64" s="158"/>
      <c r="B64" s="149"/>
      <c r="C64" s="334"/>
      <c r="D64" s="334"/>
      <c r="E64" s="334"/>
      <c r="F64" s="334"/>
      <c r="G64" s="334"/>
      <c r="H64" s="334"/>
      <c r="I64" s="334"/>
      <c r="J64" s="334"/>
      <c r="K64" s="334"/>
      <c r="L64" s="334"/>
      <c r="M64" s="336"/>
    </row>
    <row r="65" spans="1:13" x14ac:dyDescent="0.2">
      <c r="A65" s="158"/>
      <c r="B65" s="149"/>
      <c r="C65" s="334"/>
      <c r="D65" s="334"/>
      <c r="E65" s="334"/>
      <c r="F65" s="334"/>
      <c r="G65" s="334"/>
      <c r="H65" s="334"/>
      <c r="I65" s="334"/>
      <c r="J65" s="334"/>
      <c r="K65" s="334"/>
      <c r="L65" s="334"/>
      <c r="M65" s="336"/>
    </row>
    <row r="66" spans="1:13" x14ac:dyDescent="0.2">
      <c r="A66" s="158"/>
      <c r="B66" s="149"/>
      <c r="C66" s="334"/>
      <c r="D66" s="334"/>
      <c r="E66" s="334"/>
      <c r="F66" s="334"/>
      <c r="G66" s="334"/>
      <c r="H66" s="334"/>
      <c r="I66" s="334"/>
      <c r="J66" s="334"/>
      <c r="K66" s="334"/>
      <c r="L66" s="334"/>
      <c r="M66" s="336"/>
    </row>
    <row r="67" spans="1:13" x14ac:dyDescent="0.2">
      <c r="A67" s="158"/>
      <c r="B67" s="149"/>
      <c r="C67" s="334"/>
      <c r="D67" s="334"/>
      <c r="E67" s="334"/>
      <c r="F67" s="334"/>
      <c r="G67" s="334"/>
      <c r="H67" s="334"/>
      <c r="I67" s="334"/>
      <c r="J67" s="334"/>
      <c r="K67" s="334"/>
      <c r="L67" s="334"/>
      <c r="M67" s="336"/>
    </row>
    <row r="68" spans="1:13" x14ac:dyDescent="0.2">
      <c r="A68" s="158"/>
      <c r="B68" s="149"/>
      <c r="C68" s="334"/>
      <c r="D68" s="334"/>
      <c r="E68" s="334"/>
      <c r="F68" s="334"/>
      <c r="G68" s="334"/>
      <c r="H68" s="334"/>
      <c r="I68" s="334"/>
      <c r="J68" s="334"/>
      <c r="K68" s="334"/>
      <c r="L68" s="334"/>
      <c r="M68" s="336"/>
    </row>
    <row r="69" spans="1:13" x14ac:dyDescent="0.2">
      <c r="A69" s="158"/>
      <c r="B69" s="149"/>
      <c r="C69" s="334"/>
      <c r="D69" s="334"/>
      <c r="E69" s="334"/>
      <c r="F69" s="334"/>
      <c r="G69" s="334"/>
      <c r="H69" s="334"/>
      <c r="I69" s="334"/>
      <c r="J69" s="334"/>
      <c r="K69" s="334"/>
      <c r="L69" s="334"/>
      <c r="M69" s="336"/>
    </row>
    <row r="70" spans="1:13" ht="12" thickBot="1" x14ac:dyDescent="0.25">
      <c r="A70" s="159"/>
      <c r="B70" s="160"/>
      <c r="C70" s="345"/>
      <c r="D70" s="345"/>
      <c r="E70" s="345"/>
      <c r="F70" s="345"/>
      <c r="G70" s="345"/>
      <c r="H70" s="345"/>
      <c r="I70" s="345"/>
      <c r="J70" s="345"/>
      <c r="K70" s="345"/>
      <c r="L70" s="345"/>
      <c r="M70" s="346"/>
    </row>
    <row r="71" spans="1:13" ht="12" thickTop="1" x14ac:dyDescent="0.2">
      <c r="A71" s="150"/>
      <c r="B71" s="150"/>
      <c r="C71" s="151"/>
      <c r="D71" s="151"/>
      <c r="E71" s="151"/>
      <c r="F71" s="151"/>
      <c r="G71" s="151"/>
      <c r="H71" s="151"/>
      <c r="I71" s="151"/>
      <c r="J71" s="151"/>
      <c r="K71" s="151"/>
      <c r="L71" s="151"/>
    </row>
    <row r="72" spans="1:13" ht="12.75" x14ac:dyDescent="0.2">
      <c r="A72" s="347" t="s">
        <v>828</v>
      </c>
      <c r="B72" s="347"/>
      <c r="C72" s="347"/>
      <c r="D72" s="347"/>
      <c r="E72" s="347"/>
    </row>
    <row r="73" spans="1:13" x14ac:dyDescent="0.2">
      <c r="A73" s="130" t="s">
        <v>761</v>
      </c>
      <c r="B73" s="130" t="s">
        <v>762</v>
      </c>
      <c r="C73" s="320"/>
      <c r="D73" s="320"/>
      <c r="E73" s="320"/>
      <c r="F73" s="320"/>
      <c r="G73" s="320"/>
      <c r="H73" s="320"/>
      <c r="I73" s="320"/>
      <c r="J73" s="320"/>
      <c r="K73" s="320"/>
      <c r="L73" s="320"/>
      <c r="M73" s="320"/>
    </row>
    <row r="74" spans="1:13" x14ac:dyDescent="0.2">
      <c r="A74" s="152"/>
      <c r="B74" s="152"/>
      <c r="C74" s="320"/>
      <c r="D74" s="320"/>
      <c r="E74" s="320"/>
      <c r="F74" s="320"/>
      <c r="G74" s="320"/>
      <c r="H74" s="320"/>
      <c r="I74" s="320"/>
      <c r="J74" s="320"/>
      <c r="K74" s="320"/>
      <c r="L74" s="320"/>
      <c r="M74" s="320"/>
    </row>
    <row r="75" spans="1:13" x14ac:dyDescent="0.2">
      <c r="A75" s="152"/>
      <c r="B75" s="152"/>
      <c r="C75" s="320"/>
      <c r="D75" s="320"/>
      <c r="E75" s="320"/>
      <c r="F75" s="320"/>
      <c r="G75" s="320"/>
      <c r="H75" s="320"/>
      <c r="I75" s="320"/>
      <c r="J75" s="320"/>
      <c r="K75" s="320"/>
      <c r="L75" s="320"/>
      <c r="M75" s="320"/>
    </row>
    <row r="76" spans="1:13" x14ac:dyDescent="0.2">
      <c r="A76" s="152"/>
      <c r="B76" s="152"/>
      <c r="C76" s="320"/>
      <c r="D76" s="320"/>
      <c r="E76" s="320"/>
      <c r="F76" s="320"/>
      <c r="G76" s="320"/>
      <c r="H76" s="320"/>
      <c r="I76" s="320"/>
      <c r="J76" s="320"/>
      <c r="K76" s="320"/>
      <c r="L76" s="320"/>
      <c r="M76" s="320"/>
    </row>
    <row r="77" spans="1:13" x14ac:dyDescent="0.2">
      <c r="A77" s="152"/>
      <c r="B77" s="152"/>
      <c r="C77" s="320"/>
      <c r="D77" s="320"/>
      <c r="E77" s="320"/>
      <c r="F77" s="320"/>
      <c r="G77" s="320"/>
      <c r="H77" s="320"/>
      <c r="I77" s="320"/>
      <c r="J77" s="320"/>
      <c r="K77" s="320"/>
      <c r="L77" s="320"/>
      <c r="M77" s="320"/>
    </row>
    <row r="78" spans="1:13" x14ac:dyDescent="0.2">
      <c r="A78" s="152"/>
      <c r="B78" s="152"/>
      <c r="C78" s="320"/>
      <c r="D78" s="320"/>
      <c r="E78" s="320"/>
      <c r="F78" s="320"/>
      <c r="G78" s="320"/>
      <c r="H78" s="320"/>
      <c r="I78" s="320"/>
      <c r="J78" s="320"/>
      <c r="K78" s="320"/>
      <c r="L78" s="320"/>
      <c r="M78" s="320"/>
    </row>
    <row r="79" spans="1:13" x14ac:dyDescent="0.2">
      <c r="A79" s="152"/>
      <c r="B79" s="152"/>
      <c r="C79" s="320"/>
      <c r="D79" s="320"/>
      <c r="E79" s="320"/>
      <c r="F79" s="320"/>
      <c r="G79" s="320"/>
      <c r="H79" s="320"/>
      <c r="I79" s="320"/>
      <c r="J79" s="320"/>
      <c r="K79" s="320"/>
      <c r="L79" s="320"/>
      <c r="M79" s="320"/>
    </row>
    <row r="80" spans="1:13" x14ac:dyDescent="0.2">
      <c r="A80" s="152"/>
      <c r="B80" s="152"/>
      <c r="C80" s="320"/>
      <c r="D80" s="320"/>
      <c r="E80" s="320"/>
      <c r="F80" s="320"/>
      <c r="G80" s="320"/>
      <c r="H80" s="320"/>
      <c r="I80" s="320"/>
      <c r="J80" s="320"/>
      <c r="K80" s="320"/>
      <c r="L80" s="320"/>
      <c r="M80" s="320"/>
    </row>
    <row r="81" spans="1:13" x14ac:dyDescent="0.2">
      <c r="A81" s="152"/>
      <c r="B81" s="152"/>
      <c r="C81" s="320"/>
      <c r="D81" s="320"/>
      <c r="E81" s="320"/>
      <c r="F81" s="320"/>
      <c r="G81" s="320"/>
      <c r="H81" s="320"/>
      <c r="I81" s="320"/>
      <c r="J81" s="320"/>
      <c r="K81" s="320"/>
      <c r="L81" s="320"/>
      <c r="M81" s="320"/>
    </row>
    <row r="82" spans="1:13" x14ac:dyDescent="0.2">
      <c r="A82" s="152"/>
      <c r="B82" s="152"/>
      <c r="C82" s="320"/>
      <c r="D82" s="320"/>
      <c r="E82" s="320"/>
      <c r="F82" s="320"/>
      <c r="G82" s="320"/>
      <c r="H82" s="320"/>
      <c r="I82" s="320"/>
      <c r="J82" s="320"/>
      <c r="K82" s="320"/>
      <c r="L82" s="320"/>
      <c r="M82" s="320"/>
    </row>
    <row r="83" spans="1:13" x14ac:dyDescent="0.2">
      <c r="A83" s="152"/>
      <c r="B83" s="152"/>
      <c r="C83" s="320"/>
      <c r="D83" s="320"/>
      <c r="E83" s="320"/>
      <c r="F83" s="320"/>
      <c r="G83" s="320"/>
      <c r="H83" s="320"/>
      <c r="I83" s="320"/>
      <c r="J83" s="320"/>
      <c r="K83" s="320"/>
      <c r="L83" s="320"/>
      <c r="M83" s="320"/>
    </row>
    <row r="84" spans="1:13" x14ac:dyDescent="0.2">
      <c r="A84" s="152"/>
      <c r="B84" s="152"/>
      <c r="C84" s="320"/>
      <c r="D84" s="320"/>
      <c r="E84" s="320"/>
      <c r="F84" s="320"/>
      <c r="G84" s="320"/>
      <c r="H84" s="320"/>
      <c r="I84" s="320"/>
      <c r="J84" s="320"/>
      <c r="K84" s="320"/>
      <c r="L84" s="320"/>
      <c r="M84" s="320"/>
    </row>
    <row r="85" spans="1:13" x14ac:dyDescent="0.2">
      <c r="A85" s="152"/>
      <c r="B85" s="152"/>
      <c r="C85" s="320"/>
      <c r="D85" s="320"/>
      <c r="E85" s="320"/>
      <c r="F85" s="320"/>
      <c r="G85" s="320"/>
      <c r="H85" s="320"/>
      <c r="I85" s="320"/>
      <c r="J85" s="320"/>
      <c r="K85" s="320"/>
      <c r="L85" s="320"/>
      <c r="M85" s="320"/>
    </row>
    <row r="86" spans="1:13" x14ac:dyDescent="0.2">
      <c r="A86" s="152"/>
      <c r="B86" s="152"/>
      <c r="C86" s="320"/>
      <c r="D86" s="320"/>
      <c r="E86" s="320"/>
      <c r="F86" s="320"/>
      <c r="G86" s="320"/>
      <c r="H86" s="320"/>
      <c r="I86" s="320"/>
      <c r="J86" s="320"/>
      <c r="K86" s="320"/>
      <c r="L86" s="320"/>
      <c r="M86" s="320"/>
    </row>
    <row r="87" spans="1:13" x14ac:dyDescent="0.2">
      <c r="A87" s="152"/>
      <c r="B87" s="152"/>
      <c r="C87" s="320"/>
      <c r="D87" s="320"/>
      <c r="E87" s="320"/>
      <c r="F87" s="320"/>
      <c r="G87" s="320"/>
      <c r="H87" s="320"/>
      <c r="I87" s="320"/>
      <c r="J87" s="320"/>
      <c r="K87" s="320"/>
      <c r="L87" s="320"/>
      <c r="M87" s="320"/>
    </row>
    <row r="88" spans="1:13" x14ac:dyDescent="0.2">
      <c r="A88" s="152"/>
      <c r="B88" s="152"/>
      <c r="C88" s="320"/>
      <c r="D88" s="320"/>
      <c r="E88" s="320"/>
      <c r="F88" s="320"/>
      <c r="G88" s="320"/>
      <c r="H88" s="320"/>
      <c r="I88" s="320"/>
      <c r="J88" s="320"/>
      <c r="K88" s="320"/>
      <c r="L88" s="320"/>
      <c r="M88" s="320"/>
    </row>
    <row r="89" spans="1:13" x14ac:dyDescent="0.2">
      <c r="A89" s="152"/>
      <c r="B89" s="152"/>
      <c r="C89" s="320"/>
      <c r="D89" s="320"/>
      <c r="E89" s="320"/>
      <c r="F89" s="320"/>
      <c r="G89" s="320"/>
      <c r="H89" s="320"/>
      <c r="I89" s="320"/>
      <c r="J89" s="320"/>
      <c r="K89" s="320"/>
      <c r="L89" s="320"/>
      <c r="M89" s="320"/>
    </row>
    <row r="90" spans="1:13" x14ac:dyDescent="0.2">
      <c r="A90" s="152"/>
      <c r="B90" s="152"/>
      <c r="C90" s="320"/>
      <c r="D90" s="320"/>
      <c r="E90" s="320"/>
      <c r="F90" s="320"/>
      <c r="G90" s="320"/>
      <c r="H90" s="320"/>
      <c r="I90" s="320"/>
      <c r="J90" s="320"/>
      <c r="K90" s="320"/>
      <c r="L90" s="320"/>
      <c r="M90" s="320"/>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6"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127</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IFERROR(SMALL($T$4:$T$75,ROWS($T$4:T4)),"")</f>
        <v>9</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IFERROR(SMALL(AE4:$AE$100,ROWS($AE$4:AE4)),"")</f>
        <v>56</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f>IF('School Level Expenditures'!$B$2='School Tables'!L12,'School Tables'!S12,"")</f>
        <v>9</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f>IF('School Level Expenditures'!$B$2='School Tables'!W59,'School Tables'!AD59,"")</f>
        <v>56</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f>IF('School Level Expenditures'!$B$2=A130,'School Tables'!H130,"")</f>
        <v>127</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2024-07-29T19:29:26Z</cp:lastPrinted>
  <dcterms:created xsi:type="dcterms:W3CDTF">1997-12-04T19:04:30Z</dcterms:created>
  <dcterms:modified xsi:type="dcterms:W3CDTF">2024-12-20T19:11:08Z</dcterms:modified>
</cp:coreProperties>
</file>