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9F7389DD-56C6-498E-8B7A-EEE4820C2C1F}"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8" i="14" l="1"/>
  <c r="K7" i="14"/>
  <c r="K6" i="14"/>
  <c r="D40" i="14" l="1"/>
  <c r="K40" i="14"/>
  <c r="I524" i="1" l="1"/>
  <c r="I522" i="1"/>
  <c r="H524" i="1"/>
  <c r="H522" i="1"/>
  <c r="G522" i="1"/>
  <c r="F522" i="1"/>
  <c r="F534" i="1"/>
  <c r="J605" i="1" l="1"/>
  <c r="H605" i="1"/>
  <c r="H9" i="1"/>
  <c r="H49" i="1"/>
  <c r="J234" i="1"/>
  <c r="F473" i="1"/>
  <c r="F469" i="1"/>
  <c r="G48" i="1"/>
  <c r="G469" i="1"/>
  <c r="G473" i="1"/>
  <c r="F524" i="1"/>
  <c r="I532" i="1"/>
  <c r="H532" i="1"/>
  <c r="G529" i="1"/>
  <c r="G524" i="1" l="1"/>
  <c r="G534" i="1"/>
  <c r="G532" i="1"/>
  <c r="H539" i="1"/>
  <c r="H537" i="1"/>
  <c r="B11" i="12"/>
  <c r="H244" i="1" l="1"/>
  <c r="I244" i="1" l="1"/>
  <c r="I208" i="1"/>
  <c r="H205" i="1"/>
  <c r="I205" i="1"/>
  <c r="H210" i="1"/>
  <c r="J208" i="1"/>
  <c r="H208" i="1"/>
  <c r="J244" i="1"/>
  <c r="H203" i="1"/>
  <c r="H239" i="1" l="1"/>
  <c r="H337" i="1" l="1"/>
  <c r="H280" i="1" l="1"/>
  <c r="C20" i="12" l="1"/>
  <c r="B19" i="12"/>
  <c r="C21" i="12"/>
  <c r="C19" i="12"/>
  <c r="B21" i="12"/>
  <c r="B20" i="12"/>
  <c r="F234" i="1"/>
  <c r="K198" i="1"/>
  <c r="C10" i="12"/>
  <c r="B10" i="12"/>
  <c r="G199" i="1"/>
  <c r="F199" i="1"/>
  <c r="G198" i="1"/>
  <c r="F198" i="1"/>
  <c r="C12" i="12" l="1"/>
  <c r="C11" i="12"/>
  <c r="B12" i="12"/>
  <c r="K262" i="1" l="1"/>
  <c r="K261" i="1"/>
  <c r="G246" i="1" l="1"/>
  <c r="H235" i="1"/>
  <c r="G235" i="1"/>
  <c r="F235" i="1"/>
  <c r="K208" i="1"/>
  <c r="G208" i="1"/>
  <c r="F208" i="1"/>
  <c r="K206" i="1"/>
  <c r="I206" i="1"/>
  <c r="H206" i="1"/>
  <c r="G206" i="1"/>
  <c r="F206" i="1"/>
  <c r="I204" i="1"/>
  <c r="G204" i="1"/>
  <c r="F204" i="1"/>
  <c r="I203" i="1"/>
  <c r="G203" i="1"/>
  <c r="F203" i="1"/>
  <c r="I199" i="1"/>
  <c r="H199" i="1"/>
  <c r="J198" i="1"/>
  <c r="I198" i="1"/>
  <c r="H198" i="1"/>
  <c r="F240" i="1" l="1"/>
  <c r="G239" i="1"/>
  <c r="J237" i="1"/>
  <c r="H237" i="1"/>
  <c r="C39" i="12" l="1"/>
  <c r="C37" i="12"/>
  <c r="B39" i="12"/>
  <c r="B37" i="12"/>
  <c r="J315" i="1" l="1"/>
  <c r="I315" i="1"/>
  <c r="H315" i="1"/>
  <c r="G315" i="1"/>
  <c r="F315" i="1"/>
  <c r="J277" i="1"/>
  <c r="H277" i="1"/>
  <c r="G277" i="1"/>
  <c r="F277" i="1" l="1"/>
  <c r="F50" i="1" l="1"/>
  <c r="G97" i="1"/>
  <c r="H583" i="1"/>
  <c r="F583" i="1"/>
  <c r="I361" i="1" l="1"/>
  <c r="J361" i="1"/>
  <c r="I359" i="1"/>
  <c r="H359" i="1"/>
  <c r="H361" i="1"/>
  <c r="G158" i="1"/>
  <c r="J318" i="1" l="1"/>
  <c r="F282" i="1"/>
  <c r="I277" i="1"/>
  <c r="E17" i="17"/>
  <c r="E13" i="17"/>
  <c r="E9" i="17"/>
  <c r="H155" i="1"/>
  <c r="H161" i="1"/>
  <c r="H159" i="1"/>
  <c r="H154" i="1"/>
  <c r="H162" i="1"/>
  <c r="I283" i="1"/>
  <c r="H283" i="1"/>
  <c r="G282" i="1"/>
  <c r="F278" i="1"/>
  <c r="I316" i="1"/>
  <c r="I278" i="1"/>
  <c r="H316" i="1"/>
  <c r="H278" i="1"/>
  <c r="G278" i="1"/>
  <c r="G316" i="1"/>
  <c r="F316" i="1"/>
  <c r="H201" i="1" l="1"/>
  <c r="H256" i="1"/>
  <c r="G244" i="1" l="1"/>
  <c r="F244" i="1"/>
  <c r="K239" i="1"/>
  <c r="F239" i="1"/>
  <c r="I234" i="1"/>
  <c r="H234" i="1"/>
  <c r="G234" i="1"/>
  <c r="G242" i="1"/>
  <c r="G240" i="1"/>
  <c r="G237"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D29" i="13" s="1"/>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F85" i="2"/>
  <c r="C87" i="2"/>
  <c r="H87" i="2" s="1"/>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4"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I170" i="1"/>
  <c r="C85" i="2" l="1"/>
  <c r="H25" i="2"/>
  <c r="G646" i="1"/>
  <c r="E120" i="2"/>
  <c r="J140" i="1"/>
  <c r="I409" i="1"/>
  <c r="H94" i="2"/>
  <c r="E111" i="2"/>
  <c r="H69" i="2"/>
  <c r="H47" i="2"/>
  <c r="H43" i="2"/>
  <c r="H102" i="2"/>
  <c r="H98" i="2"/>
  <c r="H15" i="2"/>
  <c r="H11" i="2"/>
  <c r="H89" i="2"/>
  <c r="H29" i="2"/>
  <c r="D18" i="13"/>
  <c r="C18" i="13" s="1"/>
  <c r="H24" i="2"/>
  <c r="H36" i="2"/>
  <c r="H101" i="2"/>
  <c r="H76" i="2"/>
  <c r="H44" i="2"/>
  <c r="H97" i="2"/>
  <c r="H96" i="2"/>
  <c r="H35" i="2"/>
  <c r="H17" i="2"/>
  <c r="H9" i="2"/>
  <c r="H28" i="2"/>
  <c r="H38" i="2"/>
  <c r="H100" i="2"/>
  <c r="H73" i="2"/>
  <c r="H143" i="2"/>
  <c r="H72" i="2"/>
  <c r="H59" i="2"/>
  <c r="H34" i="2"/>
  <c r="H27" i="2"/>
  <c r="H12" i="2"/>
  <c r="H132" i="2"/>
  <c r="H48" i="2"/>
  <c r="H99" i="2"/>
  <c r="H79" i="2"/>
  <c r="H58" i="2"/>
  <c r="H22" i="2"/>
  <c r="C125" i="2"/>
  <c r="H125" i="2" s="1"/>
  <c r="H30" i="2"/>
  <c r="H23" i="2"/>
  <c r="H13" i="2"/>
  <c r="D78" i="2"/>
  <c r="D81" i="2" s="1"/>
  <c r="H77" i="2"/>
  <c r="G409" i="1"/>
  <c r="H646" i="1" s="1"/>
  <c r="H61" i="2"/>
  <c r="H8" i="2"/>
  <c r="E112" i="2"/>
  <c r="H477" i="1"/>
  <c r="H625" i="1" s="1"/>
  <c r="J625" i="1" s="1"/>
  <c r="C32" i="10"/>
  <c r="C120" i="2"/>
  <c r="H120" i="2" s="1"/>
  <c r="C13" i="10"/>
  <c r="K2" i="14"/>
  <c r="K3" i="14" s="1"/>
  <c r="J652" i="1"/>
  <c r="H113" i="2"/>
  <c r="E13" i="13"/>
  <c r="C13" i="13" s="1"/>
  <c r="D15" i="13"/>
  <c r="C15" i="13" s="1"/>
  <c r="C12" i="10"/>
  <c r="C119" i="2"/>
  <c r="C112" i="2"/>
  <c r="K36" i="14"/>
  <c r="K37"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1" i="2" l="1"/>
  <c r="H78" i="2"/>
  <c r="H103" i="2"/>
  <c r="H16" i="2"/>
  <c r="E144" i="2"/>
  <c r="H85" i="2"/>
  <c r="H119" i="2"/>
  <c r="H42" i="2"/>
  <c r="H21" i="2"/>
  <c r="E62" i="2"/>
  <c r="E63" i="2" s="1"/>
  <c r="H57" i="2"/>
  <c r="D51" i="2"/>
  <c r="H91" i="2"/>
  <c r="I662" i="1"/>
  <c r="H112" i="2"/>
  <c r="H62" i="2"/>
  <c r="H31" i="2"/>
  <c r="E51" i="2"/>
  <c r="H50" i="2"/>
  <c r="H18" i="2"/>
  <c r="D128" i="2"/>
  <c r="D145" i="2" s="1"/>
  <c r="H127" i="2"/>
  <c r="I663" i="1"/>
  <c r="G144" i="2"/>
  <c r="G145" i="2" s="1"/>
  <c r="H134" i="2"/>
  <c r="H114" i="2"/>
  <c r="H123" i="2"/>
  <c r="H122" i="2"/>
  <c r="F194" i="1"/>
  <c r="G628" i="1" s="1"/>
  <c r="J628" i="1" s="1"/>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C145" i="2" s="1"/>
  <c r="H141" i="2"/>
  <c r="C104" i="2"/>
  <c r="H104" i="2" s="1"/>
  <c r="H63"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<sst xmlns="http://schemas.openxmlformats.org/spreadsheetml/2006/main" count="6645" uniqueCount="1847">
  <si>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</si>
  <si>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</si>
  <si>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</si>
  <si>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</si>
  <si>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</si>
  <si>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</si>
  <si>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</si>
  <si>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</si>
  <si>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</si>
  <si>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</si>
  <si>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</si>
  <si>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</si>
  <si>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</si>
  <si>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</si>
  <si>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</si>
  <si>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</si>
  <si>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</si>
  <si>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</si>
  <si>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</si>
  <si>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</si>
  <si>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</si>
  <si>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</si>
  <si>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</si>
  <si>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</si>
  <si>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</si>
  <si>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</si>
  <si>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</si>
  <si>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</si>
  <si>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</si>
  <si>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</si>
  <si>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</si>
  <si>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</si>
  <si>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</si>
  <si>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</si>
  <si>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</si>
  <si>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</si>
  <si>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</si>
  <si>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</si>
  <si>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</si>
  <si>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</si>
  <si>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</si>
  <si>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</si>
  <si>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</si>
  <si>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</si>
  <si>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</si>
  <si>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</si>
  <si>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</si>
  <si>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</si>
  <si>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</si>
  <si>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</si>
  <si>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</si>
  <si>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</si>
  <si>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</si>
  <si>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</si>
  <si>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</si>
  <si>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</si>
  <si>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</si>
  <si>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</si>
  <si>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</si>
  <si>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</si>
  <si>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</si>
  <si>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</si>
  <si>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</si>
  <si>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</si>
  <si>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</si>
  <si>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</si>
  <si>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</si>
  <si>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</si>
  <si>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</si>
  <si>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</si>
  <si>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</si>
  <si>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</si>
  <si>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</si>
  <si>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</si>
  <si>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</si>
  <si>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</si>
  <si>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</si>
  <si>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</si>
  <si>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</si>
  <si>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</si>
  <si>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</si>
  <si>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</si>
  <si>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</si>
  <si>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</si>
  <si>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</si>
  <si>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</si>
  <si>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</si>
  <si>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</si>
  <si>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</si>
  <si>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</si>
  <si>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</si>
  <si>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</si>
  <si>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</si>
  <si>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</si>
  <si>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</si>
  <si>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</si>
  <si>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</si>
  <si>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</si>
  <si>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</si>
  <si>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</si>
  <si>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</si>
  <si>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</si>
  <si>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</si>
  <si>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</si>
  <si>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</si>
  <si>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</si>
  <si>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</si>
  <si>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</si>
  <si>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</si>
  <si>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</si>
  <si>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</si>
  <si>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</si>
  <si>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</si>
  <si>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</si>
  <si>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</si>
  <si>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</si>
  <si>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</si>
  <si>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</si>
  <si>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</si>
  <si>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</si>
  <si>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</si>
  <si>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</si>
  <si>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</si>
  <si>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</si>
  <si>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</si>
  <si>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</si>
  <si>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</si>
  <si>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</si>
  <si>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</si>
  <si>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</si>
  <si>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</si>
  <si>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</si>
  <si>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</si>
  <si>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</si>
  <si>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</si>
  <si>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</si>
  <si>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</si>
  <si>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</si>
  <si>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</si>
  <si>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</si>
  <si>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</si>
  <si>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</si>
  <si>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</si>
  <si>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</si>
  <si>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</si>
  <si>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</si>
  <si>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</si>
  <si>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</si>
  <si>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</si>
  <si>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</si>
  <si>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</si>
  <si>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</si>
  <si>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</si>
  <si>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</si>
  <si>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</si>
  <si>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</si>
  <si>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</si>
  <si>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</si>
  <si>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</si>
  <si>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</si>
  <si>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</si>
  <si>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</si>
  <si>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</si>
  <si>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</si>
  <si>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</si>
  <si>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</si>
  <si>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</si>
  <si>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</si>
  <si>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</si>
  <si>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</si>
  <si>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</si>
  <si>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</si>
  <si>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</si>
  <si>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</si>
  <si>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</si>
  <si>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</si>
  <si>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</si>
  <si>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</si>
  <si>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</si>
  <si>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</si>
  <si>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</si>
  <si>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</si>
  <si>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</si>
  <si>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</si>
  <si>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</si>
  <si>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</si>
  <si>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</si>
  <si>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</si>
  <si>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</si>
  <si>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</si>
  <si>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</si>
  <si>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</si>
  <si>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</si>
  <si>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</si>
  <si>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</si>
  <si>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</si>
  <si>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</si>
  <si>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</si>
  <si>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</si>
  <si>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</si>
  <si>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</si>
  <si>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</si>
  <si>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</si>
  <si>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</si>
  <si>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</si>
  <si>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</si>
  <si>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</si>
  <si>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</si>
  <si>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</si>
  <si>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</si>
  <si>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</si>
  <si>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</si>
  <si>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</si>
  <si>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</si>
  <si>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</si>
  <si>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</si>
  <si>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</si>
  <si>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</si>
  <si>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</si>
  <si>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</si>
  <si>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</si>
  <si>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</si>
  <si>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</si>
  <si>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</si>
  <si>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</si>
  <si>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</si>
  <si>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</si>
  <si>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</si>
  <si>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</si>
  <si>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</si>
  <si>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</si>
  <si>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</si>
  <si>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</si>
  <si>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</si>
  <si>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</si>
  <si>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</si>
  <si>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</si>
  <si>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</si>
  <si>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</si>
  <si>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</si>
  <si>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</si>
  <si>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</si>
  <si>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</si>
  <si>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</si>
  <si>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</si>
  <si>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</si>
  <si>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</si>
  <si>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</si>
  <si>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</si>
  <si>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</si>
  <si>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</si>
  <si>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</si>
  <si>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</si>
  <si>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</si>
  <si>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</si>
  <si>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</si>
  <si>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</si>
  <si>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</si>
  <si>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</si>
  <si>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</si>
  <si>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</si>
  <si>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</si>
  <si>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</si>
  <si>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</si>
  <si>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</si>
  <si>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</si>
  <si>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</si>
  <si>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</si>
  <si>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</si>
  <si>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</si>
  <si>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</si>
  <si>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</si>
  <si>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</si>
  <si>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</si>
  <si>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</si>
  <si>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</si>
  <si>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</si>
  <si>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</si>
  <si>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</si>
  <si>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</si>
  <si>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</si>
  <si>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</si>
  <si>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</si>
  <si>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</si>
  <si>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</si>
  <si>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</si>
  <si>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</si>
  <si>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</si>
  <si>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</si>
  <si>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</si>
  <si>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</si>
  <si>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</si>
  <si>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</si>
  <si>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</si>
  <si>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</si>
  <si>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</si>
  <si>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</si>
  <si>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</si>
  <si>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</si>
  <si>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</si>
  <si>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</si>
  <si>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</si>
  <si>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</si>
  <si>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</si>
  <si>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</si>
  <si>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</si>
  <si>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</si>
  <si>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</si>
  <si>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</si>
  <si>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</si>
  <si>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</si>
  <si>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</si>
  <si>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</si>
  <si>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</si>
  <si>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</si>
  <si>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</si>
  <si>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</si>
  <si>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</si>
  <si>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</si>
  <si>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</si>
  <si>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</si>
  <si>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</si>
  <si>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</si>
  <si>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</si>
  <si>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</si>
  <si>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</si>
  <si>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</si>
  <si>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</si>
  <si>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</si>
  <si>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</si>
  <si>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</si>
  <si>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</si>
  <si>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</si>
  <si>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</si>
  <si>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</si>
  <si>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</si>
  <si>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</si>
  <si>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</si>
  <si>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</si>
  <si>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</si>
  <si>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</si>
  <si>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</si>
  <si>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</si>
  <si>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</si>
  <si>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</si>
  <si>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</si>
  <si>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</si>
  <si>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</si>
  <si>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</si>
  <si>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</si>
  <si>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</si>
  <si>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</si>
  <si>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</si>
  <si>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</si>
  <si>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</si>
  <si>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</si>
  <si>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</si>
  <si>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</si>
  <si>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</si>
  <si>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</si>
  <si>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</si>
  <si>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</si>
  <si>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</si>
  <si>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</si>
  <si>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</si>
  <si>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</si>
  <si>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</si>
  <si>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</si>
  <si>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</si>
  <si>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</si>
  <si>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</si>
  <si>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</si>
  <si>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</si>
  <si>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</si>
  <si>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</si>
  <si>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</si>
  <si>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</si>
  <si>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</si>
  <si>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</si>
  <si>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</si>
  <si>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</si>
  <si>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</si>
  <si>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</si>
  <si>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</si>
  <si>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</si>
  <si>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</si>
  <si>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</si>
  <si>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</si>
  <si>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</si>
  <si>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</si>
  <si>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</si>
  <si>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</si>
  <si>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</si>
  <si>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</si>
  <si>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</si>
  <si>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</si>
  <si>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</si>
  <si>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</si>
  <si>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</si>
  <si>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</si>
  <si>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</si>
  <si>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</si>
  <si>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</si>
  <si>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</si>
  <si>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</si>
  <si>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</si>
  <si>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</si>
  <si>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</si>
  <si>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</si>
  <si>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</si>
  <si>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</si>
  <si>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</si>
  <si>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</si>
  <si>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</si>
  <si>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</si>
  <si>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</si>
  <si>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</si>
  <si>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</si>
  <si>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</si>
  <si>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</si>
  <si>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</si>
  <si>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</si>
  <si>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</si>
  <si>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</si>
  <si>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</si>
  <si>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</si>
  <si>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</si>
  <si>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</si>
  <si>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</si>
  <si>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</si>
  <si>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</si>
  <si>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</si>
  <si>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</si>
  <si>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</si>
  <si>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</si>
  <si>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</si>
  <si>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</si>
  <si>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</si>
  <si>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</si>
  <si>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</si>
  <si>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</si>
  <si>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</si>
  <si>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</si>
  <si>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</si>
  <si>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</si>
  <si>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</si>
  <si>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</si>
  <si>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</si>
  <si>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</si>
  <si>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</si>
  <si>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</si>
  <si>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</si>
  <si>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</si>
  <si>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</si>
  <si>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</si>
  <si>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</si>
  <si>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</si>
  <si>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</si>
  <si>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</si>
  <si>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</si>
  <si>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</si>
  <si>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</si>
  <si>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</si>
  <si>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</si>
  <si>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</si>
  <si>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</si>
  <si>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</si>
  <si>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</si>
  <si>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</si>
  <si>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</si>
  <si>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</si>
  <si>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</si>
  <si>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</si>
  <si>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</si>
  <si>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</si>
  <si>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</si>
  <si>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</si>
  <si>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</si>
  <si>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</si>
  <si>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</si>
  <si>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</si>
  <si>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</si>
  <si>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</si>
  <si>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</si>
  <si>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</si>
  <si>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</si>
  <si>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</si>
  <si>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</si>
  <si>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</si>
  <si>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</si>
  <si>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</si>
  <si>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</si>
  <si>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</si>
  <si>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</si>
  <si>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</si>
  <si>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</si>
  <si>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</si>
  <si>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</si>
  <si>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</si>
  <si>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</si>
  <si>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</si>
  <si>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</si>
  <si>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</si>
  <si>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</si>
  <si>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</si>
  <si>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</si>
  <si>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</si>
  <si>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</si>
  <si>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</si>
  <si>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</si>
  <si>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</si>
  <si>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</si>
  <si>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</si>
  <si>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</si>
  <si>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</si>
  <si>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</si>
  <si>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</si>
  <si>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</si>
  <si>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</si>
  <si>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</si>
  <si>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</si>
  <si>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</si>
  <si>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</si>
  <si>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</si>
  <si>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</si>
  <si>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</si>
  <si>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</si>
  <si>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</si>
  <si>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</si>
  <si>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</si>
  <si>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</si>
  <si>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</si>
  <si>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</si>
  <si>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</si>
  <si>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</si>
  <si>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</si>
  <si>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</si>
  <si>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</si>
  <si>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</si>
  <si>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</si>
  <si>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</si>
  <si>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</si>
  <si>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</si>
  <si>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</si>
  <si>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</si>
  <si>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</si>
  <si>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</si>
  <si>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</si>
  <si>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</si>
  <si>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</si>
  <si>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</si>
  <si>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</si>
  <si>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</si>
  <si>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</si>
  <si>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</si>
  <si>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</si>
  <si>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</si>
  <si>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</si>
  <si>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</si>
  <si>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</si>
  <si>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</si>
  <si>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</si>
  <si>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</si>
  <si>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</si>
  <si>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</si>
  <si>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</si>
  <si>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</si>
  <si>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</si>
  <si>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</si>
  <si>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</si>
  <si>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</si>
  <si>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</si>
  <si>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</si>
  <si>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</si>
  <si>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</si>
  <si>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</si>
  <si>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</si>
  <si>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</si>
  <si>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</si>
  <si>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</si>
  <si>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</si>
  <si>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</si>
  <si>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</si>
  <si>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</si>
  <si>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</si>
  <si>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</si>
  <si>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</si>
  <si>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</si>
  <si>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</si>
  <si>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</si>
  <si>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</si>
  <si>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</si>
  <si>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</si>
  <si>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</si>
  <si>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</si>
  <si>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</si>
  <si>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</si>
  <si>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</si>
  <si>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</si>
  <si>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</si>
  <si>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</si>
  <si>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</si>
  <si>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</si>
  <si>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</si>
  <si>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</si>
  <si>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</si>
  <si>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</si>
  <si>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</si>
  <si>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</si>
  <si>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</si>
  <si>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</si>
  <si>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</si>
  <si>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</si>
  <si>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</si>
  <si>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</si>
  <si>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</si>
  <si>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</si>
  <si>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</si>
  <si>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</si>
  <si>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</si>
  <si>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</si>
  <si>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</si>
  <si>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</si>
  <si>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</si>
  <si>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</si>
  <si>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</si>
  <si>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</si>
  <si>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</si>
  <si>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</si>
  <si>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</si>
  <si>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</si>
  <si>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</si>
  <si>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</si>
  <si>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</si>
  <si>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</si>
  <si>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</si>
  <si>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</si>
  <si>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</si>
  <si>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</si>
  <si>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</si>
  <si>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</si>
  <si>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</si>
  <si>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</si>
  <si>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</si>
  <si>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</si>
  <si>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</si>
  <si>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</si>
  <si>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</si>
  <si>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</si>
  <si>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</si>
  <si>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</si>
  <si>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</si>
  <si>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</si>
  <si>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</si>
  <si>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</si>
  <si>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</si>
  <si>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</si>
  <si>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</si>
  <si>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</si>
  <si>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</si>
  <si>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</si>
  <si>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</si>
  <si>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</si>
  <si>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</si>
  <si>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</si>
  <si>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</si>
  <si>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</si>
  <si>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</si>
  <si>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</si>
  <si>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</si>
  <si>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</si>
  <si>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</si>
  <si>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</si>
  <si>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</si>
  <si>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</si>
  <si>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</si>
  <si>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</si>
  <si>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</si>
  <si>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</si>
  <si>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</si>
  <si>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</si>
  <si>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</si>
  <si>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</si>
  <si>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</si>
  <si>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</si>
  <si>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</si>
  <si>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</si>
  <si>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</si>
  <si>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</si>
  <si>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</si>
  <si>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</si>
  <si>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</si>
  <si>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</si>
  <si>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</si>
  <si>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</si>
  <si>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</si>
  <si>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</si>
  <si>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</si>
  <si>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</si>
  <si>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</si>
  <si>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</si>
  <si>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</si>
  <si>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</si>
  <si>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</si>
  <si>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</si>
  <si>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</si>
  <si>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</si>
  <si>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</si>
  <si>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</si>
  <si>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</si>
  <si>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</si>
  <si>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</si>
  <si>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</si>
  <si>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</si>
  <si>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</si>
  <si>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</si>
  <si>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</si>
  <si>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</si>
  <si>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</si>
  <si>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</si>
  <si>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</si>
  <si>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</si>
  <si>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</si>
  <si>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</si>
  <si>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</si>
  <si>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</si>
  <si>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</si>
  <si>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</si>
  <si>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</si>
  <si>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</si>
  <si>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</si>
  <si>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</si>
  <si>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</si>
  <si>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</si>
  <si>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</si>
  <si>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</si>
  <si>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</si>
  <si>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</si>
  <si>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</si>
  <si>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</si>
  <si>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</si>
  <si>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</si>
  <si>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</si>
  <si>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</si>
  <si>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</si>
  <si>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</si>
  <si>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</si>
  <si>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</si>
  <si>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</si>
  <si>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</si>
  <si>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</si>
  <si>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</si>
  <si>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</si>
  <si>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</si>
  <si>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</si>
  <si>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</si>
  <si>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</si>
  <si>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</si>
  <si>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</si>
  <si>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</si>
  <si>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</si>
  <si>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</si>
  <si>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</si>
  <si>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</si>
  <si>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</si>
  <si>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</si>
  <si>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</si>
  <si>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</si>
  <si>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</si>
  <si>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</si>
  <si>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</si>
  <si>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</si>
  <si>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</si>
  <si>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</si>
  <si>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</si>
  <si>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</si>
  <si>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</si>
  <si>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</si>
  <si>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</si>
  <si>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</si>
  <si>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</si>
  <si>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</si>
  <si>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</si>
  <si>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</si>
  <si>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</si>
  <si>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</si>
  <si>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</si>
  <si>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</si>
  <si>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</si>
  <si>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</si>
  <si>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</si>
  <si>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</si>
  <si>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</si>
  <si>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</si>
  <si>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</si>
  <si>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</si>
  <si>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</si>
  <si>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</si>
  <si>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</si>
  <si>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</si>
  <si>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</si>
  <si>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</si>
  <si>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</si>
  <si>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</si>
  <si>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</si>
  <si>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</si>
  <si>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</si>
  <si>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</si>
  <si>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</si>
  <si>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</si>
  <si>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</si>
  <si>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</si>
  <si>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</si>
  <si>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</si>
  <si>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</si>
  <si>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</si>
  <si>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</si>
  <si>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</si>
  <si>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</si>
  <si>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</si>
  <si>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</si>
  <si>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</si>
  <si>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</si>
  <si>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</si>
  <si>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</si>
  <si>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</si>
  <si>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</si>
  <si>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</si>
  <si>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</si>
  <si>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</si>
  <si>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</si>
  <si>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</si>
  <si>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</si>
  <si>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</si>
  <si>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</si>
  <si>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</si>
  <si>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</si>
  <si>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</si>
  <si>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</si>
  <si>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</si>
  <si>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</si>
  <si>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</si>
  <si>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</si>
  <si>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</si>
  <si>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</si>
  <si>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</si>
  <si>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</si>
  <si>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</si>
  <si>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</si>
  <si>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</si>
  <si>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</si>
  <si>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</si>
  <si>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</si>
  <si>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</si>
  <si>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</si>
  <si>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</si>
  <si>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</si>
  <si>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</si>
  <si>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</si>
  <si>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</si>
  <si>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</si>
  <si>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</si>
  <si>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</si>
  <si>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</si>
  <si>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</si>
  <si>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</si>
  <si>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</si>
  <si>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</si>
  <si>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</si>
  <si>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</si>
  <si>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</si>
  <si>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</si>
  <si>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</si>
  <si>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</si>
  <si>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</si>
  <si>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</si>
  <si>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</si>
  <si>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</si>
  <si>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</si>
  <si>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</si>
  <si>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</si>
  <si>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</si>
  <si>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</si>
  <si>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</si>
  <si>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</si>
  <si>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</si>
  <si>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</si>
  <si>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</si>
  <si>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</si>
  <si>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</si>
  <si>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</si>
  <si>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</si>
  <si>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</si>
  <si>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</si>
  <si>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</si>
  <si>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</si>
  <si>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</si>
  <si>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</si>
  <si>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</si>
  <si>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</si>
  <si>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</si>
  <si>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</si>
  <si>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</si>
  <si>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</si>
  <si>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</si>
  <si>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</si>
  <si>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</si>
  <si>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</si>
  <si>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</si>
  <si>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</si>
  <si>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</si>
  <si>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</si>
  <si>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</si>
  <si>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</si>
  <si>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</si>
  <si>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</si>
  <si>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</si>
  <si>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</si>
  <si>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</si>
  <si>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</si>
  <si>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</si>
  <si>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</si>
  <si>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</si>
  <si>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</si>
  <si>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</si>
  <si>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</si>
  <si>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</si>
  <si>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</si>
  <si>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</si>
  <si>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</si>
  <si>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</si>
  <si>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</si>
  <si>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</si>
  <si>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</si>
  <si>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</si>
  <si>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</si>
  <si>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</si>
  <si>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</si>
  <si>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</si>
  <si>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</si>
  <si>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</si>
  <si>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</si>
  <si>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</si>
  <si>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</si>
  <si>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</si>
  <si>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</si>
  <si>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</si>
  <si>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</si>
  <si>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</si>
  <si>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</si>
  <si>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</si>
  <si>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</si>
  <si>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</si>
  <si>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</si>
  <si>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</si>
  <si>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</si>
  <si>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</si>
  <si>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</si>
  <si>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</si>
  <si>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</si>
  <si>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</si>
  <si>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</si>
  <si>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</si>
  <si>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</si>
  <si>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</si>
  <si>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</si>
  <si>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</si>
  <si>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</si>
  <si>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</si>
  <si>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</si>
  <si>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</si>
  <si>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</si>
  <si>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</si>
  <si>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</si>
  <si>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</si>
  <si>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</si>
  <si>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</si>
  <si>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</si>
  <si>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</si>
  <si>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</si>
  <si>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</si>
  <si>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</si>
  <si>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</si>
  <si>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</si>
  <si>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</si>
  <si>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</si>
  <si>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</si>
  <si>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</si>
  <si>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</si>
  <si>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</si>
  <si>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</si>
  <si>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</si>
  <si>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</si>
  <si>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</si>
  <si>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</si>
  <si>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</si>
  <si>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</si>
  <si>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</si>
  <si>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</si>
  <si>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</si>
  <si>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</si>
  <si>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</si>
  <si>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</si>
  <si>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</si>
  <si>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</si>
  <si>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</si>
  <si>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</si>
  <si>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</si>
  <si>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</si>
  <si>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</si>
  <si>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</si>
  <si>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</si>
  <si>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</si>
  <si>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</si>
  <si>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</si>
  <si>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</si>
  <si>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</si>
  <si>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</si>
  <si>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</si>
  <si>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</si>
  <si>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</si>
  <si>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</si>
  <si>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</si>
  <si>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</si>
  <si>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</si>
  <si>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</si>
  <si>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</si>
  <si>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</si>
  <si>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</si>
  <si>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</si>
  <si>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</si>
  <si>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</si>
  <si>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</si>
  <si>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</si>
  <si>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</si>
  <si>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</si>
  <si>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</si>
  <si>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</si>
  <si>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</si>
  <si>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</si>
  <si>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</si>
  <si>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</si>
  <si>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</si>
  <si>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</si>
  <si>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</si>
  <si>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</si>
  <si>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</si>
  <si>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</si>
  <si>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</si>
  <si>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</si>
  <si>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</si>
  <si>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</si>
  <si>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</si>
  <si>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</si>
  <si>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</si>
  <si>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</si>
  <si>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</si>
  <si>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</si>
  <si>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</si>
  <si>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</si>
  <si>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</si>
  <si>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</si>
  <si>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</si>
  <si>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</si>
  <si>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</si>
  <si>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</si>
  <si>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</si>
  <si>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</si>
  <si>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</si>
  <si>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</si>
  <si>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</si>
  <si>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</si>
  <si>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</si>
  <si>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</si>
  <si>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</si>
  <si>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</si>
  <si>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</si>
  <si>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</si>
  <si>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</si>
  <si>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</si>
  <si>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</si>
  <si>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</si>
  <si>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</si>
  <si>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</si>
  <si>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</si>
  <si>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</si>
  <si>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</si>
  <si>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</si>
  <si>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</si>
  <si>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</si>
  <si>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</si>
  <si>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</si>
  <si>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</si>
  <si>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</si>
  <si>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</si>
  <si>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</si>
  <si>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</si>
  <si>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</si>
  <si>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</si>
  <si>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</si>
  <si>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</si>
  <si>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</si>
  <si>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</si>
  <si>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</si>
  <si>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</si>
  <si>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</si>
  <si>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</si>
  <si>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</si>
  <si>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</si>
  <si>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</si>
  <si>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</si>
  <si>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</si>
  <si>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</si>
  <si>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</si>
  <si>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</si>
  <si>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</si>
  <si>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</si>
  <si>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</si>
  <si>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</si>
  <si>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</si>
  <si>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</si>
  <si>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</si>
  <si>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</si>
  <si>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</si>
  <si>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</si>
  <si>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</si>
  <si>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</si>
  <si>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</si>
  <si>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</si>
  <si>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</si>
  <si>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</si>
  <si>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</si>
  <si>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</si>
  <si>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</si>
  <si>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</si>
  <si>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</si>
  <si>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</si>
  <si>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</si>
  <si>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</si>
  <si>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</si>
  <si>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</si>
  <si>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</si>
  <si>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</si>
  <si>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</si>
  <si>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</si>
  <si>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</si>
  <si>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</si>
  <si>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</si>
  <si>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</si>
  <si>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</si>
  <si>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</si>
  <si>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</si>
  <si>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</si>
  <si>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</si>
  <si>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</si>
  <si>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</si>
  <si>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</si>
  <si>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</si>
  <si>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</si>
  <si>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</si>
  <si>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</si>
  <si>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</si>
  <si>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</si>
  <si>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</si>
  <si>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</si>
  <si>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</si>
  <si>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</si>
  <si>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</si>
  <si>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</si>
  <si>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</si>
  <si>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</si>
  <si>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</si>
  <si>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</si>
  <si>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</si>
  <si>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</si>
  <si>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</si>
  <si>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</si>
  <si>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</si>
  <si>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</si>
  <si>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</si>
  <si>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</si>
  <si>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</si>
  <si>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</si>
  <si>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</si>
  <si>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</si>
  <si>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</si>
  <si>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</si>
  <si>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</si>
  <si>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</si>
  <si>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</si>
  <si>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</si>
  <si>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</si>
  <si>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</si>
  <si>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</si>
  <si>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</si>
  <si>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</si>
  <si>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</si>
  <si>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</si>
  <si>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</si>
  <si>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</si>
  <si>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</si>
  <si>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</si>
  <si>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</si>
  <si>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</si>
  <si>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</si>
  <si>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</si>
  <si>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</si>
  <si>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</si>
  <si>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</si>
  <si>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</si>
  <si>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</si>
  <si>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</si>
  <si>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</si>
  <si>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</si>
  <si>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</si>
  <si>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</si>
  <si>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</si>
  <si>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</si>
  <si>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</si>
  <si>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</si>
  <si>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</si>
  <si>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</si>
  <si>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</si>
  <si>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</si>
  <si>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</si>
  <si>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</si>
  <si>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</si>
  <si>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</si>
  <si>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</si>
  <si>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</si>
  <si>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</si>
  <si>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</si>
  <si>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</si>
  <si>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</si>
  <si>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</si>
  <si>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</si>
  <si>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</si>
  <si>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</si>
  <si>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</si>
  <si>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</si>
  <si>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</si>
  <si>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</si>
  <si>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</si>
  <si>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</si>
  <si>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</si>
  <si>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</si>
  <si>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</si>
  <si>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</si>
  <si>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</si>
  <si>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</si>
  <si>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</si>
  <si>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</si>
  <si>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</si>
  <si>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</si>
  <si>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</si>
  <si>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</si>
  <si>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</si>
  <si>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</si>
  <si>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</si>
  <si>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</si>
  <si>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</si>
  <si>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</si>
  <si>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</si>
  <si>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</si>
  <si>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</si>
  <si>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</si>
  <si>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</si>
  <si>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</si>
  <si>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</si>
  <si>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</si>
  <si>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</si>
  <si>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</si>
  <si>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</si>
  <si>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</si>
  <si>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</si>
  <si>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</si>
  <si>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</si>
  <si>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</si>
  <si>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</si>
  <si>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</si>
  <si>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</si>
  <si>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</si>
  <si>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</si>
  <si>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</si>
  <si>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</si>
  <si>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</si>
  <si>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</si>
  <si>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</si>
  <si>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</si>
  <si>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</si>
  <si>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</si>
  <si>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</si>
  <si>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</si>
  <si>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</si>
  <si>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</si>
  <si>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</si>
  <si>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</si>
  <si>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</si>
  <si>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</si>
  <si>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</si>
  <si>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</si>
  <si>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</si>
  <si>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</si>
  <si>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</si>
  <si>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</si>
  <si>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</si>
  <si>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</si>
  <si>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</si>
  <si>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</si>
  <si>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</si>
  <si>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</si>
  <si>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</si>
  <si>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</si>
  <si>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</si>
  <si>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</si>
  <si>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</si>
  <si>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</si>
  <si>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</si>
  <si>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</si>
  <si>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</si>
  <si>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</si>
  <si>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</si>
  <si>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</si>
  <si>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</si>
  <si>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</si>
  <si>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</si>
  <si>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</si>
  <si>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</si>
  <si>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</si>
  <si>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</si>
  <si>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</si>
  <si>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</si>
  <si>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</si>
  <si>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</si>
  <si>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</si>
  <si>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</si>
  <si>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</si>
  <si>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</si>
  <si>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</si>
  <si>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</si>
  <si>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</si>
  <si>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</si>
  <si>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</si>
  <si>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</si>
  <si>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</si>
  <si>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</si>
  <si>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</si>
  <si>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</si>
  <si>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</si>
  <si>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</si>
  <si>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</si>
  <si>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</si>
  <si>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</si>
  <si>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</si>
  <si>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</si>
  <si>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</si>
  <si>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</si>
  <si>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</si>
  <si>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</si>
  <si>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</si>
  <si>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</si>
  <si>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</si>
  <si>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</si>
  <si>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</si>
  <si>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</si>
  <si>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</si>
  <si>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</si>
  <si>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</si>
  <si>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</si>
  <si>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</si>
  <si>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</si>
  <si>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</si>
  <si>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</si>
  <si>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</si>
  <si>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</si>
  <si>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</si>
  <si>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</si>
  <si>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</si>
  <si>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</si>
  <si>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</si>
  <si>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</si>
  <si>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</si>
  <si>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</si>
  <si>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</si>
  <si>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</si>
  <si>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</si>
  <si>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</si>
  <si>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</si>
  <si>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</si>
  <si>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</si>
  <si>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</si>
  <si>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</si>
  <si>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</si>
  <si>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</si>
  <si>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</si>
  <si>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</si>
  <si>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</si>
  <si>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</si>
  <si>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</si>
  <si>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</si>
  <si>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</si>
  <si>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</si>
  <si>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</si>
  <si>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</si>
  <si>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</si>
  <si>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</si>
  <si>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</si>
  <si>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</si>
  <si>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</si>
  <si>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</si>
  <si>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</si>
  <si>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</si>
  <si>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</si>
  <si>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</si>
  <si>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</si>
  <si>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</si>
  <si>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</si>
  <si>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</si>
  <si>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</si>
  <si>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</si>
  <si>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</si>
  <si>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</si>
  <si>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</si>
  <si>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</si>
  <si>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</si>
  <si>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</si>
  <si>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</si>
  <si>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</si>
  <si>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</si>
  <si>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</si>
  <si>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</si>
  <si>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</si>
  <si>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</si>
  <si>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</si>
  <si>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</si>
  <si>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</si>
  <si>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</si>
  <si>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</si>
  <si>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</si>
  <si>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</si>
  <si>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</si>
  <si>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</si>
  <si>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</si>
  <si>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</si>
  <si>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</si>
  <si>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</si>
  <si>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</si>
  <si>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</si>
  <si>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</si>
  <si>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</si>
  <si>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</si>
  <si>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</si>
  <si>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</si>
  <si>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</si>
  <si>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</si>
  <si>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</si>
  <si>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</si>
  <si>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</si>
  <si>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</si>
  <si>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</si>
  <si>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</si>
  <si>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</si>
  <si>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</si>
  <si>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</si>
  <si>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</si>
  <si>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</si>
  <si>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</si>
  <si>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</si>
  <si>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</si>
  <si>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</si>
  <si>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</si>
  <si>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</si>
  <si>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</si>
  <si>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</si>
  <si>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</si>
  <si>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</si>
  <si>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</si>
  <si>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</si>
  <si>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</si>
  <si>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</si>
  <si>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</si>
  <si>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</si>
  <si>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</si>
  <si>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</si>
  <si>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</si>
  <si>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</si>
  <si>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</si>
  <si>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</si>
  <si>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</si>
  <si>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</si>
  <si>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</si>
  <si>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</si>
  <si>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</si>
  <si>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</si>
  <si>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</si>
  <si>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</si>
  <si>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</si>
  <si>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</si>
  <si>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</si>
  <si>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</si>
  <si>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</si>
  <si>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</si>
  <si>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</si>
  <si>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</si>
  <si>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</si>
  <si>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</si>
  <si>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</si>
  <si>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</si>
  <si>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</si>
  <si>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</si>
  <si>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</si>
  <si>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</si>
  <si>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</si>
  <si>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</si>
  <si>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</si>
  <si>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</si>
  <si>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</si>
  <si>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</si>
  <si>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</si>
  <si>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</si>
  <si>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</si>
  <si>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</si>
  <si>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</si>
  <si>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</si>
  <si>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</si>
  <si>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</si>
  <si>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</si>
  <si>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</si>
  <si>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</si>
  <si>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</si>
  <si>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</si>
  <si>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</si>
  <si>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</si>
  <si>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</si>
  <si>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</si>
  <si>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</si>
  <si>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</si>
  <si>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</si>
  <si>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</si>
  <si>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</si>
  <si>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</si>
  <si>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</si>
  <si>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</si>
  <si>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</si>
  <si>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</si>
  <si>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</si>
  <si>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</si>
  <si>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</si>
  <si>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</si>
  <si>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</si>
  <si>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</si>
  <si>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</si>
  <si>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</si>
  <si>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</si>
  <si>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</si>
  <si>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</si>
  <si>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</si>
  <si>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</si>
  <si>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</si>
  <si>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</si>
  <si>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</si>
  <si>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</si>
  <si>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</si>
  <si>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</si>
  <si>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</si>
  <si>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</si>
  <si>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</si>
  <si>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</si>
  <si>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</si>
  <si>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</si>
  <si>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</si>
  <si>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</si>
  <si>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</si>
  <si>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</si>
  <si>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</si>
  <si>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</si>
  <si>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</si>
  <si>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</si>
  <si>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</si>
  <si>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</si>
  <si>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</si>
  <si>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</si>
  <si>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</si>
  <si>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</si>
  <si>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</si>
  <si>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</si>
  <si>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</si>
  <si>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</si>
  <si>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</si>
  <si>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</si>
  <si>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</si>
  <si>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</si>
  <si>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</si>
  <si>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</si>
  <si>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</si>
  <si>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</si>
  <si>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</si>
  <si>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</si>
  <si>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</si>
  <si>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</si>
  <si>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</si>
  <si>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</si>
  <si>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</si>
  <si>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</si>
  <si>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</si>
  <si>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</si>
  <si>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</si>
  <si>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</si>
  <si>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</si>
  <si>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</si>
  <si>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</si>
  <si>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</si>
  <si>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</si>
  <si>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</si>
  <si>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</si>
  <si>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</si>
  <si>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</si>
  <si>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</si>
  <si>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</si>
  <si>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</si>
  <si>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</si>
  <si>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</si>
  <si>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</si>
  <si>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</si>
  <si>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</si>
  <si>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</si>
  <si>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</si>
  <si>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</si>
  <si>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</si>
  <si>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</si>
  <si>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</si>
  <si>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</si>
  <si>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</si>
  <si>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</si>
  <si>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</si>
  <si>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</si>
  <si>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</si>
  <si>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</si>
  <si>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</si>
  <si>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</si>
  <si>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</si>
  <si>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</si>
  <si>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</si>
  <si>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</si>
  <si>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</si>
  <si>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</si>
  <si>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</si>
  <si>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</si>
  <si>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</si>
  <si>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</si>
  <si>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</si>
  <si>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</si>
  <si>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</si>
  <si>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</si>
  <si>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</si>
  <si>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</si>
  <si>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</si>
  <si>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</si>
  <si>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</si>
  <si>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</si>
  <si>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</si>
  <si>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</si>
  <si>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</si>
  <si>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</si>
  <si>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</si>
  <si>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</si>
  <si>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</si>
  <si>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</si>
  <si>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</si>
  <si>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</si>
  <si>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</si>
  <si>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</si>
  <si>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</si>
  <si>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</si>
  <si>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</si>
  <si>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</si>
  <si>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</si>
  <si>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</si>
  <si>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</si>
  <si>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</si>
  <si>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</si>
  <si>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</si>
  <si>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</si>
  <si>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</si>
  <si>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</si>
  <si>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</si>
  <si>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</si>
  <si>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</si>
  <si>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</si>
  <si>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</si>
  <si>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</si>
  <si>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</si>
  <si>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</si>
  <si>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</si>
  <si>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</si>
  <si>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</si>
  <si>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</si>
  <si>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</si>
  <si>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</si>
  <si>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</si>
  <si>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</si>
  <si>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</si>
  <si>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</si>
  <si>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</si>
  <si>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</si>
  <si>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</si>
  <si>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</si>
  <si>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</si>
  <si>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</si>
  <si>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</si>
  <si>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</si>
  <si>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</si>
  <si>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</si>
  <si>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</si>
  <si>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</si>
  <si>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</si>
  <si>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</si>
  <si>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</si>
  <si>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</si>
  <si>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</si>
  <si>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</si>
  <si>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</si>
  <si>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</si>
  <si>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</si>
  <si>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</si>
  <si>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</si>
  <si>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</si>
  <si>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</si>
  <si>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</si>
  <si>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</si>
  <si>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</si>
  <si>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</si>
  <si>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</si>
  <si>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</si>
  <si>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</si>
  <si>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</si>
  <si>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</si>
  <si>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</si>
  <si>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</si>
  <si>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</si>
  <si>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</si>
  <si>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</si>
  <si>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</si>
  <si>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</si>
  <si>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</si>
  <si>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</si>
  <si>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</si>
  <si>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</si>
  <si>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</si>
  <si>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</si>
  <si>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</si>
  <si>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</si>
  <si>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</si>
  <si>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</si>
  <si>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</si>
  <si>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</si>
  <si>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</si>
  <si>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</si>
  <si>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</si>
  <si>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</si>
  <si>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</si>
  <si>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</si>
  <si>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</si>
  <si>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</si>
  <si>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</si>
  <si>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</si>
  <si>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</si>
  <si>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</si>
  <si>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</si>
  <si>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</si>
  <si>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</si>
  <si>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</si>
  <si>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</si>
  <si>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</si>
  <si>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</si>
  <si>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</si>
  <si>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</si>
  <si>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</si>
  <si>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</si>
  <si>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</si>
  <si>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</si>
  <si>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</si>
  <si>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</si>
  <si>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</si>
  <si>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</si>
  <si>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</si>
  <si>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</si>
  <si>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</si>
  <si>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</si>
  <si>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</si>
  <si>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</si>
  <si>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</si>
  <si>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</si>
  <si>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</si>
  <si>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</si>
  <si>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</si>
  <si>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</si>
  <si>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</si>
  <si>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</si>
  <si>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</si>
  <si>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</si>
  <si>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</si>
  <si>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</si>
  <si>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</si>
  <si>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</si>
  <si>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</si>
  <si>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</si>
  <si>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</si>
  <si>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</si>
  <si>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</si>
  <si>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</si>
  <si>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</si>
  <si>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</si>
  <si>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</si>
  <si>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</si>
  <si>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</si>
  <si>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</si>
  <si>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</si>
  <si>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</si>
  <si>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</si>
  <si>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</si>
  <si>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</si>
  <si>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</si>
  <si>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</si>
  <si>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</si>
  <si>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</si>
  <si>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</si>
  <si>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</si>
  <si>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</si>
  <si>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</si>
  <si>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</si>
  <si>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</si>
  <si>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</si>
  <si>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</si>
  <si>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</si>
  <si>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</si>
  <si>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</si>
  <si>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</si>
  <si>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</si>
  <si>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</si>
  <si>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</si>
  <si>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5/20/2013</t>
  </si>
  <si>
    <t>6/12/2014</t>
  </si>
  <si>
    <t>11/10/2028</t>
  </si>
  <si>
    <t>12/16/2039</t>
  </si>
  <si>
    <t>Prior Year FS Transfer</t>
  </si>
  <si>
    <t>FSA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</si>
</sst>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1221</v>
      </c>
      <c r="B2">
        <f>INDEX('School Tables'!$AH$3:$AH$213,MATCH('DOE25'!A2,'School Tables'!$AJ$3:$AJ$213,0))</f>
        <v>343</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3192715.85</v>
      </c>
      <c r="G9" s="18"/>
      <c r="H9" s="18">
        <f>130899.89-321.14</f>
        <v>130578.75</v>
      </c>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-31349.58</v>
      </c>
      <c r="G12" s="18"/>
      <c r="H12" s="18"/>
      <c r="I12" s="18"/>
      <c r="J12" s="13">
        <f>SUM(I442)</f>
        <v>1151623.77</v>
      </c>
      <c r="K12" s="23" t="s">
        <v>288</v>
      </c>
      <c r="L12" s="23" t="s">
        <v>288</v>
      </c>
      <c r="M12" s="8"/>
      <c r="N12" s="164"/>
    </row>
    <row r="13" spans="1:14" s="3" customFormat="1" ht="12.2" customHeight="1" x14ac:dyDescent="0.15">
      <c r="A13" s="1" t="s">
        <v>604</v>
      </c>
      <c r="B13" s="2" t="s">
        <v>289</v>
      </c>
      <c r="C13" s="6">
        <v>5</v>
      </c>
      <c r="D13" s="2" t="s">
        <v>428</v>
      </c>
      <c r="E13" s="6">
        <v>140</v>
      </c>
      <c r="F13" s="18">
        <v>79738.38</v>
      </c>
      <c r="G13" s="18">
        <v>331.25</v>
      </c>
      <c r="H13" s="18">
        <v>145224.10999999999</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14085.68</v>
      </c>
      <c r="G14" s="18">
        <v>46876.22</v>
      </c>
      <c r="H14" s="18">
        <v>0</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-703480.94</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2551709.39</v>
      </c>
      <c r="G19" s="38">
        <f>SUM(G9:G18)</f>
        <v>47207.47</v>
      </c>
      <c r="H19" s="38">
        <f>SUM(H9:H18)</f>
        <v>275802.86</v>
      </c>
      <c r="I19" s="38">
        <f>SUM(I9:I18)</f>
        <v>0</v>
      </c>
      <c r="J19" s="38">
        <f>SUM(J9:J18)</f>
        <v>1151623.77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162954.15</v>
      </c>
      <c r="G22" s="18">
        <v>-55790.62</v>
      </c>
      <c r="H22" s="18">
        <v>-161097.5</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355736.41</v>
      </c>
      <c r="G24" s="18">
        <v>74869.06</v>
      </c>
      <c r="H24" s="18">
        <v>0</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53189.25</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-469.22</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11602.1</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6000</v>
      </c>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577410.59</v>
      </c>
      <c r="G32" s="38">
        <f>SUM(G22:G31)</f>
        <v>30680.539999999994</v>
      </c>
      <c r="H32" s="38">
        <f>SUM(H22:H31)</f>
        <v>-161097.5</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375000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650000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f>116794.36-100267.43</f>
        <v>16526.930000000008</v>
      </c>
      <c r="H48" s="18">
        <v>130899.89</v>
      </c>
      <c r="I48" s="18"/>
      <c r="J48" s="13">
        <f>SUM(I460)</f>
        <v>1151623.77</v>
      </c>
      <c r="K48" s="23" t="s">
        <v>288</v>
      </c>
      <c r="L48" s="23" t="s">
        <v>288</v>
      </c>
      <c r="M48" s="8"/>
      <c r="N48" s="164"/>
    </row>
    <row r="49" spans="1:14" s="3" customFormat="1" ht="12.2" customHeight="1" x14ac:dyDescent="0.15">
      <c r="A49" s="1" t="s">
        <v>855</v>
      </c>
      <c r="B49" s="2" t="s">
        <v>289</v>
      </c>
      <c r="C49" s="6">
        <v>34</v>
      </c>
      <c r="D49" s="2"/>
      <c r="E49" s="6">
        <v>753</v>
      </c>
      <c r="F49" s="18">
        <v>150517</v>
      </c>
      <c r="G49" s="18"/>
      <c r="H49" s="18">
        <f>306321.61-321.14</f>
        <v>306000.46999999997</v>
      </c>
      <c r="I49" s="18"/>
      <c r="J49" s="13">
        <f>I455</f>
        <v>0</v>
      </c>
      <c r="K49" s="23"/>
      <c r="L49" s="23"/>
      <c r="M49" s="8"/>
      <c r="N49" s="164"/>
    </row>
    <row r="50" spans="1:14" s="3" customFormat="1" ht="12.2" customHeight="1" thickBot="1" x14ac:dyDescent="0.2">
      <c r="A50" s="28" t="s">
        <v>836</v>
      </c>
      <c r="B50" s="2" t="s">
        <v>289</v>
      </c>
      <c r="C50" s="56">
        <v>35</v>
      </c>
      <c r="D50" s="2" t="s">
        <v>653</v>
      </c>
      <c r="E50" s="6">
        <v>770</v>
      </c>
      <c r="F50" s="18">
        <f>767854.11+30927.69</f>
        <v>798781.79999999993</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1974298.7999999998</v>
      </c>
      <c r="G51" s="38">
        <f>SUM(G35:G50)</f>
        <v>16526.930000000008</v>
      </c>
      <c r="H51" s="38">
        <f>SUM(H35:H50)</f>
        <v>436900.36</v>
      </c>
      <c r="I51" s="38">
        <f>SUM(I35:I50)</f>
        <v>0</v>
      </c>
      <c r="J51" s="38">
        <f>SUM(J35:J50)</f>
        <v>1151623.77</v>
      </c>
      <c r="K51" s="42" t="s">
        <v>288</v>
      </c>
      <c r="L51" s="42" t="s">
        <v>288</v>
      </c>
      <c r="N51" s="130"/>
    </row>
    <row r="52" spans="1:14" s="3" customFormat="1" ht="12.2" customHeight="1" thickTop="1" x14ac:dyDescent="0.15">
      <c r="A52" s="35" t="s">
        <v>455</v>
      </c>
      <c r="B52" s="36" t="s">
        <v>289</v>
      </c>
      <c r="C52" s="6">
        <v>37</v>
      </c>
      <c r="D52" s="36" t="s">
        <v>653</v>
      </c>
      <c r="E52" s="36"/>
      <c r="F52" s="38">
        <f>F51+F32</f>
        <v>2551709.3899999997</v>
      </c>
      <c r="G52" s="38">
        <f>G51+G32</f>
        <v>47207.47</v>
      </c>
      <c r="H52" s="38">
        <f>H51+H32</f>
        <v>275802.86</v>
      </c>
      <c r="I52" s="38">
        <f>I51+I32</f>
        <v>0</v>
      </c>
      <c r="J52" s="38">
        <f>J51+J32</f>
        <v>1151623.77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20595996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20595996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9275.2800000000007</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v>80289.72</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9275.2800000000007</v>
      </c>
      <c r="G79" s="42" t="s">
        <v>288</v>
      </c>
      <c r="H79" s="38">
        <f>SUM(H63:H78)</f>
        <v>80289.72</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2342.36</v>
      </c>
      <c r="G96" s="18"/>
      <c r="H96" s="18"/>
      <c r="I96" s="18"/>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f>216534.89+29708.6+9132.75+3621.35</f>
        <v>258997.59000000003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v>146973.94</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169351.36</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30504.720000000001</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32847.08</v>
      </c>
      <c r="G111" s="38">
        <f>SUM(G96:G110)</f>
        <v>258997.59000000003</v>
      </c>
      <c r="H111" s="38">
        <f>SUM(H96:H110)</f>
        <v>316325.3</v>
      </c>
      <c r="I111" s="38">
        <f>SUM(I96:I110)</f>
        <v>0</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20638118.359999999</v>
      </c>
      <c r="G112" s="38">
        <f>G60+G111</f>
        <v>258997.59000000003</v>
      </c>
      <c r="H112" s="38">
        <f>H60+H79+H94+H111</f>
        <v>396615.02</v>
      </c>
      <c r="I112" s="38">
        <f>I60+I111</f>
        <v>0</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5202159.25</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2223561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5285.22</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7431005.4699999997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634470.62</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151913.56</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21783</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6206.73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808167.17999999993</v>
      </c>
      <c r="G136" s="38">
        <f>SUM(G123:G135)</f>
        <v>6206.73</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8239172.6499999994</v>
      </c>
      <c r="G140" s="38">
        <f>G121+SUM(G136:G137)</f>
        <v>6206.73</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146488.17+145651.78</f>
        <v>292139.95</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2481.88+190+57334.63+37800+47512.72+15941.95+22242.13+11837.3+21600</f>
        <v>216940.61</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212444.02+50769.73+37749.49</f>
        <v>300963.24</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2589.99+7816.13+25309.8+331480.32</f>
        <v>367196.24</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71573.81</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4631.35+1997.78+29383.87+10000</f>
        <v>46013</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107908.93+32804.5</f>
        <v>140713.43</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71573.81</v>
      </c>
      <c r="G163" s="38">
        <f>SUM(G150:G162)</f>
        <v>300963.24</v>
      </c>
      <c r="H163" s="38">
        <f>SUM(H150:H162)</f>
        <v>1063003.23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2589.79</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74163.599999999991</v>
      </c>
      <c r="G170" s="38">
        <f>G147+G163+SUM(G164:G169)</f>
        <v>300963.24</v>
      </c>
      <c r="H170" s="38">
        <f>H147+H163+SUM(H164:H169)</f>
        <v>1063003.23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280000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280000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197818.7</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197818.7</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197818.7</v>
      </c>
      <c r="G193" s="38">
        <f>G184+SUM(G189:G192)</f>
        <v>0</v>
      </c>
      <c r="H193" s="38">
        <f>+H184+SUM(H189:H192)</f>
        <v>0</v>
      </c>
      <c r="I193" s="38">
        <f>I178+I184+SUM(I189:I192)</f>
        <v>0</v>
      </c>
      <c r="J193" s="38">
        <f>J184</f>
        <v>280000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29149273.309999999</v>
      </c>
      <c r="G194" s="38">
        <f>G112+G140+G170+G193</f>
        <v>566167.56000000006</v>
      </c>
      <c r="H194" s="38">
        <f>H112+H140+H170+H193</f>
        <v>1459618.25</v>
      </c>
      <c r="I194" s="38">
        <f>I112+I140+I170+I193</f>
        <v>0</v>
      </c>
      <c r="J194" s="38">
        <f>J112+J140+J193</f>
        <v>280000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122649.79+3761928.2</f>
        <v>3884577.99</v>
      </c>
      <c r="G198" s="18">
        <f>2101197.68+53432.33</f>
        <v>2154630.0100000002</v>
      </c>
      <c r="H198" s="18">
        <f>5613.84+61844.12+2435+6879.3</f>
        <v>76772.260000000009</v>
      </c>
      <c r="I198" s="18">
        <f>176.93+60875.26+58713.15+73015.09</f>
        <v>192780.43</v>
      </c>
      <c r="J198" s="18">
        <f>99029.46+9601.51+9477.02+11066.2</f>
        <v>129174.19</v>
      </c>
      <c r="K198" s="18">
        <f>206.5+1685.5</f>
        <v>1892</v>
      </c>
      <c r="L198" s="13">
        <f>SUM(F198:K198)</f>
        <v>6439826.8799999999</v>
      </c>
      <c r="M198" s="8"/>
      <c r="N198" s="164"/>
    </row>
    <row r="199" spans="1:14" s="3" customFormat="1" ht="12.2" customHeight="1" x14ac:dyDescent="0.15">
      <c r="A199" s="1" t="s">
        <v>439</v>
      </c>
      <c r="B199" s="2" t="s">
        <v>341</v>
      </c>
      <c r="C199" s="2" t="s">
        <v>291</v>
      </c>
      <c r="D199" s="2" t="s">
        <v>431</v>
      </c>
      <c r="E199" s="6">
        <v>1200</v>
      </c>
      <c r="F199" s="18">
        <f>429843.52+1592058.72</f>
        <v>2021902.24</v>
      </c>
      <c r="G199" s="18">
        <f>1127028.55+183526.36</f>
        <v>1310554.9100000001</v>
      </c>
      <c r="H199" s="18">
        <f>928908.82</f>
        <v>928908.82</v>
      </c>
      <c r="I199" s="18">
        <f>5591.14+29.97+155.81</f>
        <v>5776.920000000001</v>
      </c>
      <c r="J199" s="18"/>
      <c r="K199" s="18"/>
      <c r="L199" s="13">
        <f>SUM(F199:K199)</f>
        <v>4267142.8900000006</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32969</v>
      </c>
      <c r="G201" s="18">
        <v>5537.06</v>
      </c>
      <c r="H201" s="18">
        <f>26497.5+11281.39</f>
        <v>37778.89</v>
      </c>
      <c r="I201" s="18">
        <v>1824.49</v>
      </c>
      <c r="J201" s="18">
        <v>10777.54</v>
      </c>
      <c r="K201" s="18">
        <v>1093</v>
      </c>
      <c r="L201" s="13">
        <f>SUM(F201:K201)</f>
        <v>89979.98000000001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143136+3528.76+136964+186936.8</f>
        <v>470565.56</v>
      </c>
      <c r="G203" s="18">
        <f>269.94+119062.67+101467.52+51315.86</f>
        <v>272115.99</v>
      </c>
      <c r="H203" s="18">
        <f>1155+449192.15</f>
        <v>450347.15</v>
      </c>
      <c r="I203" s="18">
        <f>1457.09+1754.6+1471.14</f>
        <v>4682.83</v>
      </c>
      <c r="J203" s="18"/>
      <c r="K203" s="18">
        <v>8803.94</v>
      </c>
      <c r="L203" s="13">
        <f t="shared" ref="L203:L209" si="0">SUM(F203:K203)</f>
        <v>1206515.4700000002</v>
      </c>
      <c r="M203" s="8"/>
      <c r="N203" s="164"/>
    </row>
    <row r="204" spans="1:14" s="3" customFormat="1" ht="12.2" customHeight="1" x14ac:dyDescent="0.15">
      <c r="A204" s="1" t="s">
        <v>443</v>
      </c>
      <c r="B204" s="2" t="s">
        <v>341</v>
      </c>
      <c r="C204" s="2" t="s">
        <v>295</v>
      </c>
      <c r="D204" s="2" t="s">
        <v>431</v>
      </c>
      <c r="E204" s="6">
        <v>2200</v>
      </c>
      <c r="F204" s="18">
        <f>75817+73484+82467</f>
        <v>231768</v>
      </c>
      <c r="G204" s="18">
        <f>52708.99+40940.2+54433.64</f>
        <v>148082.83000000002</v>
      </c>
      <c r="H204" s="18">
        <v>22660.75</v>
      </c>
      <c r="I204" s="18">
        <f>6413.31+6069.59+9502.4</f>
        <v>21985.300000000003</v>
      </c>
      <c r="J204" s="18"/>
      <c r="K204" s="18"/>
      <c r="L204" s="13">
        <f t="shared" si="0"/>
        <v>424496.88</v>
      </c>
      <c r="M204" s="8"/>
      <c r="N204" s="164"/>
    </row>
    <row r="205" spans="1:14" s="3" customFormat="1" ht="12.2" customHeight="1" x14ac:dyDescent="0.15">
      <c r="A205" s="1" t="s">
        <v>444</v>
      </c>
      <c r="B205" s="2" t="s">
        <v>341</v>
      </c>
      <c r="C205" s="2" t="s">
        <v>296</v>
      </c>
      <c r="D205" s="2" t="s">
        <v>431</v>
      </c>
      <c r="E205" s="6">
        <v>2300</v>
      </c>
      <c r="F205" s="18">
        <v>605722.62</v>
      </c>
      <c r="G205" s="18">
        <v>271745.78000000003</v>
      </c>
      <c r="H205" s="18">
        <f>231136.32</f>
        <v>231136.32</v>
      </c>
      <c r="I205" s="18">
        <f>87970</f>
        <v>87970</v>
      </c>
      <c r="J205" s="18">
        <v>576.19000000000005</v>
      </c>
      <c r="K205" s="18">
        <v>64581.88</v>
      </c>
      <c r="L205" s="13">
        <f t="shared" si="0"/>
        <v>1261732.7899999998</v>
      </c>
      <c r="M205" s="8"/>
      <c r="N205" s="164"/>
    </row>
    <row r="206" spans="1:14" s="3" customFormat="1" ht="12.2" customHeight="1" x14ac:dyDescent="0.15">
      <c r="A206" s="1" t="s">
        <v>445</v>
      </c>
      <c r="B206" s="2" t="s">
        <v>341</v>
      </c>
      <c r="C206" s="2" t="s">
        <v>297</v>
      </c>
      <c r="D206" s="2" t="s">
        <v>431</v>
      </c>
      <c r="E206" s="6">
        <v>2400</v>
      </c>
      <c r="F206" s="18">
        <f>145726+151094+312693.64</f>
        <v>609513.64</v>
      </c>
      <c r="G206" s="18">
        <f>79713.31+90748.72+209535.8</f>
        <v>379997.82999999996</v>
      </c>
      <c r="H206" s="18">
        <f>9513.94+12501.55+15760.84</f>
        <v>37776.33</v>
      </c>
      <c r="I206" s="18">
        <f>991.11+874.05+888.62</f>
        <v>2753.7799999999997</v>
      </c>
      <c r="J206" s="18">
        <v>965.1</v>
      </c>
      <c r="K206" s="18">
        <f>779+560+735</f>
        <v>2074</v>
      </c>
      <c r="L206" s="13">
        <f t="shared" si="0"/>
        <v>1033080.6799999999</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f>120566.35+76132.61+126714.6+129358.21</f>
        <v>452771.77000000008</v>
      </c>
      <c r="G208" s="18">
        <f>32676.21+16124.63+74801.89+89673.22</f>
        <v>213275.95</v>
      </c>
      <c r="H208" s="18">
        <f>43417.49+82800.56+102027.72+171836.78+4269.91</f>
        <v>404352.45999999996</v>
      </c>
      <c r="I208" s="18">
        <f>69929.88+68704.23+92608.58+11950.22+8040-34539.22</f>
        <v>216693.69</v>
      </c>
      <c r="J208" s="18">
        <f>33500+5336.95+26987.38+9530.8</f>
        <v>75355.13</v>
      </c>
      <c r="K208" s="18">
        <f>12644.8</f>
        <v>12644.8</v>
      </c>
      <c r="L208" s="13">
        <f t="shared" si="0"/>
        <v>1375093.8</v>
      </c>
      <c r="M208" s="8"/>
      <c r="N208" s="164"/>
    </row>
    <row r="209" spans="1:14" s="3" customFormat="1" ht="12.2" customHeight="1" x14ac:dyDescent="0.15">
      <c r="A209" s="1" t="s">
        <v>448</v>
      </c>
      <c r="B209" s="2" t="s">
        <v>341</v>
      </c>
      <c r="C209" s="2" t="s">
        <v>300</v>
      </c>
      <c r="D209" s="2" t="s">
        <v>431</v>
      </c>
      <c r="E209" s="6">
        <v>2700</v>
      </c>
      <c r="F209" s="18"/>
      <c r="G209" s="18"/>
      <c r="H209" s="18">
        <v>1123503.1100000001</v>
      </c>
      <c r="I209" s="18"/>
      <c r="J209" s="18"/>
      <c r="K209" s="18"/>
      <c r="L209" s="13">
        <f t="shared" si="0"/>
        <v>1123503.1100000001</v>
      </c>
      <c r="M209" s="8"/>
      <c r="N209" s="164"/>
    </row>
    <row r="210" spans="1:14" s="3" customFormat="1" ht="12.2" customHeight="1" x14ac:dyDescent="0.15">
      <c r="A210" s="1" t="s">
        <v>449</v>
      </c>
      <c r="B210" s="2" t="s">
        <v>341</v>
      </c>
      <c r="C210" s="2" t="s">
        <v>343</v>
      </c>
      <c r="D210" s="2" t="s">
        <v>431</v>
      </c>
      <c r="E210" s="6">
        <v>2800</v>
      </c>
      <c r="F210" s="18"/>
      <c r="G210" s="18"/>
      <c r="H210" s="18">
        <f>2640.97+65882.45</f>
        <v>68523.42</v>
      </c>
      <c r="I210" s="18"/>
      <c r="J210" s="18"/>
      <c r="K210" s="18"/>
      <c r="L210" s="13">
        <f>SUM(F210:K210)</f>
        <v>68523.42</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8309790.8200000003</v>
      </c>
      <c r="G212" s="38">
        <f t="shared" si="1"/>
        <v>4755940.3600000013</v>
      </c>
      <c r="H212" s="38">
        <f t="shared" si="1"/>
        <v>3381759.5100000007</v>
      </c>
      <c r="I212" s="38">
        <f t="shared" si="1"/>
        <v>534467.43999999994</v>
      </c>
      <c r="J212" s="38">
        <f t="shared" si="1"/>
        <v>216848.15000000002</v>
      </c>
      <c r="K212" s="38">
        <f t="shared" si="1"/>
        <v>91089.62</v>
      </c>
      <c r="L212" s="38">
        <f t="shared" si="1"/>
        <v>17289895.900000002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3">
        <f>SUM(F216:K216)</f>
        <v>0</v>
      </c>
      <c r="M216" s="8"/>
      <c r="N216" s="164"/>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3">
        <f>SUM(F217:K217)</f>
        <v>0</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4"/>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3">
        <f t="shared" si="2"/>
        <v>0</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1778248.39+60409.6</f>
        <v>1838657.99</v>
      </c>
      <c r="G234" s="18">
        <f>1025804.68+26317.41</f>
        <v>1052122.0900000001</v>
      </c>
      <c r="H234" s="18">
        <f>68429.73+30460.54</f>
        <v>98890.26999999999</v>
      </c>
      <c r="I234" s="18">
        <f>87307.69+87.14</f>
        <v>87394.83</v>
      </c>
      <c r="J234" s="18">
        <f>48150.95+48775.7+727.2</f>
        <v>97653.849999999991</v>
      </c>
      <c r="K234" s="18">
        <v>4789.09</v>
      </c>
      <c r="L234" s="13">
        <f>SUM(F234:K234)</f>
        <v>3179508.12</v>
      </c>
      <c r="M234" s="8"/>
      <c r="N234" s="164"/>
    </row>
    <row r="235" spans="1:14" s="3" customFormat="1" ht="12.2" customHeight="1" x14ac:dyDescent="0.15">
      <c r="A235" s="1" t="s">
        <v>439</v>
      </c>
      <c r="B235" s="2" t="s">
        <v>350</v>
      </c>
      <c r="C235" s="2" t="s">
        <v>291</v>
      </c>
      <c r="D235" s="2" t="s">
        <v>431</v>
      </c>
      <c r="E235" s="6">
        <v>1200</v>
      </c>
      <c r="F235" s="18">
        <f>358994.6+211713.97</f>
        <v>570708.56999999995</v>
      </c>
      <c r="G235" s="18">
        <f>291193.9+90393.58</f>
        <v>381587.48000000004</v>
      </c>
      <c r="H235" s="18">
        <f>457522.25+1163528.31</f>
        <v>1621050.56</v>
      </c>
      <c r="I235" s="18">
        <v>2753.85</v>
      </c>
      <c r="J235" s="18"/>
      <c r="K235" s="18"/>
      <c r="L235" s="13">
        <f>SUM(F235:K235)</f>
        <v>2576100.4600000004</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v>119568.5</v>
      </c>
      <c r="G237" s="18">
        <f>57134.25</f>
        <v>57134.25</v>
      </c>
      <c r="H237" s="18">
        <f>111375.62+5556.51</f>
        <v>116932.12999999999</v>
      </c>
      <c r="I237" s="18">
        <v>20999.9</v>
      </c>
      <c r="J237" s="18">
        <f>59438.1</f>
        <v>59438.1</v>
      </c>
      <c r="K237" s="18">
        <v>11933.44</v>
      </c>
      <c r="L237" s="13">
        <f>SUM(F237:K237)</f>
        <v>386006.32</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261891.7+1738.04</f>
        <v>263629.74</v>
      </c>
      <c r="G239" s="18">
        <f>135445.44+132.95</f>
        <v>135578.39000000001</v>
      </c>
      <c r="H239" s="18">
        <f>8071.91+232405.16</f>
        <v>240477.07</v>
      </c>
      <c r="I239" s="18">
        <v>7979.57</v>
      </c>
      <c r="J239" s="18">
        <v>379.68</v>
      </c>
      <c r="K239" s="18">
        <f>445+4336.27</f>
        <v>4781.2700000000004</v>
      </c>
      <c r="L239" s="13">
        <f t="shared" ref="L239:L245" si="4">SUM(F239:K239)</f>
        <v>652825.72</v>
      </c>
      <c r="M239" s="8"/>
      <c r="N239" s="164"/>
    </row>
    <row r="240" spans="1:14" s="3" customFormat="1" ht="12.2" customHeight="1" x14ac:dyDescent="0.15">
      <c r="A240" s="1" t="s">
        <v>443</v>
      </c>
      <c r="B240" s="2" t="s">
        <v>350</v>
      </c>
      <c r="C240" s="2" t="s">
        <v>295</v>
      </c>
      <c r="D240" s="2" t="s">
        <v>431</v>
      </c>
      <c r="E240" s="6">
        <v>2200</v>
      </c>
      <c r="F240" s="18">
        <f>69489.91</f>
        <v>69489.91</v>
      </c>
      <c r="G240" s="18">
        <f>58261.54</f>
        <v>58261.54</v>
      </c>
      <c r="H240" s="18"/>
      <c r="I240" s="18">
        <v>18113.22</v>
      </c>
      <c r="J240" s="18"/>
      <c r="K240" s="18"/>
      <c r="L240" s="13">
        <f t="shared" si="4"/>
        <v>145864.67000000001</v>
      </c>
      <c r="M240" s="8"/>
      <c r="N240" s="164"/>
    </row>
    <row r="241" spans="1:14" s="3" customFormat="1" ht="12.2" customHeight="1" x14ac:dyDescent="0.15">
      <c r="A241" s="1" t="s">
        <v>444</v>
      </c>
      <c r="B241" s="2" t="s">
        <v>350</v>
      </c>
      <c r="C241" s="2" t="s">
        <v>296</v>
      </c>
      <c r="D241" s="2" t="s">
        <v>431</v>
      </c>
      <c r="E241" s="6">
        <v>2300</v>
      </c>
      <c r="F241" s="18">
        <v>298340.99</v>
      </c>
      <c r="G241" s="18">
        <v>133844.94</v>
      </c>
      <c r="H241" s="18">
        <v>133544.76</v>
      </c>
      <c r="I241" s="18">
        <v>43328.43</v>
      </c>
      <c r="J241" s="18">
        <v>283.79000000000002</v>
      </c>
      <c r="K241" s="18">
        <v>31808.99</v>
      </c>
      <c r="L241" s="13">
        <f t="shared" si="4"/>
        <v>641151.9</v>
      </c>
      <c r="M241" s="8"/>
      <c r="N241" s="164"/>
    </row>
    <row r="242" spans="1:14" s="3" customFormat="1" ht="12.2" customHeight="1" x14ac:dyDescent="0.15">
      <c r="A242" s="1" t="s">
        <v>445</v>
      </c>
      <c r="B242" s="2" t="s">
        <v>350</v>
      </c>
      <c r="C242" s="2" t="s">
        <v>297</v>
      </c>
      <c r="D242" s="2" t="s">
        <v>431</v>
      </c>
      <c r="E242" s="6">
        <v>2400</v>
      </c>
      <c r="F242" s="18">
        <v>325736.06</v>
      </c>
      <c r="G242" s="18">
        <f>223515.42</f>
        <v>223515.42</v>
      </c>
      <c r="H242" s="18">
        <v>23602.57</v>
      </c>
      <c r="I242" s="18">
        <v>2372.9299999999998</v>
      </c>
      <c r="J242" s="18"/>
      <c r="K242" s="18">
        <v>5122.95</v>
      </c>
      <c r="L242" s="13">
        <f t="shared" si="4"/>
        <v>580349.92999999993</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f>265569.06+59383.43</f>
        <v>324952.49</v>
      </c>
      <c r="G244" s="18">
        <f>137159.84+16094.25</f>
        <v>153254.09</v>
      </c>
      <c r="H244" s="18">
        <f>204509.05+21384.74+2103.09+2103.63</f>
        <v>230100.50999999998</v>
      </c>
      <c r="I244" s="18">
        <f>175480.03+5885.93+3960+3960</f>
        <v>189285.96</v>
      </c>
      <c r="J244" s="18">
        <f>17143.81+16500+4694.27+4697.27</f>
        <v>43035.350000000006</v>
      </c>
      <c r="K244" s="18"/>
      <c r="L244" s="13">
        <f t="shared" si="4"/>
        <v>940628.39999999991</v>
      </c>
      <c r="M244" s="8"/>
      <c r="N244" s="164"/>
    </row>
    <row r="245" spans="1:14" s="3" customFormat="1" ht="12.2" customHeight="1" x14ac:dyDescent="0.15">
      <c r="A245" s="1" t="s">
        <v>448</v>
      </c>
      <c r="B245" s="2" t="s">
        <v>350</v>
      </c>
      <c r="C245" s="2" t="s">
        <v>300</v>
      </c>
      <c r="D245" s="2" t="s">
        <v>431</v>
      </c>
      <c r="E245" s="6">
        <v>2700</v>
      </c>
      <c r="F245" s="18"/>
      <c r="G245" s="18"/>
      <c r="H245" s="18">
        <v>696297.46</v>
      </c>
      <c r="I245" s="18"/>
      <c r="J245" s="18"/>
      <c r="K245" s="18"/>
      <c r="L245" s="13">
        <f t="shared" si="4"/>
        <v>696297.46</v>
      </c>
      <c r="M245" s="8"/>
      <c r="N245" s="164"/>
    </row>
    <row r="246" spans="1:14" s="3" customFormat="1" ht="12.2" customHeight="1" x14ac:dyDescent="0.15">
      <c r="A246" s="1" t="s">
        <v>449</v>
      </c>
      <c r="B246" s="2" t="s">
        <v>350</v>
      </c>
      <c r="C246" s="2" t="s">
        <v>343</v>
      </c>
      <c r="D246" s="2" t="s">
        <v>431</v>
      </c>
      <c r="E246" s="6">
        <v>2800</v>
      </c>
      <c r="F246" s="18"/>
      <c r="G246" s="18">
        <f>1300.78+32449.56</f>
        <v>33750.340000000004</v>
      </c>
      <c r="H246" s="4"/>
      <c r="I246" s="18"/>
      <c r="J246" s="18"/>
      <c r="K246" s="18"/>
      <c r="L246" s="13">
        <f>SUM(F246:K246)</f>
        <v>33750.340000000004</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3811084.25</v>
      </c>
      <c r="G248" s="38">
        <f t="shared" si="5"/>
        <v>2229048.5399999996</v>
      </c>
      <c r="H248" s="38">
        <f t="shared" si="5"/>
        <v>3160895.3299999996</v>
      </c>
      <c r="I248" s="38">
        <f t="shared" si="5"/>
        <v>372228.69</v>
      </c>
      <c r="J248" s="38">
        <f t="shared" si="5"/>
        <v>200790.77</v>
      </c>
      <c r="K248" s="38">
        <f t="shared" si="5"/>
        <v>58435.74</v>
      </c>
      <c r="L248" s="38">
        <f t="shared" si="5"/>
        <v>9832483.3200000003</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f>24000</f>
        <v>24000</v>
      </c>
      <c r="I256" s="18">
        <v>0</v>
      </c>
      <c r="J256" s="18">
        <v>50940</v>
      </c>
      <c r="K256" s="18">
        <v>0</v>
      </c>
      <c r="L256" s="13">
        <f t="shared" si="6"/>
        <v>74940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24000</v>
      </c>
      <c r="I257" s="38">
        <f t="shared" si="7"/>
        <v>0</v>
      </c>
      <c r="J257" s="38">
        <f t="shared" si="7"/>
        <v>50940</v>
      </c>
      <c r="K257" s="38">
        <f t="shared" si="7"/>
        <v>0</v>
      </c>
      <c r="L257" s="38">
        <f>SUM(F257:K257)</f>
        <v>74940</v>
      </c>
      <c r="M257" s="8"/>
      <c r="N257" s="164"/>
    </row>
    <row r="258" spans="1:14" s="3" customFormat="1" ht="12.2" customHeight="1" thickTop="1" x14ac:dyDescent="0.15">
      <c r="A258" s="35" t="s">
        <v>462</v>
      </c>
      <c r="B258" s="37">
        <v>10</v>
      </c>
      <c r="C258" s="37">
        <v>8</v>
      </c>
      <c r="D258" s="36" t="s">
        <v>431</v>
      </c>
      <c r="E258" s="37"/>
      <c r="F258" s="38">
        <f t="shared" ref="F258:L258" si="8">F212+F230+F248+F257</f>
        <v>12120875.07</v>
      </c>
      <c r="G258" s="38">
        <f t="shared" si="8"/>
        <v>6984988.9000000004</v>
      </c>
      <c r="H258" s="38">
        <f t="shared" si="8"/>
        <v>6566654.8399999999</v>
      </c>
      <c r="I258" s="38">
        <f t="shared" si="8"/>
        <v>906696.12999999989</v>
      </c>
      <c r="J258" s="38">
        <f t="shared" si="8"/>
        <v>468578.92000000004</v>
      </c>
      <c r="K258" s="38">
        <f t="shared" si="8"/>
        <v>149525.35999999999</v>
      </c>
      <c r="L258" s="38">
        <f t="shared" si="8"/>
        <v>27197319.220000003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f>700179.21+159921.99</f>
        <v>860101.2</v>
      </c>
      <c r="L261" s="13">
        <f>SUM(F261:K261)</f>
        <v>860101.2</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658275.39+24983.01</f>
        <v>683258.4</v>
      </c>
      <c r="L262" s="13">
        <f>SUM(F262:K262)</f>
        <v>683258.4</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280000</v>
      </c>
      <c r="L267" s="13">
        <f t="shared" si="9"/>
        <v>280000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52500</v>
      </c>
      <c r="L269" s="13">
        <f t="shared" si="9"/>
        <v>52500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1875859.6</v>
      </c>
      <c r="L271" s="38">
        <f t="shared" si="9"/>
        <v>1875859.6</v>
      </c>
      <c r="M271" s="8"/>
      <c r="N271" s="164"/>
    </row>
    <row r="272" spans="1:14" s="33" customFormat="1" ht="12.2" customHeight="1" thickTop="1" x14ac:dyDescent="0.2">
      <c r="A272" s="40" t="s">
        <v>464</v>
      </c>
      <c r="B272" s="37">
        <v>10</v>
      </c>
      <c r="C272" s="37">
        <v>18</v>
      </c>
      <c r="D272" s="36" t="s">
        <v>431</v>
      </c>
      <c r="E272" s="37"/>
      <c r="F272" s="39">
        <f t="shared" ref="F272:L272" si="11">F258+F271</f>
        <v>12120875.07</v>
      </c>
      <c r="G272" s="39">
        <f t="shared" si="11"/>
        <v>6984988.9000000004</v>
      </c>
      <c r="H272" s="39">
        <f t="shared" si="11"/>
        <v>6566654.8399999999</v>
      </c>
      <c r="I272" s="39">
        <f t="shared" si="11"/>
        <v>906696.12999999989</v>
      </c>
      <c r="J272" s="39">
        <f t="shared" si="11"/>
        <v>468578.92000000004</v>
      </c>
      <c r="K272" s="39">
        <f t="shared" si="11"/>
        <v>2025384.96</v>
      </c>
      <c r="L272" s="39">
        <f t="shared" si="11"/>
        <v>29073178.820000004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29998.7+3177+611.98</f>
        <v>33787.68</v>
      </c>
      <c r="G277" s="18">
        <f>21309.93+858.48+166.76</f>
        <v>22335.17</v>
      </c>
      <c r="H277" s="18">
        <f>2763.75+2345+2132.61</f>
        <v>7241.3600000000006</v>
      </c>
      <c r="I277" s="18">
        <f>26285.44+27615.13</f>
        <v>53900.57</v>
      </c>
      <c r="J277" s="18">
        <f>6659.8+27509.5+2639.63</f>
        <v>36808.93</v>
      </c>
      <c r="K277" s="18"/>
      <c r="L277" s="13">
        <f>SUM(F277:K277)</f>
        <v>154073.71</v>
      </c>
      <c r="M277" s="8"/>
      <c r="N277" s="164"/>
    </row>
    <row r="278" spans="1:14" s="3" customFormat="1" ht="12.2" customHeight="1" x14ac:dyDescent="0.15">
      <c r="A278" s="1" t="s">
        <v>439</v>
      </c>
      <c r="B278" s="2" t="s">
        <v>357</v>
      </c>
      <c r="C278" s="2" t="s">
        <v>291</v>
      </c>
      <c r="D278" s="2" t="s">
        <v>431</v>
      </c>
      <c r="E278" s="6">
        <v>1200</v>
      </c>
      <c r="F278" s="18">
        <f>64286.47</f>
        <v>64286.47</v>
      </c>
      <c r="G278" s="18">
        <f>32322.11</f>
        <v>32322.11</v>
      </c>
      <c r="H278" s="18">
        <f>178843.81</f>
        <v>178843.81</v>
      </c>
      <c r="I278" s="18">
        <f>12263.35</f>
        <v>12263.35</v>
      </c>
      <c r="J278" s="18">
        <v>8003.77</v>
      </c>
      <c r="K278" s="18"/>
      <c r="L278" s="13">
        <f>SUM(F278:K278)</f>
        <v>295719.51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335</v>
      </c>
      <c r="G280" s="18">
        <v>90.4</v>
      </c>
      <c r="H280" s="18">
        <f>5253.72+562.74+7678.99</f>
        <v>13495.45</v>
      </c>
      <c r="I280" s="18">
        <v>913.11</v>
      </c>
      <c r="J280" s="18">
        <v>2462.25</v>
      </c>
      <c r="K280" s="18"/>
      <c r="L280" s="13">
        <f>SUM(F280:K280)</f>
        <v>17296.21</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f>8375+70155</f>
        <v>78530</v>
      </c>
      <c r="G282" s="18">
        <f>2255.68+5366.86</f>
        <v>7622.5399999999991</v>
      </c>
      <c r="H282" s="18">
        <v>3824.45</v>
      </c>
      <c r="I282" s="18">
        <v>3984.46</v>
      </c>
      <c r="J282" s="18">
        <v>4323.24</v>
      </c>
      <c r="K282" s="18">
        <v>11918.64</v>
      </c>
      <c r="L282" s="13">
        <f t="shared" ref="L282:L288" si="12">SUM(F282:K282)</f>
        <v>110203.33</v>
      </c>
      <c r="M282" s="8"/>
      <c r="N282" s="164"/>
    </row>
    <row r="283" spans="1:14" s="3" customFormat="1" ht="12.2" customHeight="1" x14ac:dyDescent="0.15">
      <c r="A283" s="1" t="s">
        <v>443</v>
      </c>
      <c r="B283" s="2" t="s">
        <v>357</v>
      </c>
      <c r="C283" s="2" t="s">
        <v>295</v>
      </c>
      <c r="D283" s="2" t="s">
        <v>431</v>
      </c>
      <c r="E283" s="6">
        <v>2200</v>
      </c>
      <c r="F283" s="18">
        <v>30847</v>
      </c>
      <c r="G283" s="18">
        <v>8277.52</v>
      </c>
      <c r="H283" s="18">
        <f>170340.51+6800</f>
        <v>177140.51</v>
      </c>
      <c r="I283" s="18">
        <f>27063.87+1875.85</f>
        <v>28939.719999999998</v>
      </c>
      <c r="J283" s="18"/>
      <c r="K283" s="18"/>
      <c r="L283" s="13">
        <f t="shared" si="12"/>
        <v>245204.75000000003</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22390.06</v>
      </c>
      <c r="I287" s="18"/>
      <c r="J287" s="18">
        <v>29383.87</v>
      </c>
      <c r="K287" s="18"/>
      <c r="L287" s="13">
        <f t="shared" si="12"/>
        <v>51773.93</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207786.15</v>
      </c>
      <c r="G291" s="39">
        <f t="shared" si="13"/>
        <v>70647.740000000005</v>
      </c>
      <c r="H291" s="39">
        <f t="shared" si="13"/>
        <v>402935.64</v>
      </c>
      <c r="I291" s="39">
        <f t="shared" si="13"/>
        <v>100001.21</v>
      </c>
      <c r="J291" s="39">
        <f t="shared" si="13"/>
        <v>80982.06</v>
      </c>
      <c r="K291" s="39">
        <f t="shared" si="13"/>
        <v>11918.64</v>
      </c>
      <c r="L291" s="38">
        <f t="shared" si="13"/>
        <v>874271.44000000006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f>301.42+16968.95</f>
        <v>17270.37</v>
      </c>
      <c r="G315" s="18">
        <f>6336.61+82.14</f>
        <v>6418.75</v>
      </c>
      <c r="H315" s="18">
        <f>1155+117341.18+1361.25</f>
        <v>119857.43</v>
      </c>
      <c r="I315" s="18">
        <f>5932.42+12946.56</f>
        <v>18878.98</v>
      </c>
      <c r="J315" s="18">
        <f>3280+13549.45+1020</f>
        <v>17849.45</v>
      </c>
      <c r="K315" s="18"/>
      <c r="L315" s="13">
        <f>SUM(F315:K315)</f>
        <v>180274.98</v>
      </c>
      <c r="M315" s="8"/>
      <c r="N315" s="164"/>
    </row>
    <row r="316" spans="1:14" s="3" customFormat="1" ht="12.2" customHeight="1" x14ac:dyDescent="0.15">
      <c r="A316" s="1" t="s">
        <v>439</v>
      </c>
      <c r="B316" s="2" t="s">
        <v>359</v>
      </c>
      <c r="C316" s="2" t="s">
        <v>291</v>
      </c>
      <c r="D316" s="2" t="s">
        <v>431</v>
      </c>
      <c r="E316" s="6">
        <v>1200</v>
      </c>
      <c r="F316" s="18">
        <f>31663.48</f>
        <v>31663.48</v>
      </c>
      <c r="G316" s="18">
        <f>15919.85</f>
        <v>15919.85</v>
      </c>
      <c r="H316" s="18">
        <f>88087.25</f>
        <v>88087.25</v>
      </c>
      <c r="I316" s="18">
        <f>6040.16</f>
        <v>6040.16</v>
      </c>
      <c r="J316" s="18">
        <v>3942.15</v>
      </c>
      <c r="K316" s="18"/>
      <c r="L316" s="13">
        <f>SUM(F316:K316)</f>
        <v>145652.89000000001</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165</v>
      </c>
      <c r="G318" s="18">
        <v>44.53</v>
      </c>
      <c r="H318" s="18">
        <v>136029.59</v>
      </c>
      <c r="I318" s="18">
        <v>449.74</v>
      </c>
      <c r="J318" s="18">
        <f>13424+1212.75</f>
        <v>14636.75</v>
      </c>
      <c r="K318" s="18"/>
      <c r="L318" s="13">
        <f>SUM(F318:K318)</f>
        <v>151325.60999999999</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4125</v>
      </c>
      <c r="G320" s="18">
        <v>1111.01</v>
      </c>
      <c r="H320" s="18">
        <v>1883.68</v>
      </c>
      <c r="I320" s="18">
        <v>1962.5</v>
      </c>
      <c r="J320" s="18">
        <v>2129.36</v>
      </c>
      <c r="K320" s="18">
        <v>5870.38</v>
      </c>
      <c r="L320" s="13">
        <f t="shared" ref="L320:L326" si="16">SUM(F320:K320)</f>
        <v>17081.93</v>
      </c>
      <c r="M320" s="8"/>
      <c r="N320" s="164"/>
    </row>
    <row r="321" spans="1:14" s="3" customFormat="1" ht="12.2" customHeight="1" x14ac:dyDescent="0.15">
      <c r="A321" s="1" t="s">
        <v>443</v>
      </c>
      <c r="B321" s="2" t="s">
        <v>359</v>
      </c>
      <c r="C321" s="2" t="s">
        <v>295</v>
      </c>
      <c r="D321" s="2" t="s">
        <v>431</v>
      </c>
      <c r="E321" s="6">
        <v>2200</v>
      </c>
      <c r="F321" s="18">
        <v>15193.3</v>
      </c>
      <c r="G321" s="18">
        <v>4076.99</v>
      </c>
      <c r="H321" s="18">
        <v>83899.06</v>
      </c>
      <c r="I321" s="18">
        <v>13329.96</v>
      </c>
      <c r="J321" s="18"/>
      <c r="K321" s="18"/>
      <c r="L321" s="13">
        <f t="shared" si="16"/>
        <v>116499.31</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v>11027.94</v>
      </c>
      <c r="I325" s="18"/>
      <c r="J325" s="18">
        <v>10000</v>
      </c>
      <c r="K325" s="18"/>
      <c r="L325" s="13">
        <f t="shared" si="16"/>
        <v>21027.940000000002</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68417.149999999994</v>
      </c>
      <c r="G329" s="39">
        <f t="shared" si="17"/>
        <v>27571.129999999997</v>
      </c>
      <c r="H329" s="39">
        <f t="shared" si="17"/>
        <v>440784.95</v>
      </c>
      <c r="I329" s="39">
        <f t="shared" si="17"/>
        <v>40661.339999999997</v>
      </c>
      <c r="J329" s="39">
        <f t="shared" si="17"/>
        <v>48557.710000000006</v>
      </c>
      <c r="K329" s="39">
        <f t="shared" si="17"/>
        <v>5870.38</v>
      </c>
      <c r="L329" s="38">
        <f t="shared" si="17"/>
        <v>631862.65999999992</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f>9488.25-1102.37</f>
        <v>8385.880000000001</v>
      </c>
      <c r="I337" s="18">
        <v>0</v>
      </c>
      <c r="J337" s="18">
        <v>0</v>
      </c>
      <c r="K337" s="18">
        <v>0</v>
      </c>
      <c r="L337" s="13">
        <f t="shared" si="18"/>
        <v>8385.880000000001</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8385.880000000001</v>
      </c>
      <c r="I338" s="38">
        <f t="shared" si="19"/>
        <v>0</v>
      </c>
      <c r="J338" s="38">
        <f t="shared" si="19"/>
        <v>0</v>
      </c>
      <c r="K338" s="38">
        <f t="shared" si="19"/>
        <v>0</v>
      </c>
      <c r="L338" s="38">
        <f t="shared" si="18"/>
        <v>8385.880000000001</v>
      </c>
      <c r="M338" s="8"/>
      <c r="N338" s="164"/>
    </row>
    <row r="339" spans="1:43" s="3" customFormat="1" ht="12.2" customHeight="1" thickTop="1" x14ac:dyDescent="0.15">
      <c r="A339" s="35" t="s">
        <v>468</v>
      </c>
      <c r="B339" s="37">
        <v>14</v>
      </c>
      <c r="C339" s="37">
        <v>7</v>
      </c>
      <c r="D339" s="36" t="s">
        <v>431</v>
      </c>
      <c r="E339" s="37"/>
      <c r="F339" s="38">
        <f t="shared" ref="F339:L339" si="20">F291+F310+F329+F338</f>
        <v>276203.3</v>
      </c>
      <c r="G339" s="38">
        <f t="shared" si="20"/>
        <v>98218.87</v>
      </c>
      <c r="H339" s="38">
        <f t="shared" si="20"/>
        <v>852106.47000000009</v>
      </c>
      <c r="I339" s="38">
        <f t="shared" si="20"/>
        <v>140662.54999999999</v>
      </c>
      <c r="J339" s="38">
        <f t="shared" si="20"/>
        <v>129539.77</v>
      </c>
      <c r="K339" s="38">
        <f t="shared" si="20"/>
        <v>17789.02</v>
      </c>
      <c r="L339" s="38">
        <f t="shared" si="20"/>
        <v>1514519.98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276203.3</v>
      </c>
      <c r="G353" s="38">
        <f>G339</f>
        <v>98218.87</v>
      </c>
      <c r="H353" s="38">
        <f>H339</f>
        <v>852106.47000000009</v>
      </c>
      <c r="I353" s="38">
        <f>I339</f>
        <v>140662.54999999999</v>
      </c>
      <c r="J353" s="38">
        <f>J339</f>
        <v>129539.77</v>
      </c>
      <c r="K353" s="38">
        <f>K339+K352</f>
        <v>17789.02</v>
      </c>
      <c r="L353" s="38">
        <f>L339+L352</f>
        <v>1514519.98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f>403744.2+13040.68</f>
        <v>416784.88</v>
      </c>
      <c r="I359" s="18">
        <f>4978.7+4935.88+4044.55</f>
        <v>13959.130000000001</v>
      </c>
      <c r="J359" s="18"/>
      <c r="K359" s="18"/>
      <c r="L359" s="13">
        <f>SUM(F359:K359)</f>
        <v>430744.01</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f>198859.08</f>
        <v>198859.08</v>
      </c>
      <c r="I361" s="18">
        <f>2528.62+4532.54</f>
        <v>7061.16</v>
      </c>
      <c r="J361" s="18">
        <f>2149+27621.74</f>
        <v>29770.74</v>
      </c>
      <c r="K361" s="18"/>
      <c r="L361" s="13">
        <f>SUM(F361:K361)</f>
        <v>235690.97999999998</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615643.96</v>
      </c>
      <c r="I363" s="38">
        <f t="shared" si="22"/>
        <v>21020.29</v>
      </c>
      <c r="J363" s="38">
        <f t="shared" si="22"/>
        <v>29770.74</v>
      </c>
      <c r="K363" s="38">
        <f t="shared" si="22"/>
        <v>0</v>
      </c>
      <c r="L363" s="38">
        <f t="shared" si="22"/>
        <v>666434.99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13959.13</v>
      </c>
      <c r="G369" s="53"/>
      <c r="H369" s="53">
        <v>7061.16</v>
      </c>
      <c r="I369" s="13">
        <f>SUM(F369:H369)</f>
        <v>21020.29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13959.13</v>
      </c>
      <c r="G370" s="38">
        <f>SUM(G368:G369)</f>
        <v>0</v>
      </c>
      <c r="H370" s="38">
        <f>SUM(H368:H369)</f>
        <v>7061.16</v>
      </c>
      <c r="I370" s="38">
        <f>SUM(I368:I369)</f>
        <v>21020.29</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250000</v>
      </c>
      <c r="H397" s="18"/>
      <c r="I397" s="18"/>
      <c r="J397" s="23" t="s">
        <v>288</v>
      </c>
      <c r="K397" s="23" t="s">
        <v>288</v>
      </c>
      <c r="L397" s="13">
        <f t="shared" si="26"/>
        <v>250000</v>
      </c>
      <c r="M397" s="8"/>
      <c r="N397" s="164"/>
    </row>
    <row r="398" spans="1:14" s="3" customFormat="1" ht="12.2" customHeight="1" x14ac:dyDescent="0.15">
      <c r="A398" s="62" t="s">
        <v>515</v>
      </c>
      <c r="B398" s="2" t="s">
        <v>381</v>
      </c>
      <c r="C398" s="6">
        <v>10</v>
      </c>
      <c r="D398" s="2" t="s">
        <v>432</v>
      </c>
      <c r="E398" s="6"/>
      <c r="F398" s="18"/>
      <c r="G398" s="18">
        <v>25000</v>
      </c>
      <c r="H398" s="18"/>
      <c r="I398" s="18"/>
      <c r="J398" s="23" t="s">
        <v>288</v>
      </c>
      <c r="K398" s="23" t="s">
        <v>288</v>
      </c>
      <c r="L398" s="13">
        <f t="shared" si="26"/>
        <v>25000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5000</v>
      </c>
      <c r="H401" s="18"/>
      <c r="I401" s="18"/>
      <c r="J401" s="23" t="s">
        <v>288</v>
      </c>
      <c r="K401" s="23" t="s">
        <v>288</v>
      </c>
      <c r="L401" s="13">
        <f t="shared" si="26"/>
        <v>5000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280000</v>
      </c>
      <c r="H402" s="38">
        <f>SUM(H396:H401)</f>
        <v>0</v>
      </c>
      <c r="I402" s="38">
        <f>SUM(I396:I401)</f>
        <v>0</v>
      </c>
      <c r="J402" s="42" t="s">
        <v>288</v>
      </c>
      <c r="K402" s="42" t="s">
        <v>288</v>
      </c>
      <c r="L402" s="38">
        <f>SUM(L396:L401)</f>
        <v>280000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280000</v>
      </c>
      <c r="H409" s="38">
        <f>H394+H402+H408</f>
        <v>0</v>
      </c>
      <c r="I409" s="38">
        <f>I394+I402+I408</f>
        <v>0</v>
      </c>
      <c r="J409" s="23" t="s">
        <v>288</v>
      </c>
      <c r="K409" s="23" t="s">
        <v>288</v>
      </c>
      <c r="L409" s="38">
        <f>L394+L402+L408</f>
        <v>280000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203818.7</v>
      </c>
      <c r="L415" s="13">
        <f t="shared" si="27"/>
        <v>203818.7</v>
      </c>
      <c r="N415" s="164"/>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4"/>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4"/>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4"/>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203818.7</v>
      </c>
      <c r="L420" s="38">
        <f t="shared" si="28"/>
        <v>203818.7</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v>0</v>
      </c>
      <c r="G422" s="18">
        <v>0</v>
      </c>
      <c r="H422" s="18">
        <v>0</v>
      </c>
      <c r="I422" s="18">
        <v>0</v>
      </c>
      <c r="J422" s="18">
        <v>0</v>
      </c>
      <c r="K422" s="18"/>
      <c r="L422" s="13">
        <f t="shared" ref="L422:L427" si="29">SUM(F422:K422)</f>
        <v>0</v>
      </c>
      <c r="M422" s="8"/>
      <c r="N422" s="164"/>
    </row>
    <row r="423" spans="1:21" s="3" customFormat="1" ht="12.2" customHeight="1" x14ac:dyDescent="0.15">
      <c r="A423" s="62" t="s">
        <v>557</v>
      </c>
      <c r="B423" s="6">
        <v>17</v>
      </c>
      <c r="C423" s="6">
        <v>9</v>
      </c>
      <c r="D423" s="2" t="s">
        <v>432</v>
      </c>
      <c r="E423" s="6"/>
      <c r="F423" s="18">
        <v>0</v>
      </c>
      <c r="G423" s="18">
        <v>0</v>
      </c>
      <c r="H423" s="18">
        <v>0</v>
      </c>
      <c r="I423" s="18">
        <v>0</v>
      </c>
      <c r="J423" s="18">
        <v>0</v>
      </c>
      <c r="K423" s="18"/>
      <c r="L423" s="13">
        <f t="shared" si="29"/>
        <v>0</v>
      </c>
      <c r="M423" s="8"/>
      <c r="N423" s="164"/>
    </row>
    <row r="424" spans="1:21" s="3" customFormat="1" ht="12.2" customHeight="1" x14ac:dyDescent="0.15">
      <c r="A424" s="62" t="s">
        <v>515</v>
      </c>
      <c r="B424" s="6">
        <v>17</v>
      </c>
      <c r="C424" s="6">
        <v>10</v>
      </c>
      <c r="D424" s="2" t="s">
        <v>432</v>
      </c>
      <c r="E424" s="6"/>
      <c r="F424" s="18">
        <v>0</v>
      </c>
      <c r="G424" s="18">
        <v>0</v>
      </c>
      <c r="H424" s="18">
        <v>0</v>
      </c>
      <c r="I424" s="18">
        <v>0</v>
      </c>
      <c r="J424" s="18">
        <v>0</v>
      </c>
      <c r="K424" s="18"/>
      <c r="L424" s="13">
        <f t="shared" si="29"/>
        <v>0</v>
      </c>
      <c r="M424" s="8"/>
      <c r="N424" s="164"/>
    </row>
    <row r="425" spans="1:21" s="3" customFormat="1" ht="12.2" customHeight="1" x14ac:dyDescent="0.15">
      <c r="A425" s="62" t="s">
        <v>558</v>
      </c>
      <c r="B425" s="6">
        <v>17</v>
      </c>
      <c r="C425" s="6">
        <v>11</v>
      </c>
      <c r="D425" s="2" t="s">
        <v>432</v>
      </c>
      <c r="E425" s="6"/>
      <c r="F425" s="18">
        <v>0</v>
      </c>
      <c r="G425" s="18">
        <v>0</v>
      </c>
      <c r="H425" s="18">
        <v>0</v>
      </c>
      <c r="I425" s="18">
        <v>0</v>
      </c>
      <c r="J425" s="18">
        <v>0</v>
      </c>
      <c r="K425" s="18"/>
      <c r="L425" s="13">
        <f t="shared" si="29"/>
        <v>0</v>
      </c>
      <c r="M425" s="8"/>
      <c r="N425" s="164"/>
    </row>
    <row r="426" spans="1:21" s="3" customFormat="1" ht="12.2" customHeight="1" x14ac:dyDescent="0.15">
      <c r="A426" s="62" t="s">
        <v>559</v>
      </c>
      <c r="B426" s="6">
        <v>17</v>
      </c>
      <c r="C426" s="6">
        <v>12</v>
      </c>
      <c r="D426" s="2" t="s">
        <v>432</v>
      </c>
      <c r="E426" s="6"/>
      <c r="F426" s="18">
        <v>0</v>
      </c>
      <c r="G426" s="18">
        <v>0</v>
      </c>
      <c r="H426" s="18">
        <v>0</v>
      </c>
      <c r="I426" s="18">
        <v>0</v>
      </c>
      <c r="J426" s="18">
        <v>0</v>
      </c>
      <c r="K426" s="18"/>
      <c r="L426" s="13">
        <f t="shared" si="29"/>
        <v>0</v>
      </c>
      <c r="M426" s="8"/>
      <c r="N426" s="164"/>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4"/>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0"/>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4"/>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203818.7</v>
      </c>
      <c r="L435" s="38">
        <f t="shared" si="32"/>
        <v>203818.7</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1151623.77</v>
      </c>
      <c r="G442" s="18"/>
      <c r="H442" s="18"/>
      <c r="I442" s="13">
        <f t="shared" si="33"/>
        <v>1151623.77</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1151623.77</v>
      </c>
      <c r="G447" s="13">
        <f>SUM(G440:G446)</f>
        <v>0</v>
      </c>
      <c r="H447" s="13">
        <f>SUM(H440:H446)</f>
        <v>0</v>
      </c>
      <c r="I447" s="13">
        <f>SUM(I440:I446)</f>
        <v>1151623.77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1151623.77</v>
      </c>
      <c r="G460" s="18"/>
      <c r="H460" s="18"/>
      <c r="I460" s="13">
        <f t="shared" si="34"/>
        <v>1151623.77</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1151623.77</v>
      </c>
      <c r="G461" s="65">
        <f>SUM(G455:G460)</f>
        <v>0</v>
      </c>
      <c r="H461" s="65">
        <f>SUM(H455:H460)</f>
        <v>0</v>
      </c>
      <c r="I461" s="65">
        <f>SUM(I455:I460)</f>
        <v>1151623.77</v>
      </c>
      <c r="J461" s="23" t="s">
        <v>288</v>
      </c>
      <c r="K461" s="23" t="s">
        <v>288</v>
      </c>
      <c r="L461" s="23" t="s">
        <v>288</v>
      </c>
      <c r="N461" s="130"/>
    </row>
    <row r="462" spans="1:86" ht="12.2" customHeight="1" thickTop="1" x14ac:dyDescent="0.2">
      <c r="A462" s="40" t="s">
        <v>424</v>
      </c>
      <c r="B462" s="41">
        <v>18</v>
      </c>
      <c r="C462" s="64">
        <v>21</v>
      </c>
      <c r="D462" s="114" t="s">
        <v>432</v>
      </c>
      <c r="E462" s="64"/>
      <c r="F462" s="39">
        <f>F453+F461</f>
        <v>1151623.77</v>
      </c>
      <c r="G462" s="39">
        <f>G453+G461</f>
        <v>0</v>
      </c>
      <c r="H462" s="39">
        <f>H453+H461</f>
        <v>0</v>
      </c>
      <c r="I462" s="39">
        <f>I453+I461</f>
        <v>1151623.77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1909561.86</v>
      </c>
      <c r="G466" s="18">
        <v>116794.36</v>
      </c>
      <c r="H466" s="18">
        <v>491802.09</v>
      </c>
      <c r="I466" s="18"/>
      <c r="J466" s="18">
        <v>1046744.98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29149273.31</f>
        <v>29149273.309999999</v>
      </c>
      <c r="G469" s="18">
        <f>566167.56</f>
        <v>566167.56000000006</v>
      </c>
      <c r="H469" s="18">
        <v>1459618.25</v>
      </c>
      <c r="I469" s="18"/>
      <c r="J469" s="18">
        <v>280000</v>
      </c>
      <c r="K469" s="23" t="s">
        <v>288</v>
      </c>
      <c r="L469" s="23" t="s">
        <v>288</v>
      </c>
      <c r="N469" s="130"/>
    </row>
    <row r="470" spans="1:14" ht="12.2" customHeight="1" x14ac:dyDescent="0.2">
      <c r="A470" s="71" t="s">
        <v>611</v>
      </c>
      <c r="B470" s="22">
        <v>19</v>
      </c>
      <c r="C470" s="31">
        <v>3</v>
      </c>
      <c r="D470" s="2" t="s">
        <v>432</v>
      </c>
      <c r="E470" s="31"/>
      <c r="F470" s="18">
        <v>11225.85</v>
      </c>
      <c r="G470" s="18"/>
      <c r="H470" s="18"/>
      <c r="I470" s="18"/>
      <c r="J470" s="18">
        <v>34688.29</v>
      </c>
      <c r="K470" s="23" t="s">
        <v>288</v>
      </c>
      <c r="L470" s="23" t="s">
        <v>288</v>
      </c>
      <c r="N470" s="130"/>
    </row>
    <row r="471" spans="1:14" ht="12.2" customHeight="1" x14ac:dyDescent="0.2">
      <c r="A471" s="32" t="s">
        <v>425</v>
      </c>
      <c r="B471" s="22">
        <v>19</v>
      </c>
      <c r="C471" s="31">
        <v>4</v>
      </c>
      <c r="D471" s="2" t="s">
        <v>432</v>
      </c>
      <c r="E471" s="31"/>
      <c r="F471" s="19">
        <f>SUM(F469:F470)</f>
        <v>29160499.16</v>
      </c>
      <c r="G471" s="19">
        <f>SUM(G469:G470)</f>
        <v>566167.56000000006</v>
      </c>
      <c r="H471" s="19">
        <f>SUM(H469:H470)</f>
        <v>1459618.25</v>
      </c>
      <c r="I471" s="19">
        <f>SUM(I469:I470)</f>
        <v>0</v>
      </c>
      <c r="J471" s="19">
        <f>SUM(J469:J470)</f>
        <v>314688.28999999998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29118345.62-45894+727.2</f>
        <v>29073178.82</v>
      </c>
      <c r="G473" s="18">
        <f>666434.99</f>
        <v>666434.99</v>
      </c>
      <c r="H473" s="18">
        <v>1514519.98</v>
      </c>
      <c r="I473" s="18"/>
      <c r="J473" s="18">
        <v>203818.7</v>
      </c>
      <c r="K473" s="23" t="s">
        <v>288</v>
      </c>
      <c r="L473" s="23" t="s">
        <v>288</v>
      </c>
      <c r="N473" s="130"/>
    </row>
    <row r="474" spans="1:14" ht="12.2" customHeight="1" x14ac:dyDescent="0.2">
      <c r="A474" s="71" t="s">
        <v>613</v>
      </c>
      <c r="B474" s="22">
        <v>19</v>
      </c>
      <c r="C474" s="31">
        <v>6</v>
      </c>
      <c r="D474" s="2" t="s">
        <v>432</v>
      </c>
      <c r="E474" s="31"/>
      <c r="F474" s="18">
        <v>22583.4</v>
      </c>
      <c r="G474" s="18"/>
      <c r="H474" s="18"/>
      <c r="I474" s="18"/>
      <c r="J474" s="18">
        <v>5990.8</v>
      </c>
      <c r="K474" s="23" t="s">
        <v>288</v>
      </c>
      <c r="L474" s="23" t="s">
        <v>288</v>
      </c>
      <c r="N474" s="130"/>
    </row>
    <row r="475" spans="1:14" ht="12.2" customHeight="1" x14ac:dyDescent="0.2">
      <c r="A475" s="32" t="s">
        <v>426</v>
      </c>
      <c r="B475" s="22">
        <v>19</v>
      </c>
      <c r="C475" s="31">
        <v>7</v>
      </c>
      <c r="D475" s="2" t="s">
        <v>432</v>
      </c>
      <c r="E475" s="31"/>
      <c r="F475" s="19">
        <f>SUM(F473:F474)</f>
        <v>29095762.219999999</v>
      </c>
      <c r="G475" s="19">
        <f>SUM(G473:G474)</f>
        <v>666434.99</v>
      </c>
      <c r="H475" s="19">
        <f>SUM(H473:H474)</f>
        <v>1514519.98</v>
      </c>
      <c r="I475" s="19">
        <f>SUM(I473:I474)</f>
        <v>0</v>
      </c>
      <c r="J475" s="19">
        <f>SUM(J473:J474)</f>
        <v>209809.5</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1974298.8000000007</v>
      </c>
      <c r="G477" s="19">
        <f>(G466+G471)- G475</f>
        <v>16526.930000000051</v>
      </c>
      <c r="H477" s="19">
        <f>(H466+H471)- H475</f>
        <v>436900.3600000001</v>
      </c>
      <c r="I477" s="19">
        <f>(I466+I471)- I475</f>
        <v>0</v>
      </c>
      <c r="J477" s="19">
        <f>(J466+J471)- J475</f>
        <v>1151623.77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1846</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1845</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15</v>
      </c>
      <c r="G491" s="111">
        <v>25</v>
      </c>
      <c r="H491" s="111">
        <v>25</v>
      </c>
      <c r="I491" s="111">
        <v>25</v>
      </c>
      <c r="J491" s="111"/>
      <c r="K491" s="23" t="s">
        <v>288</v>
      </c>
      <c r="L491" s="23" t="s">
        <v>288</v>
      </c>
      <c r="N491" s="130"/>
    </row>
    <row r="492" spans="1:14" ht="12.2" customHeight="1" x14ac:dyDescent="0.2">
      <c r="A492" s="21" t="s">
        <v>615</v>
      </c>
      <c r="B492" s="22">
        <v>20</v>
      </c>
      <c r="C492" s="22">
        <v>2</v>
      </c>
      <c r="D492" s="2" t="s">
        <v>432</v>
      </c>
      <c r="E492" s="22"/>
      <c r="F492" s="112" t="s">
        <v>1841</v>
      </c>
      <c r="G492" s="112" t="s">
        <v>1842</v>
      </c>
      <c r="H492" s="111">
        <v>0</v>
      </c>
      <c r="I492" s="111">
        <v>0</v>
      </c>
      <c r="J492" s="111"/>
      <c r="K492" s="23" t="s">
        <v>288</v>
      </c>
      <c r="L492" s="23" t="s">
        <v>288</v>
      </c>
      <c r="N492" s="130"/>
    </row>
    <row r="493" spans="1:14" ht="12.2" customHeight="1" x14ac:dyDescent="0.2">
      <c r="A493" s="21" t="s">
        <v>616</v>
      </c>
      <c r="B493" s="22">
        <v>20</v>
      </c>
      <c r="C493" s="22">
        <v>3</v>
      </c>
      <c r="D493" s="2" t="s">
        <v>432</v>
      </c>
      <c r="E493" s="22"/>
      <c r="F493" s="112" t="s">
        <v>1843</v>
      </c>
      <c r="G493" s="112" t="s">
        <v>1844</v>
      </c>
      <c r="H493" s="111">
        <v>0</v>
      </c>
      <c r="I493" s="111">
        <v>0</v>
      </c>
      <c r="J493" s="111"/>
      <c r="K493" s="23" t="s">
        <v>288</v>
      </c>
      <c r="L493" s="23" t="s">
        <v>288</v>
      </c>
      <c r="N493" s="130"/>
    </row>
    <row r="494" spans="1:14" ht="12.2" customHeight="1" x14ac:dyDescent="0.2">
      <c r="A494" s="21" t="s">
        <v>617</v>
      </c>
      <c r="B494" s="22">
        <v>20</v>
      </c>
      <c r="C494" s="22">
        <v>4</v>
      </c>
      <c r="D494" s="2" t="s">
        <v>432</v>
      </c>
      <c r="E494" s="22"/>
      <c r="F494" s="18">
        <v>2025525</v>
      </c>
      <c r="G494" s="18">
        <v>4150000</v>
      </c>
      <c r="H494" s="18">
        <v>10000000</v>
      </c>
      <c r="I494" s="18">
        <v>7358000</v>
      </c>
      <c r="J494" s="18"/>
      <c r="K494" s="23" t="s">
        <v>288</v>
      </c>
      <c r="L494" s="23" t="s">
        <v>288</v>
      </c>
      <c r="N494" s="130"/>
    </row>
    <row r="495" spans="1:14" ht="12.2" customHeight="1" x14ac:dyDescent="0.2">
      <c r="A495" s="21" t="s">
        <v>618</v>
      </c>
      <c r="B495" s="22">
        <v>20</v>
      </c>
      <c r="C495" s="22">
        <v>5</v>
      </c>
      <c r="D495" s="2" t="s">
        <v>432</v>
      </c>
      <c r="E495" s="22"/>
      <c r="F495" s="18">
        <v>2.59</v>
      </c>
      <c r="G495" s="18">
        <v>3.01</v>
      </c>
      <c r="H495" s="18">
        <v>4.12</v>
      </c>
      <c r="I495" s="18">
        <v>4.26</v>
      </c>
      <c r="J495" s="18"/>
      <c r="K495" s="23" t="s">
        <v>288</v>
      </c>
      <c r="L495" s="23" t="s">
        <v>288</v>
      </c>
      <c r="N495" s="130"/>
    </row>
    <row r="496" spans="1:14" ht="12.2" customHeight="1" x14ac:dyDescent="0.2">
      <c r="A496" s="21" t="s">
        <v>619</v>
      </c>
      <c r="B496" s="22">
        <v>20</v>
      </c>
      <c r="C496" s="22">
        <v>6</v>
      </c>
      <c r="D496" s="2" t="s">
        <v>432</v>
      </c>
      <c r="E496" s="22"/>
      <c r="F496" s="18">
        <v>845680.26</v>
      </c>
      <c r="G496" s="18">
        <v>3071543.4</v>
      </c>
      <c r="H496" s="18">
        <v>7869717.1500000004</v>
      </c>
      <c r="I496" s="18">
        <v>16865124.34</v>
      </c>
      <c r="J496" s="18"/>
      <c r="K496" s="19">
        <f>SUM(F496:J496)</f>
        <v>28652065.149999999</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v>902816.94</v>
      </c>
      <c r="G499" s="146">
        <v>2925776.74</v>
      </c>
      <c r="H499" s="146">
        <v>7546177.5199999996</v>
      </c>
      <c r="I499" s="146">
        <v>16164986.32</v>
      </c>
      <c r="J499" s="146"/>
      <c r="K499" s="147">
        <f t="shared" si="35"/>
        <v>27539757.52</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902816.94</v>
      </c>
      <c r="G501" s="39">
        <f>SUM(G499:G500)</f>
        <v>2925776.74</v>
      </c>
      <c r="H501" s="39">
        <f>SUM(H499:H500)</f>
        <v>7546177.5199999996</v>
      </c>
      <c r="I501" s="39">
        <f>SUM(I499:I500)</f>
        <v>16164986.32</v>
      </c>
      <c r="J501" s="39">
        <f>SUM(J499:J500)</f>
        <v>0</v>
      </c>
      <c r="K501" s="39">
        <f t="shared" si="35"/>
        <v>27539757.52</v>
      </c>
      <c r="L501" s="42" t="s">
        <v>288</v>
      </c>
      <c r="N501" s="130"/>
    </row>
    <row r="502" spans="1:14" ht="12.2" customHeight="1" x14ac:dyDescent="0.2">
      <c r="A502" s="143" t="s">
        <v>651</v>
      </c>
      <c r="B502" s="144">
        <v>20</v>
      </c>
      <c r="C502" s="144">
        <v>12</v>
      </c>
      <c r="D502" s="145" t="s">
        <v>432</v>
      </c>
      <c r="E502" s="144"/>
      <c r="F502" s="146">
        <v>163979.34</v>
      </c>
      <c r="G502" s="146">
        <v>150462.47</v>
      </c>
      <c r="H502" s="146">
        <v>337997.3</v>
      </c>
      <c r="I502" s="146">
        <v>241540.33</v>
      </c>
      <c r="J502" s="146"/>
      <c r="K502" s="147">
        <f t="shared" si="35"/>
        <v>893979.44</v>
      </c>
      <c r="L502" s="148" t="s">
        <v>288</v>
      </c>
      <c r="N502" s="130"/>
    </row>
    <row r="503" spans="1:14" ht="12.2" customHeight="1" thickBot="1" x14ac:dyDescent="0.25">
      <c r="A503" s="21" t="s">
        <v>625</v>
      </c>
      <c r="B503" s="22">
        <v>20</v>
      </c>
      <c r="C503" s="22">
        <v>13</v>
      </c>
      <c r="D503" s="2" t="s">
        <v>432</v>
      </c>
      <c r="E503" s="22"/>
      <c r="F503" s="18">
        <v>20881.16</v>
      </c>
      <c r="G503" s="18">
        <v>86007.01</v>
      </c>
      <c r="H503" s="18">
        <v>304588.18</v>
      </c>
      <c r="I503" s="18">
        <v>237859.31</v>
      </c>
      <c r="J503" s="18"/>
      <c r="K503" s="19">
        <f t="shared" si="35"/>
        <v>649335.65999999992</v>
      </c>
      <c r="L503" s="23" t="s">
        <v>288</v>
      </c>
      <c r="N503" s="130"/>
    </row>
    <row r="504" spans="1:14" ht="12.2" customHeight="1" thickTop="1" x14ac:dyDescent="0.2">
      <c r="A504" s="97" t="s">
        <v>626</v>
      </c>
      <c r="B504" s="41">
        <v>20</v>
      </c>
      <c r="C504" s="41">
        <v>14</v>
      </c>
      <c r="D504" s="36" t="s">
        <v>432</v>
      </c>
      <c r="E504" s="41"/>
      <c r="F504" s="39">
        <f>SUM(F502:F503)</f>
        <v>184860.5</v>
      </c>
      <c r="G504" s="39">
        <f>SUM(G502:G503)</f>
        <v>236469.47999999998</v>
      </c>
      <c r="H504" s="39">
        <f>SUM(H502:H503)</f>
        <v>642585.48</v>
      </c>
      <c r="I504" s="39">
        <f>SUM(I502:I503)</f>
        <v>479399.64</v>
      </c>
      <c r="J504" s="39">
        <f>SUM(J502:J503)</f>
        <v>0</v>
      </c>
      <c r="K504" s="39">
        <f t="shared" si="35"/>
        <v>1543315.1</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267236+260893.81+231135+320129.02+240180.64+272484.25+46036.22+2500</f>
        <v>1640594.9400000002</v>
      </c>
      <c r="G522" s="18">
        <f>65600.04+166850.06+125415.56+144959.24+91935.58+138230.13+2895.64+7719.14+6406.88+5566.32+4044.04+5237.44+20017.35+23432.62+18680.47+17288.92+17074.61+19770.69+35977.29+28127.19+32680.16+52485.06+51239.41+45394.71+203.3+371.83</f>
        <v>1127603.68</v>
      </c>
      <c r="H522" s="18">
        <f>4640.36+105729.27+8880.47</f>
        <v>119250.1</v>
      </c>
      <c r="I522" s="18">
        <f>29.97+155.81+100+4870.52</f>
        <v>5156.3</v>
      </c>
      <c r="J522" s="18"/>
      <c r="K522" s="18"/>
      <c r="L522" s="69">
        <f>SUM(F522:K522)</f>
        <v>2892605.02</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f>250309.37+108685.23+429.58+3292.29+1354.07+5735.99</f>
        <v>369806.52999999997</v>
      </c>
      <c r="G524" s="18">
        <f>111868.64+81249.74+5165.22+3073.4+18318.24+7652.84+14705.15+49160.67</f>
        <v>291193.89999999997</v>
      </c>
      <c r="H524" s="18">
        <f>285149.2+334411.11+4373.96</f>
        <v>623934.27</v>
      </c>
      <c r="I524" s="18">
        <f>30.04+2398.92</f>
        <v>2428.96</v>
      </c>
      <c r="J524" s="18"/>
      <c r="K524" s="18"/>
      <c r="L524" s="69">
        <f>SUM(F524:K524)</f>
        <v>1287363.6599999999</v>
      </c>
      <c r="N524" s="130"/>
    </row>
    <row r="525" spans="1:14" ht="12.2" customHeight="1" thickTop="1" x14ac:dyDescent="0.2">
      <c r="A525" s="97" t="s">
        <v>63</v>
      </c>
      <c r="B525" s="41">
        <v>21</v>
      </c>
      <c r="C525" s="41">
        <v>4</v>
      </c>
      <c r="D525" s="115" t="s">
        <v>432</v>
      </c>
      <c r="E525" s="41"/>
      <c r="F525" s="81">
        <f>SUM(F522:F524)</f>
        <v>2010401.4700000002</v>
      </c>
      <c r="G525" s="81">
        <f t="shared" ref="G525:L525" si="36">SUM(G522:G524)</f>
        <v>1418797.5799999998</v>
      </c>
      <c r="H525" s="81">
        <f t="shared" si="36"/>
        <v>743184.37</v>
      </c>
      <c r="I525" s="81">
        <f t="shared" si="36"/>
        <v>7585.26</v>
      </c>
      <c r="J525" s="81">
        <f t="shared" si="36"/>
        <v>0</v>
      </c>
      <c r="K525" s="81">
        <f t="shared" si="36"/>
        <v>0</v>
      </c>
      <c r="L525" s="70">
        <f t="shared" si="36"/>
        <v>4179968.6799999997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286770.93</v>
      </c>
      <c r="G527" s="18">
        <v>106105.09</v>
      </c>
      <c r="H527" s="18">
        <v>920538.02</v>
      </c>
      <c r="I527" s="18">
        <v>5424.09</v>
      </c>
      <c r="J527" s="18">
        <v>8003.77</v>
      </c>
      <c r="K527" s="18"/>
      <c r="L527" s="69">
        <f>SUM(F527:K527)</f>
        <v>1326841.9000000001</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v>141245.39000000001</v>
      </c>
      <c r="G529" s="18">
        <f>52260.71+672.73</f>
        <v>52933.440000000002</v>
      </c>
      <c r="H529" s="18">
        <v>453399.32</v>
      </c>
      <c r="I529" s="18">
        <v>2671.57</v>
      </c>
      <c r="J529" s="18">
        <v>3942.15</v>
      </c>
      <c r="K529" s="18"/>
      <c r="L529" s="69">
        <f>SUM(F529:K529)</f>
        <v>654191.87</v>
      </c>
      <c r="M529" s="8"/>
      <c r="N529" s="164"/>
    </row>
    <row r="530" spans="1:14" s="3" customFormat="1" ht="12.2" customHeight="1" thickTop="1" x14ac:dyDescent="0.15">
      <c r="A530" s="97" t="s">
        <v>65</v>
      </c>
      <c r="B530" s="41">
        <v>21</v>
      </c>
      <c r="C530" s="41">
        <v>8</v>
      </c>
      <c r="D530" s="115" t="s">
        <v>432</v>
      </c>
      <c r="E530" s="41"/>
      <c r="F530" s="70">
        <f>SUM(F527:F529)</f>
        <v>428016.32</v>
      </c>
      <c r="G530" s="70">
        <f t="shared" ref="G530:L530" si="37">SUM(G527:G529)</f>
        <v>159038.53</v>
      </c>
      <c r="H530" s="70">
        <f t="shared" si="37"/>
        <v>1373937.34</v>
      </c>
      <c r="I530" s="70">
        <f t="shared" si="37"/>
        <v>8095.66</v>
      </c>
      <c r="J530" s="70">
        <f t="shared" si="37"/>
        <v>11945.92</v>
      </c>
      <c r="K530" s="70">
        <f t="shared" si="37"/>
        <v>0</v>
      </c>
      <c r="L530" s="70">
        <f t="shared" si="37"/>
        <v>1981033.77</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110476.3</v>
      </c>
      <c r="G532" s="18">
        <f>104340.68*0.67</f>
        <v>69908.255600000004</v>
      </c>
      <c r="H532" s="18">
        <f>2475+960+792.72</f>
        <v>4227.72</v>
      </c>
      <c r="I532" s="18">
        <f>119.29</f>
        <v>119.29</v>
      </c>
      <c r="J532" s="18"/>
      <c r="K532" s="18"/>
      <c r="L532" s="69">
        <f>SUM(F532:K532)</f>
        <v>184731.56560000003</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f>54413.7+171</f>
        <v>54584.7</v>
      </c>
      <c r="G534" s="18">
        <f>104340.68*0.33</f>
        <v>34432.424399999996</v>
      </c>
      <c r="H534" s="18"/>
      <c r="I534" s="18"/>
      <c r="J534" s="18"/>
      <c r="K534" s="18"/>
      <c r="L534" s="69">
        <f>SUM(F534:K534)</f>
        <v>89017.124400000001</v>
      </c>
      <c r="M534" s="8"/>
      <c r="N534" s="164"/>
    </row>
    <row r="535" spans="1:14" s="3" customFormat="1" ht="12.2" customHeight="1" thickTop="1" x14ac:dyDescent="0.15">
      <c r="A535" s="97" t="s">
        <v>67</v>
      </c>
      <c r="B535" s="41">
        <v>21</v>
      </c>
      <c r="C535" s="41">
        <v>12</v>
      </c>
      <c r="D535" s="115" t="s">
        <v>432</v>
      </c>
      <c r="E535" s="41"/>
      <c r="F535" s="70">
        <f>SUM(F532:F534)</f>
        <v>165061</v>
      </c>
      <c r="G535" s="70">
        <f t="shared" ref="G535:L535" si="38">SUM(G532:G534)</f>
        <v>104340.68</v>
      </c>
      <c r="H535" s="70">
        <f t="shared" si="38"/>
        <v>4227.72</v>
      </c>
      <c r="I535" s="70">
        <f t="shared" si="38"/>
        <v>119.29</v>
      </c>
      <c r="J535" s="70">
        <f t="shared" si="38"/>
        <v>0</v>
      </c>
      <c r="K535" s="70">
        <f t="shared" si="38"/>
        <v>0</v>
      </c>
      <c r="L535" s="70">
        <f t="shared" si="38"/>
        <v>273748.69000000006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f>3677.96*0.67</f>
        <v>2464.2332000000001</v>
      </c>
      <c r="I537" s="18"/>
      <c r="J537" s="18"/>
      <c r="K537" s="18"/>
      <c r="L537" s="69">
        <f>SUM(F537:K537)</f>
        <v>2464.2332000000001</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f>3677.96*0.33</f>
        <v>1213.7268000000001</v>
      </c>
      <c r="I539" s="18"/>
      <c r="J539" s="18"/>
      <c r="K539" s="18"/>
      <c r="L539" s="69">
        <f>SUM(F539:K539)</f>
        <v>1213.7268000000001</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3677.96</v>
      </c>
      <c r="I540" s="70">
        <f t="shared" si="39"/>
        <v>0</v>
      </c>
      <c r="J540" s="70">
        <f t="shared" si="39"/>
        <v>0</v>
      </c>
      <c r="K540" s="70">
        <f t="shared" si="39"/>
        <v>0</v>
      </c>
      <c r="L540" s="70">
        <f t="shared" si="39"/>
        <v>3677.96</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589204.56999999995</v>
      </c>
      <c r="I542" s="18"/>
      <c r="J542" s="18"/>
      <c r="K542" s="18"/>
      <c r="L542" s="69">
        <f>SUM(F542:K542)</f>
        <v>589204.56999999995</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290205.23</v>
      </c>
      <c r="I544" s="18"/>
      <c r="J544" s="18"/>
      <c r="K544" s="18"/>
      <c r="L544" s="69">
        <f>SUM(F544:K544)</f>
        <v>290205.23</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879409.79999999993</v>
      </c>
      <c r="I545" s="140">
        <f t="shared" si="40"/>
        <v>0</v>
      </c>
      <c r="J545" s="140">
        <f t="shared" si="40"/>
        <v>0</v>
      </c>
      <c r="K545" s="140">
        <f t="shared" si="40"/>
        <v>0</v>
      </c>
      <c r="L545" s="140">
        <f t="shared" si="40"/>
        <v>879409.79999999993</v>
      </c>
      <c r="M545" s="8"/>
      <c r="N545" s="164"/>
    </row>
    <row r="546" spans="1:14" s="3" customFormat="1" ht="12.2" customHeight="1" thickTop="1" x14ac:dyDescent="0.15">
      <c r="A546" s="75" t="s">
        <v>72</v>
      </c>
      <c r="B546" s="41">
        <v>21</v>
      </c>
      <c r="C546" s="41">
        <v>21</v>
      </c>
      <c r="D546" s="115" t="s">
        <v>432</v>
      </c>
      <c r="E546" s="41"/>
      <c r="F546" s="70">
        <f>F525+F530+F535+F540+F545</f>
        <v>2603478.79</v>
      </c>
      <c r="G546" s="70">
        <f t="shared" ref="G546:L546" si="41">G525+G530+G535+G540+G545</f>
        <v>1682176.7899999998</v>
      </c>
      <c r="H546" s="70">
        <f t="shared" si="41"/>
        <v>3004437.19</v>
      </c>
      <c r="I546" s="70">
        <f t="shared" si="41"/>
        <v>15800.210000000001</v>
      </c>
      <c r="J546" s="70">
        <f t="shared" si="41"/>
        <v>11945.92</v>
      </c>
      <c r="K546" s="70">
        <f t="shared" si="41"/>
        <v>0</v>
      </c>
      <c r="L546" s="70">
        <f t="shared" si="41"/>
        <v>7317838.8999999994</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2892605.02</v>
      </c>
      <c r="G550" s="69">
        <f>L527</f>
        <v>1326841.9000000001</v>
      </c>
      <c r="H550" s="69">
        <f>L532</f>
        <v>184731.56560000003</v>
      </c>
      <c r="I550" s="69">
        <f>L537</f>
        <v>2464.2332000000001</v>
      </c>
      <c r="J550" s="69">
        <f>L542</f>
        <v>589204.56999999995</v>
      </c>
      <c r="K550" s="69">
        <f>SUM(F550:J550)</f>
        <v>4995847.2888000002</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1287363.6599999999</v>
      </c>
      <c r="G552" s="69">
        <f>L529</f>
        <v>654191.87</v>
      </c>
      <c r="H552" s="69">
        <f>L534</f>
        <v>89017.124400000001</v>
      </c>
      <c r="I552" s="69">
        <f>L539</f>
        <v>1213.7268000000001</v>
      </c>
      <c r="J552" s="69">
        <f>L544</f>
        <v>290205.23</v>
      </c>
      <c r="K552" s="69">
        <f>SUM(F552:J552)</f>
        <v>2321991.6112000002</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4179968.6799999997</v>
      </c>
      <c r="G553" s="70">
        <f t="shared" si="42"/>
        <v>1981033.77</v>
      </c>
      <c r="H553" s="70">
        <f t="shared" si="42"/>
        <v>273748.69000000006</v>
      </c>
      <c r="I553" s="70">
        <f t="shared" si="42"/>
        <v>3677.96</v>
      </c>
      <c r="J553" s="70">
        <f t="shared" si="42"/>
        <v>879409.79999999993</v>
      </c>
      <c r="K553" s="70">
        <f t="shared" si="42"/>
        <v>7317838.9000000004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4640.3599999999997</v>
      </c>
      <c r="G579" s="18"/>
      <c r="H579" s="18"/>
      <c r="I579" s="69">
        <f t="shared" si="47"/>
        <v>4640.3599999999997</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v>43174</v>
      </c>
      <c r="I580" s="69">
        <f t="shared" si="47"/>
        <v>43174</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v>285149.2</v>
      </c>
      <c r="I581" s="69">
        <f t="shared" si="47"/>
        <v>285149.2</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105729.29+368717.58</f>
        <v>474446.87</v>
      </c>
      <c r="G583" s="18"/>
      <c r="H583" s="18">
        <f>181607.16+334411.11</f>
        <v>516018.27</v>
      </c>
      <c r="I583" s="69">
        <f t="shared" si="47"/>
        <v>990465.14</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v>543968</v>
      </c>
      <c r="I586" s="69">
        <f t="shared" si="47"/>
        <v>543968</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479087.23</v>
      </c>
      <c r="G589" s="79">
        <f t="shared" ref="G589:I589" si="48">SUM(G576:G588)</f>
        <v>0</v>
      </c>
      <c r="H589" s="79">
        <f t="shared" si="48"/>
        <v>1388309.47</v>
      </c>
      <c r="I589" s="79">
        <f t="shared" si="48"/>
        <v>1867396.7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508474.49</v>
      </c>
      <c r="I592" s="18"/>
      <c r="J592" s="18">
        <v>250442.66</v>
      </c>
      <c r="K592" s="80">
        <f t="shared" ref="K592:K598" si="49">SUM(H592:J592)</f>
        <v>758917.15</v>
      </c>
      <c r="L592" s="23" t="s">
        <v>288</v>
      </c>
      <c r="M592" s="8"/>
      <c r="N592" s="164"/>
    </row>
    <row r="593" spans="1:14" s="3" customFormat="1" ht="12.2" customHeight="1" x14ac:dyDescent="0.15">
      <c r="A593" s="3" t="s">
        <v>638</v>
      </c>
      <c r="B593" s="22">
        <v>23</v>
      </c>
      <c r="C593" s="22">
        <v>2</v>
      </c>
      <c r="D593" s="2" t="s">
        <v>432</v>
      </c>
      <c r="E593" s="22"/>
      <c r="F593" s="78">
        <v>2722</v>
      </c>
      <c r="G593" s="79" t="s">
        <v>97</v>
      </c>
      <c r="H593" s="18">
        <v>589204.56999999995</v>
      </c>
      <c r="I593" s="18"/>
      <c r="J593" s="18">
        <v>290205.23</v>
      </c>
      <c r="K593" s="80">
        <f t="shared" si="49"/>
        <v>879409.79999999993</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101085</v>
      </c>
      <c r="K594" s="80">
        <f t="shared" si="49"/>
        <v>101085</v>
      </c>
      <c r="L594" s="23" t="s">
        <v>288</v>
      </c>
      <c r="M594" s="8"/>
      <c r="N594" s="164"/>
    </row>
    <row r="595" spans="1:14" s="3" customFormat="1" ht="12.2" customHeight="1" x14ac:dyDescent="0.15">
      <c r="A595" s="21" t="s">
        <v>640</v>
      </c>
      <c r="B595" s="22">
        <v>23</v>
      </c>
      <c r="C595" s="22">
        <v>4</v>
      </c>
      <c r="D595" s="2" t="s">
        <v>432</v>
      </c>
      <c r="E595" s="22"/>
      <c r="F595" s="78">
        <v>2724</v>
      </c>
      <c r="G595" s="79" t="s">
        <v>97</v>
      </c>
      <c r="H595" s="18">
        <v>14130.24</v>
      </c>
      <c r="I595" s="18"/>
      <c r="J595" s="18">
        <v>50612.53</v>
      </c>
      <c r="K595" s="80">
        <f t="shared" si="49"/>
        <v>64742.77</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11693.81</v>
      </c>
      <c r="I596" s="18"/>
      <c r="J596" s="18">
        <v>3952.04</v>
      </c>
      <c r="K596" s="80">
        <f t="shared" si="49"/>
        <v>15645.849999999999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1123503.1100000001</v>
      </c>
      <c r="I599" s="81">
        <f>SUM(I592:I598)</f>
        <v>0</v>
      </c>
      <c r="J599" s="81">
        <f>SUM(J592:J598)</f>
        <v>696297.46000000008</v>
      </c>
      <c r="K599" s="81">
        <f>SUM(K592:K598)</f>
        <v>1819800.57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178778.89+3634.39</f>
        <v>182413.28000000003</v>
      </c>
      <c r="I605" s="18"/>
      <c r="J605" s="18">
        <f>362975.33+1790.08</f>
        <v>364765.41000000003</v>
      </c>
      <c r="K605" s="80">
        <f>SUM(H605:J605)</f>
        <v>547178.69000000006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182413.28000000003</v>
      </c>
      <c r="I606" s="81">
        <f>SUM(I603:I605)</f>
        <v>0</v>
      </c>
      <c r="J606" s="81">
        <f>SUM(J603:J605)</f>
        <v>364765.41000000003</v>
      </c>
      <c r="K606" s="81">
        <f>SUM(K603:K605)</f>
        <v>547178.69000000006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2551709.39</v>
      </c>
      <c r="H618" s="80">
        <f>SUM(F52)</f>
        <v>2551709.3899999997</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47207.47</v>
      </c>
      <c r="H619" s="80">
        <f>SUM(G52)</f>
        <v>47207.47</v>
      </c>
      <c r="I619" s="87" t="s">
        <v>872</v>
      </c>
      <c r="J619" s="80">
        <f>G619-H619</f>
        <v>0</v>
      </c>
      <c r="K619" s="80"/>
      <c r="L619" s="80"/>
      <c r="M619" s="8"/>
    </row>
    <row r="620" spans="1:14" s="3" customFormat="1" ht="12.2" customHeight="1" x14ac:dyDescent="0.15">
      <c r="A620" s="74"/>
      <c r="B620" s="22"/>
      <c r="C620" s="22"/>
      <c r="D620" s="22"/>
      <c r="E620" s="22"/>
      <c r="F620" s="87" t="s">
        <v>685</v>
      </c>
      <c r="G620" s="80">
        <f>SUM(H19)</f>
        <v>275802.86</v>
      </c>
      <c r="H620" s="80">
        <f>SUM(H52)</f>
        <v>275802.86</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1151623.77</v>
      </c>
      <c r="H622" s="80">
        <f>SUM(J52)</f>
        <v>1151623.77</v>
      </c>
      <c r="I622" s="87" t="s">
        <v>875</v>
      </c>
      <c r="J622" s="80">
        <f>G622-H622</f>
        <v>0</v>
      </c>
      <c r="K622" s="80"/>
      <c r="L622" s="80"/>
      <c r="M622" s="8"/>
    </row>
    <row r="623" spans="1:14" s="3" customFormat="1" ht="12.2" customHeight="1" x14ac:dyDescent="0.15">
      <c r="A623" s="74"/>
      <c r="B623" s="22"/>
      <c r="C623" s="22"/>
      <c r="D623" s="22"/>
      <c r="E623" s="22"/>
      <c r="F623" s="87" t="s">
        <v>861</v>
      </c>
      <c r="G623" s="80">
        <f>F51</f>
        <v>1974298.7999999998</v>
      </c>
      <c r="H623" s="80">
        <f>F477</f>
        <v>1974298.8000000007</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16526.930000000008</v>
      </c>
      <c r="H624" s="80">
        <f>G477</f>
        <v>16526.930000000051</v>
      </c>
      <c r="I624" s="87" t="s">
        <v>102</v>
      </c>
      <c r="J624" s="80">
        <f t="shared" si="51"/>
        <v>-4.3655745685100555E-11</v>
      </c>
      <c r="K624" s="80"/>
      <c r="L624" s="80"/>
      <c r="M624" s="8"/>
    </row>
    <row r="625" spans="1:13" s="3" customFormat="1" ht="12.2" customHeight="1" x14ac:dyDescent="0.15">
      <c r="A625" s="74"/>
      <c r="B625" s="22"/>
      <c r="C625" s="22"/>
      <c r="D625" s="22"/>
      <c r="E625" s="22"/>
      <c r="F625" s="86" t="s">
        <v>863</v>
      </c>
      <c r="G625" s="80">
        <f>H51</f>
        <v>436900.36</v>
      </c>
      <c r="H625" s="80">
        <f>H477</f>
        <v>436900.3600000001</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1151623.77</v>
      </c>
      <c r="H627" s="80">
        <f>J477</f>
        <v>1151623.77</v>
      </c>
      <c r="I627" s="87" t="s">
        <v>105</v>
      </c>
      <c r="J627" s="80">
        <f t="shared" si="51"/>
        <v>0</v>
      </c>
      <c r="K627" s="67"/>
      <c r="L627" s="69"/>
      <c r="M627" s="8"/>
    </row>
    <row r="628" spans="1:13" s="3" customFormat="1" ht="12.2" customHeight="1" x14ac:dyDescent="0.15">
      <c r="A628" s="21"/>
      <c r="B628" s="22"/>
      <c r="C628" s="22"/>
      <c r="D628" s="22"/>
      <c r="E628" s="22"/>
      <c r="F628" s="86" t="s">
        <v>658</v>
      </c>
      <c r="G628" s="80">
        <f>F194</f>
        <v>29149273.309999999</v>
      </c>
      <c r="H628" s="80">
        <f>SUM(F469)</f>
        <v>29149273.309999999</v>
      </c>
      <c r="I628" s="87" t="s">
        <v>106</v>
      </c>
      <c r="J628" s="80">
        <f>G628-H628</f>
        <v>0</v>
      </c>
      <c r="K628" s="67"/>
      <c r="L628" s="69"/>
      <c r="M628" s="8"/>
    </row>
    <row r="629" spans="1:13" s="3" customFormat="1" ht="12.2" customHeight="1" x14ac:dyDescent="0.15">
      <c r="A629" s="21"/>
      <c r="B629" s="22"/>
      <c r="C629" s="22"/>
      <c r="D629" s="22"/>
      <c r="E629" s="22"/>
      <c r="F629" s="86" t="s">
        <v>659</v>
      </c>
      <c r="G629" s="80">
        <f>G194</f>
        <v>566167.56000000006</v>
      </c>
      <c r="H629" s="80">
        <f>SUM(G469)</f>
        <v>566167.56000000006</v>
      </c>
      <c r="I629" s="87" t="s">
        <v>107</v>
      </c>
      <c r="J629" s="80">
        <f>G629-H629</f>
        <v>0</v>
      </c>
      <c r="K629" s="67"/>
      <c r="L629" s="69"/>
      <c r="M629" s="8"/>
    </row>
    <row r="630" spans="1:13" s="3" customFormat="1" ht="12.2" customHeight="1" x14ac:dyDescent="0.15">
      <c r="A630" s="21"/>
      <c r="B630" s="22"/>
      <c r="C630" s="22"/>
      <c r="D630" s="22"/>
      <c r="E630" s="22"/>
      <c r="F630" s="86" t="s">
        <v>660</v>
      </c>
      <c r="G630" s="80">
        <f>H194</f>
        <v>1459618.25</v>
      </c>
      <c r="H630" s="80">
        <f>SUM(H469)</f>
        <v>1459618.25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280000</v>
      </c>
      <c r="H632" s="80">
        <f>SUM(J469)</f>
        <v>280000</v>
      </c>
      <c r="I632" s="87" t="s">
        <v>110</v>
      </c>
      <c r="J632" s="80">
        <f>G632-H632</f>
        <v>0</v>
      </c>
      <c r="K632" s="67"/>
      <c r="L632" s="69"/>
      <c r="M632" s="8"/>
    </row>
    <row r="633" spans="1:13" s="3" customFormat="1" ht="12.2" customHeight="1" x14ac:dyDescent="0.15">
      <c r="A633" s="21"/>
      <c r="B633" s="22"/>
      <c r="C633" s="22"/>
      <c r="D633" s="22"/>
      <c r="E633" s="22"/>
      <c r="F633" s="86" t="s">
        <v>394</v>
      </c>
      <c r="G633" s="80">
        <f>SUM(L272)</f>
        <v>29073178.820000004</v>
      </c>
      <c r="H633" s="80">
        <f>SUM(F473)</f>
        <v>29073178.82</v>
      </c>
      <c r="I633" s="87" t="s">
        <v>111</v>
      </c>
      <c r="J633" s="80">
        <f t="shared" si="51"/>
        <v>0</v>
      </c>
      <c r="K633" s="67"/>
      <c r="L633" s="69"/>
      <c r="M633" s="8"/>
    </row>
    <row r="634" spans="1:13" s="3" customFormat="1" ht="12.2" customHeight="1" x14ac:dyDescent="0.15">
      <c r="A634" s="21"/>
      <c r="B634" s="22"/>
      <c r="C634" s="22"/>
      <c r="D634" s="22"/>
      <c r="E634" s="22"/>
      <c r="F634" s="86" t="s">
        <v>395</v>
      </c>
      <c r="G634" s="80">
        <f>SUM(L353)</f>
        <v>1514519.98</v>
      </c>
      <c r="H634" s="80">
        <f>SUM(H473)</f>
        <v>1514519.98</v>
      </c>
      <c r="I634" s="87" t="s">
        <v>112</v>
      </c>
      <c r="J634" s="80">
        <f>G634-H634</f>
        <v>0</v>
      </c>
      <c r="K634" s="67"/>
      <c r="L634" s="69"/>
      <c r="M634" s="8"/>
    </row>
    <row r="635" spans="1:13" s="124" customFormat="1" ht="12.2" customHeight="1" x14ac:dyDescent="0.15">
      <c r="A635" s="21"/>
      <c r="B635" s="22"/>
      <c r="C635" s="22"/>
      <c r="D635" s="22"/>
      <c r="E635" s="22"/>
      <c r="F635" s="99" t="s">
        <v>247</v>
      </c>
      <c r="G635" s="80">
        <f>I363</f>
        <v>21020.29</v>
      </c>
      <c r="H635" s="80">
        <f>I370</f>
        <v>21020.29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666434.99</v>
      </c>
      <c r="H636" s="80">
        <f>SUM(G473)</f>
        <v>666434.99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280000</v>
      </c>
      <c r="H638" s="108">
        <f>SUM(J469)</f>
        <v>280000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203818.7</v>
      </c>
      <c r="H639" s="108">
        <f>SUM(J473)</f>
        <v>203818.7</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1151623.77</v>
      </c>
      <c r="H640" s="80">
        <f>SUM(F462)</f>
        <v>1151623.77</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1151623.77</v>
      </c>
      <c r="H643" s="80">
        <f>SUM(I462)</f>
        <v>1151623.77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280000</v>
      </c>
      <c r="H646" s="80">
        <f>G409</f>
        <v>280000</v>
      </c>
      <c r="I646" s="87" t="s">
        <v>481</v>
      </c>
      <c r="J646" s="80">
        <f t="shared" si="51"/>
        <v>0</v>
      </c>
      <c r="K646" s="67"/>
      <c r="L646" s="69"/>
      <c r="M646" s="8"/>
    </row>
    <row r="647" spans="1:13" s="3" customFormat="1" ht="12.2" customHeight="1" x14ac:dyDescent="0.15">
      <c r="A647" s="21"/>
      <c r="B647" s="22"/>
      <c r="C647" s="22"/>
      <c r="D647" s="22"/>
      <c r="E647" s="22"/>
      <c r="F647" s="86" t="s">
        <v>662</v>
      </c>
      <c r="G647" s="80">
        <f>J194</f>
        <v>280000</v>
      </c>
      <c r="H647" s="80">
        <f>L409</f>
        <v>280000</v>
      </c>
      <c r="I647" s="87" t="s">
        <v>477</v>
      </c>
      <c r="J647" s="80">
        <f t="shared" si="51"/>
        <v>0</v>
      </c>
      <c r="K647" s="67"/>
      <c r="L647" s="69"/>
      <c r="M647" s="8"/>
    </row>
    <row r="648" spans="1:13" s="3" customFormat="1" ht="12.2" customHeight="1" x14ac:dyDescent="0.15">
      <c r="A648" s="21"/>
      <c r="B648" s="22"/>
      <c r="C648" s="22"/>
      <c r="D648" s="22"/>
      <c r="E648" s="22"/>
      <c r="F648" s="86" t="s">
        <v>51</v>
      </c>
      <c r="G648" s="80">
        <f>K599</f>
        <v>1819800.57</v>
      </c>
      <c r="H648" s="80">
        <f>L209+L227+L245</f>
        <v>1819800.57</v>
      </c>
      <c r="I648" s="87" t="s">
        <v>396</v>
      </c>
      <c r="J648" s="80">
        <f t="shared" si="51"/>
        <v>0</v>
      </c>
      <c r="K648" s="67"/>
      <c r="L648" s="69"/>
      <c r="M648" s="8"/>
    </row>
    <row r="649" spans="1:13" s="3" customFormat="1" ht="12.2" customHeight="1" x14ac:dyDescent="0.15">
      <c r="A649" s="21"/>
      <c r="B649" s="22"/>
      <c r="C649" s="22"/>
      <c r="D649" s="22"/>
      <c r="E649" s="22"/>
      <c r="F649" s="86" t="s">
        <v>52</v>
      </c>
      <c r="G649" s="80">
        <f>K606</f>
        <v>547178.69000000006</v>
      </c>
      <c r="H649" s="80">
        <f>(J258+J339)-(J256+J337)</f>
        <v>547178.69000000006</v>
      </c>
      <c r="I649" s="87" t="s">
        <v>699</v>
      </c>
      <c r="J649" s="80">
        <f t="shared" si="51"/>
        <v>0</v>
      </c>
      <c r="K649" s="67"/>
      <c r="L649" s="69"/>
      <c r="M649" s="8"/>
    </row>
    <row r="650" spans="1:13" s="3" customFormat="1" ht="12.2" customHeight="1" x14ac:dyDescent="0.15">
      <c r="A650" s="21"/>
      <c r="B650" s="22"/>
      <c r="C650" s="22"/>
      <c r="D650" s="22"/>
      <c r="E650" s="22"/>
      <c r="F650" s="86" t="s">
        <v>387</v>
      </c>
      <c r="G650" s="80">
        <f>L209</f>
        <v>1123503.1100000001</v>
      </c>
      <c r="H650" s="80">
        <f>H599</f>
        <v>1123503.1100000001</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696297.46</v>
      </c>
      <c r="H652" s="80">
        <f>J599</f>
        <v>696297.46000000008</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280000</v>
      </c>
      <c r="H656" s="80">
        <f>K267+K348</f>
        <v>280000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18594911.350000005</v>
      </c>
      <c r="G661" s="13">
        <f>(L230+L310+L360)</f>
        <v>0</v>
      </c>
      <c r="H661" s="13">
        <f>(L248+L329+L361)</f>
        <v>10700036.960000001</v>
      </c>
      <c r="I661" s="13">
        <f>SUM(F661:H661)</f>
        <v>29294948.310000006</v>
      </c>
      <c r="J661" s="13"/>
      <c r="K661" s="13"/>
      <c r="L661" s="13"/>
      <c r="M661" s="9"/>
    </row>
    <row r="662" spans="1:13" s="3" customFormat="1" ht="12.2" customHeight="1" x14ac:dyDescent="0.2">
      <c r="A662" s="1" t="s">
        <v>127</v>
      </c>
      <c r="F662" s="13">
        <f>(L359/IF(SUM(L359:L361)=0,1,SUM(L359:L361))*(SUM(G97:G110)))</f>
        <v>167400.664987497</v>
      </c>
      <c r="G662" s="13">
        <f>(L360/IF(SUM(L359:L361)=0,1,SUM(L359:L361))*(SUM(G97:G110)))</f>
        <v>0</v>
      </c>
      <c r="H662" s="13">
        <f>(L361/IF(SUM(L359:L361)=0,1,SUM(L359:L361))*(SUM(G97:G110)))</f>
        <v>91596.925012503023</v>
      </c>
      <c r="I662" s="13">
        <f>SUM(F662:H662)</f>
        <v>258997.59000000003</v>
      </c>
      <c r="J662"/>
      <c r="K662" s="13"/>
      <c r="L662" s="13"/>
      <c r="M662" s="8"/>
    </row>
    <row r="663" spans="1:13" s="3" customFormat="1" ht="12.2" customHeight="1" x14ac:dyDescent="0.2">
      <c r="A663" s="1" t="s">
        <v>128</v>
      </c>
      <c r="F663" s="13">
        <f>(L209+L288)-(J209+J288)</f>
        <v>1123503.1100000001</v>
      </c>
      <c r="G663" s="13">
        <f>(L227+L307)-(J227+J307)</f>
        <v>0</v>
      </c>
      <c r="H663" s="13">
        <f>(L245+L326)-(J245+J326)</f>
        <v>696297.46</v>
      </c>
      <c r="I663" s="13">
        <f>SUM(F663:H663)</f>
        <v>1819800.57</v>
      </c>
      <c r="J663"/>
      <c r="K663" s="13"/>
      <c r="L663" s="13"/>
      <c r="M663" s="9"/>
    </row>
    <row r="664" spans="1:13" s="3" customFormat="1" ht="12.2" customHeight="1" x14ac:dyDescent="0.15">
      <c r="A664" s="141" t="s">
        <v>129</v>
      </c>
      <c r="B664" s="124"/>
      <c r="C664" s="124"/>
      <c r="D664" s="124"/>
      <c r="E664" s="124"/>
      <c r="F664" s="142">
        <f>SUM(F576:F588)+SUM(H603:H605)+SUM(L612)</f>
        <v>661500.51</v>
      </c>
      <c r="G664" s="142">
        <f>SUM(G576:G588)+SUM(I603:I605)+L613</f>
        <v>0</v>
      </c>
      <c r="H664" s="142">
        <f>SUM(H576:H588)+SUM(J603:J605)+L614</f>
        <v>1753074.88</v>
      </c>
      <c r="I664" s="13">
        <f>SUM(F664:H664)</f>
        <v>2414575.3899999997</v>
      </c>
      <c r="J664" s="13"/>
      <c r="K664" s="13"/>
      <c r="L664" s="13"/>
      <c r="M664" s="9"/>
    </row>
    <row r="665" spans="1:13" s="3" customFormat="1" ht="12.2" customHeight="1" x14ac:dyDescent="0.15">
      <c r="A665" s="1" t="s">
        <v>130</v>
      </c>
      <c r="F665" s="13">
        <f>F661-SUM(F662:F664)</f>
        <v>16642507.065012507</v>
      </c>
      <c r="G665" s="13">
        <f>G661-SUM(G662:G664)</f>
        <v>0</v>
      </c>
      <c r="H665" s="13">
        <f>H661-SUM(H662:H664)</f>
        <v>8159067.6949874982</v>
      </c>
      <c r="I665" s="13">
        <f>I661-SUM(I662:I664)</f>
        <v>24801574.760000005</v>
      </c>
      <c r="J665" s="13"/>
      <c r="K665" s="13"/>
      <c r="L665" s="13"/>
      <c r="M665" s="8"/>
    </row>
    <row r="666" spans="1:13" s="3" customFormat="1" ht="12.2" customHeight="1" x14ac:dyDescent="0.2">
      <c r="A666" s="1" t="s">
        <v>131</v>
      </c>
      <c r="F666" s="182">
        <v>689.13</v>
      </c>
      <c r="G666" s="183"/>
      <c r="H666" s="183">
        <v>332.02</v>
      </c>
      <c r="I666" s="13">
        <f>SUM(F666:H666)</f>
        <v>1021.15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24150.03</v>
      </c>
      <c r="G668" s="13" t="e">
        <f>ROUND(G665/G666,2)</f>
        <v>#DIV/0!</v>
      </c>
      <c r="H668" s="13">
        <f>ROUND(H665/H666,2)</f>
        <v>24574.02</v>
      </c>
      <c r="I668" s="13">
        <f>ROUND(I665/I666,2)</f>
        <v>24287.89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-14.83</v>
      </c>
      <c r="I671" s="13">
        <f>SUM(F671:H671)</f>
        <v>-14.83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24150.03</v>
      </c>
      <c r="G673" s="13" t="e">
        <f>ROUND((G665+G670)/(G666+G671),2)</f>
        <v>#DIV/0!</v>
      </c>
      <c r="H673" s="13">
        <f>ROUND((H665+H670)/(H666+H671),2)</f>
        <v>25722.97</v>
      </c>
      <c r="I673" s="13">
        <f>ROUND((I665+I670)/(I666+I671),2)</f>
        <v>24645.81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8" sqref="E18"/>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216940.61</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190+57334.63+47512.72</f>
        <v>105037.35</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11837.3+37800+22242.13</f>
        <v>71879.430000000008</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f>2481.88+15941.95+21600</f>
        <v>40023.83</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Mascoma Valley Regional</v>
      </c>
      <c r="C5" s="321"/>
      <c r="D5" s="321"/>
      <c r="E5" s="321"/>
      <c r="F5" s="321"/>
    </row>
    <row r="8" spans="1:9" ht="18" x14ac:dyDescent="0.25">
      <c r="A8" s="239" t="s">
        <v>1548</v>
      </c>
      <c r="F8" s="246" t="s">
        <v>1566</v>
      </c>
    </row>
    <row r="9" spans="1:9" ht="15" x14ac:dyDescent="0.2">
      <c r="A9" s="237" t="s">
        <v>1549</v>
      </c>
      <c r="B9" s="240">
        <f>'DOE25'!G97</f>
        <v>258997.59000000003</v>
      </c>
      <c r="F9" s="237" t="s">
        <v>1562</v>
      </c>
    </row>
    <row r="10" spans="1:9" ht="15" x14ac:dyDescent="0.2">
      <c r="A10" s="237" t="s">
        <v>1550</v>
      </c>
      <c r="B10" s="240">
        <f>'DOE25'!G112-'DOE25'!G97</f>
        <v>0</v>
      </c>
      <c r="F10" s="237" t="s">
        <v>1563</v>
      </c>
    </row>
    <row r="11" spans="1:9" ht="15" x14ac:dyDescent="0.2">
      <c r="A11" s="237" t="s">
        <v>1551</v>
      </c>
      <c r="B11" s="240">
        <f>'DOE25'!G140</f>
        <v>6206.73</v>
      </c>
      <c r="F11" s="237" t="s">
        <v>1564</v>
      </c>
    </row>
    <row r="12" spans="1:9" ht="15" x14ac:dyDescent="0.2">
      <c r="A12" s="237" t="s">
        <v>1552</v>
      </c>
      <c r="B12" s="240">
        <f>'DOE25'!G170</f>
        <v>300963.24</v>
      </c>
      <c r="F12" s="237" t="s">
        <v>1565</v>
      </c>
    </row>
    <row r="13" spans="1:9" ht="15" x14ac:dyDescent="0.2">
      <c r="A13" s="237" t="s">
        <v>1553</v>
      </c>
      <c r="B13" s="240">
        <f>'DOE25'!G193-'DOE25'!G180</f>
        <v>0</v>
      </c>
      <c r="F13" s="237" t="s">
        <v>1575</v>
      </c>
    </row>
    <row r="14" spans="1:9" ht="18" x14ac:dyDescent="0.25">
      <c r="A14" s="239" t="s">
        <v>732</v>
      </c>
      <c r="B14" s="241">
        <f>SUM(B9:B13)</f>
        <v>566167.56000000006</v>
      </c>
    </row>
    <row r="16" spans="1:9" ht="18" x14ac:dyDescent="0.25">
      <c r="A16" s="239" t="s">
        <v>783</v>
      </c>
      <c r="F16" s="246" t="s">
        <v>1567</v>
      </c>
    </row>
    <row r="17" spans="1:6" ht="15" x14ac:dyDescent="0.2">
      <c r="A17" s="237" t="s">
        <v>1554</v>
      </c>
      <c r="B17" s="240">
        <f>'DOE25'!L363-'DOE25'!L362</f>
        <v>666434.99</v>
      </c>
      <c r="F17" s="237" t="s">
        <v>1568</v>
      </c>
    </row>
    <row r="18" spans="1:6" ht="15" x14ac:dyDescent="0.2">
      <c r="A18" s="237" t="s">
        <v>1555</v>
      </c>
      <c r="B18" s="250"/>
      <c r="F18" s="246" t="s">
        <v>1592</v>
      </c>
    </row>
    <row r="19" spans="1:6" ht="18" x14ac:dyDescent="0.25">
      <c r="A19" s="239" t="s">
        <v>725</v>
      </c>
      <c r="B19" s="241">
        <f>SUM(B17:B18)</f>
        <v>666434.99</v>
      </c>
    </row>
    <row r="21" spans="1:6" ht="18.75" thickBot="1" x14ac:dyDescent="0.3">
      <c r="A21" s="239" t="s">
        <v>1556</v>
      </c>
    </row>
    <row r="22" spans="1:6" ht="18.75" thickTop="1" x14ac:dyDescent="0.25">
      <c r="A22" s="239" t="s">
        <v>1557</v>
      </c>
      <c r="B22" s="245">
        <f>B14-B19</f>
        <v>-100267.42999999993</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116794.36</v>
      </c>
      <c r="F31" s="237" t="s">
        <v>1572</v>
      </c>
    </row>
    <row r="33" spans="1:6" ht="15" x14ac:dyDescent="0.2">
      <c r="A33" s="237" t="s">
        <v>1790</v>
      </c>
      <c r="B33" s="240">
        <f>'DOE25'!G477</f>
        <v>16526.930000000051</v>
      </c>
      <c r="F33" s="237" t="s">
        <v>1573</v>
      </c>
    </row>
    <row r="36" spans="1:6" ht="15" x14ac:dyDescent="0.2">
      <c r="A36" s="237" t="s">
        <v>1559</v>
      </c>
      <c r="B36" s="251">
        <v>45894</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2" sqref="B12"/>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Mascoma Valley Regional</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5774294.0300000003</v>
      </c>
      <c r="C9" s="166">
        <f>'DOE25'!G198+'DOE25'!G216+'DOE25'!G234+'DOE25'!G277+'DOE25'!G296+'DOE25'!G315</f>
        <v>3235506.0200000005</v>
      </c>
    </row>
    <row r="10" spans="1:3" x14ac:dyDescent="0.2">
      <c r="A10" t="s">
        <v>772</v>
      </c>
      <c r="B10" s="176">
        <f>3521008.01+1652709.84+16432.15+3177+29998.7+16968.95+913.4</f>
        <v>5241208.0500000007</v>
      </c>
      <c r="C10" s="176">
        <f>65922.56+974580.42+1729093.49+219847.49+858.48+21309.93+6336.61+248.9</f>
        <v>3018197.88</v>
      </c>
    </row>
    <row r="11" spans="1:3" x14ac:dyDescent="0.2">
      <c r="A11" t="s">
        <v>773</v>
      </c>
      <c r="B11" s="176">
        <f>233219.19+61367.55+4625</f>
        <v>299211.74</v>
      </c>
      <c r="C11" s="176">
        <f>150158.72+36318.37+878.08</f>
        <v>187355.16999999998</v>
      </c>
    </row>
    <row r="12" spans="1:3" x14ac:dyDescent="0.2">
      <c r="A12" t="s">
        <v>774</v>
      </c>
      <c r="B12" s="176">
        <f>7701+64171+162002.24</f>
        <v>233874.24</v>
      </c>
      <c r="C12" s="176">
        <f>12949.1+14905.89+2097.98</f>
        <v>29952.969999999998</v>
      </c>
    </row>
    <row r="13" spans="1:3" x14ac:dyDescent="0.2">
      <c r="A13" t="str">
        <f>IF(B9=B13,IF(C9=C13,"Check Total OK","Check Total Error"),"Check Total Error")</f>
        <v>Check Total OK</v>
      </c>
      <c r="B13" s="168">
        <f>SUM(B10:B12)</f>
        <v>5774294.0300000012</v>
      </c>
      <c r="C13" s="168">
        <f>SUM(C10:C12)</f>
        <v>3235506.02</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2688560.7600000002</v>
      </c>
      <c r="C18" s="166">
        <f>'DOE25'!G199+'DOE25'!G217+'DOE25'!G235+'DOE25'!G278+'DOE25'!G297+'DOE25'!G316</f>
        <v>1740384.3500000003</v>
      </c>
    </row>
    <row r="19" spans="1:3" x14ac:dyDescent="0.2">
      <c r="A19" t="s">
        <v>772</v>
      </c>
      <c r="B19" s="176">
        <f>250309.37+759264.81+58676.75+1645.42+4500+18972.86+2841.72+423026.58</f>
        <v>1519237.5100000002</v>
      </c>
      <c r="C19" s="176">
        <f>129011.66+184512.77+501189.35+22345.18+872.96+4172.64+11524.14+118.37+323.16+337.42+883.8+3726.27</f>
        <v>859017.7200000002</v>
      </c>
    </row>
    <row r="20" spans="1:3" x14ac:dyDescent="0.2">
      <c r="A20" t="s">
        <v>773</v>
      </c>
      <c r="B20" s="176">
        <f>108685.23+832793.91+48025.96+5347.1+1295.1</f>
        <v>996147.29999999993</v>
      </c>
      <c r="C20" s="176">
        <f>625839.2+106681.13+9235.74+634.16+316.48+43.72+1860.49+508.04</f>
        <v>745118.96</v>
      </c>
    </row>
    <row r="21" spans="1:3" x14ac:dyDescent="0.2">
      <c r="A21" t="s">
        <v>774</v>
      </c>
      <c r="B21" s="176">
        <f>170504.95+2500+171</f>
        <v>173175.95</v>
      </c>
      <c r="C21" s="176">
        <f>135672.54+191.25+338.25+12.05+33.58</f>
        <v>136247.66999999998</v>
      </c>
    </row>
    <row r="22" spans="1:3" x14ac:dyDescent="0.2">
      <c r="A22" t="str">
        <f>IF(B18=B22,IF(C18=C22,"Check Total OK","Check Total Error"),"Check Total Error")</f>
        <v>Check Total OK</v>
      </c>
      <c r="B22" s="168">
        <f>SUM(B19:B21)</f>
        <v>2688560.7600000002</v>
      </c>
      <c r="C22" s="168">
        <f>SUM(C19:C21)</f>
        <v>1740384.35</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153037.5</v>
      </c>
      <c r="C36" s="172">
        <f>'DOE25'!G201+'DOE25'!G219+'DOE25'!G237+'DOE25'!G280+'DOE25'!G299+'DOE25'!G318</f>
        <v>62806.239999999998</v>
      </c>
    </row>
    <row r="37" spans="1:3" x14ac:dyDescent="0.2">
      <c r="A37" t="s">
        <v>772</v>
      </c>
      <c r="B37" s="176">
        <f>64890+12000</f>
        <v>76890</v>
      </c>
      <c r="C37" s="176">
        <f>30164.42+1532.08+4562.99+12744.42+897.32+1623.6</f>
        <v>51524.829999999994</v>
      </c>
    </row>
    <row r="38" spans="1:3" x14ac:dyDescent="0.2">
      <c r="A38" t="s">
        <v>773</v>
      </c>
      <c r="B38" s="176"/>
      <c r="C38" s="176"/>
    </row>
    <row r="39" spans="1:3" x14ac:dyDescent="0.2">
      <c r="A39" t="s">
        <v>774</v>
      </c>
      <c r="B39" s="176">
        <f>54678.5+500+20969</f>
        <v>76147.5</v>
      </c>
      <c r="C39" s="176">
        <f>4144.4+938.3+3047.64+134.93+1587.91+1428.23</f>
        <v>11281.41</v>
      </c>
    </row>
    <row r="40" spans="1:3" x14ac:dyDescent="0.2">
      <c r="A40" t="str">
        <f>IF(B36=B40,IF(C36=C40,"Check Total OK","Check Total Error"),"Check Total Error")</f>
        <v>Check Total OK</v>
      </c>
      <c r="B40" s="168">
        <f>SUM(B37:B39)</f>
        <v>153037.5</v>
      </c>
      <c r="C40" s="168">
        <f>SUM(C37:C39)</f>
        <v>62806.239999999991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11" activePane="bottomLeft" state="frozen"/>
      <selection activeCell="F46" sqref="F46"/>
      <selection pane="bottomLeft" activeCell="G42" sqref="G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Mascoma Valley Regional</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16938564.650000002</v>
      </c>
      <c r="D5" s="19">
        <f>SUM('DOE25'!L198:L201)+SUM('DOE25'!L216:L219)+SUM('DOE25'!L234:L237)-F5-G5-H5</f>
        <v>16621813.439999999</v>
      </c>
      <c r="E5" s="179"/>
      <c r="F5" s="180"/>
      <c r="G5" s="19">
        <f>SUM('DOE25'!J198:J201)+SUM('DOE25'!J216:J219)+SUM('DOE25'!J234:J237)</f>
        <v>297043.68</v>
      </c>
      <c r="H5" s="19">
        <f>SUM('DOE25'!K198:K201)+SUM('DOE25'!K216:K219)+SUM('DOE25'!K234:K237)</f>
        <v>19707.53</v>
      </c>
      <c r="I5" s="191"/>
    </row>
    <row r="6" spans="1:9" x14ac:dyDescent="0.2">
      <c r="A6" s="31">
        <v>2100</v>
      </c>
      <c r="B6" t="s">
        <v>793</v>
      </c>
      <c r="C6" s="205">
        <f t="shared" si="0"/>
        <v>1859341.1900000002</v>
      </c>
      <c r="D6" s="19">
        <f>'DOE25'!L203+'DOE25'!L221+'DOE25'!L239-F6-G6-H6</f>
        <v>1845376.3000000003</v>
      </c>
      <c r="E6" s="179"/>
      <c r="F6" s="180"/>
      <c r="G6" s="19">
        <f>'DOE25'!J203+'DOE25'!J221+'DOE25'!J239</f>
        <v>379.68</v>
      </c>
      <c r="H6" s="19">
        <f>'DOE25'!K203+'DOE25'!K221+'DOE25'!K239</f>
        <v>13585.210000000001</v>
      </c>
      <c r="I6" s="191"/>
    </row>
    <row r="7" spans="1:9" x14ac:dyDescent="0.2">
      <c r="A7" s="31">
        <v>2200</v>
      </c>
      <c r="B7" t="s">
        <v>817</v>
      </c>
      <c r="C7" s="205">
        <f t="shared" si="0"/>
        <v>570361.55000000005</v>
      </c>
      <c r="D7" s="19">
        <f>'DOE25'!L204+'DOE25'!L222+'DOE25'!L240-F7-G7-H7</f>
        <v>570361.55000000005</v>
      </c>
      <c r="E7" s="179"/>
      <c r="F7" s="180"/>
      <c r="G7" s="19">
        <f>'DOE25'!J204+'DOE25'!J222+'DOE25'!J240</f>
        <v>0</v>
      </c>
      <c r="H7" s="19">
        <f>'DOE25'!K204+'DOE25'!K222+'DOE25'!K240</f>
        <v>0</v>
      </c>
      <c r="I7" s="191"/>
    </row>
    <row r="8" spans="1:9" x14ac:dyDescent="0.2">
      <c r="A8" s="31">
        <v>2300</v>
      </c>
      <c r="B8" t="s">
        <v>794</v>
      </c>
      <c r="C8" s="205">
        <f t="shared" si="0"/>
        <v>1902884.69</v>
      </c>
      <c r="D8" s="179"/>
      <c r="E8" s="19">
        <f>'DOE25'!L205+'DOE25'!L223+'DOE25'!L241-F8-G8-H8-D9-D11</f>
        <v>1805633.8399999999</v>
      </c>
      <c r="F8" s="180"/>
      <c r="G8" s="19">
        <f>'DOE25'!J205+'DOE25'!J223+'DOE25'!J241</f>
        <v>859.98</v>
      </c>
      <c r="H8" s="19">
        <f>'DOE25'!K205+'DOE25'!K223+'DOE25'!K241</f>
        <v>96390.87</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1613430.6099999999</v>
      </c>
      <c r="D12" s="19">
        <f>'DOE25'!L206+'DOE25'!L224+'DOE25'!L242-F12-G12-H12</f>
        <v>1605268.5599999998</v>
      </c>
      <c r="E12" s="179"/>
      <c r="F12" s="180"/>
      <c r="G12" s="19">
        <f>'DOE25'!J206+'DOE25'!J224+'DOE25'!J242</f>
        <v>965.1</v>
      </c>
      <c r="H12" s="19">
        <f>'DOE25'!K206+'DOE25'!K224+'DOE25'!K242</f>
        <v>7196.95</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2315722.2000000002</v>
      </c>
      <c r="D14" s="19">
        <f>'DOE25'!L208+'DOE25'!L226+'DOE25'!L244-F14-G14-H14</f>
        <v>2184686.9200000004</v>
      </c>
      <c r="E14" s="179"/>
      <c r="F14" s="180"/>
      <c r="G14" s="19">
        <f>'DOE25'!J208+'DOE25'!J226+'DOE25'!J244</f>
        <v>118390.48000000001</v>
      </c>
      <c r="H14" s="19">
        <f>'DOE25'!K208+'DOE25'!K226+'DOE25'!K244</f>
        <v>12644.8</v>
      </c>
      <c r="I14" s="191"/>
    </row>
    <row r="15" spans="1:9" x14ac:dyDescent="0.2">
      <c r="A15" s="31">
        <v>2700</v>
      </c>
      <c r="B15" t="s">
        <v>796</v>
      </c>
      <c r="C15" s="205">
        <f t="shared" si="0"/>
        <v>1819800.57</v>
      </c>
      <c r="D15" s="19">
        <f>'DOE25'!L209+'DOE25'!L227+'DOE25'!L245-F15-G15-H15</f>
        <v>1819800.57</v>
      </c>
      <c r="E15" s="179"/>
      <c r="F15" s="180"/>
      <c r="G15" s="19">
        <f>'DOE25'!J209+'DOE25'!J227+'DOE25'!J245</f>
        <v>0</v>
      </c>
      <c r="H15" s="19">
        <f>'DOE25'!K209+'DOE25'!K227+'DOE25'!K245</f>
        <v>0</v>
      </c>
      <c r="I15" s="191"/>
    </row>
    <row r="16" spans="1:9" x14ac:dyDescent="0.2">
      <c r="A16" s="31">
        <v>2800</v>
      </c>
      <c r="B16" t="s">
        <v>797</v>
      </c>
      <c r="C16" s="205">
        <f t="shared" si="0"/>
        <v>102273.76000000001</v>
      </c>
      <c r="D16" s="179"/>
      <c r="E16" s="19">
        <f>'DOE25'!L210+'DOE25'!L228+'DOE25'!L246-F16-G16-H16</f>
        <v>102273.76000000001</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83325.88</v>
      </c>
      <c r="D22" s="179"/>
      <c r="E22" s="179"/>
      <c r="F22" s="179"/>
      <c r="G22" s="19">
        <f>'DOE25'!L256+'DOE25'!L337</f>
        <v>83325.88</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1543359.6</v>
      </c>
      <c r="D25" s="179"/>
      <c r="E25" s="179"/>
      <c r="F25" s="190"/>
      <c r="G25" s="179"/>
      <c r="H25" s="179"/>
      <c r="I25" s="189">
        <f>'DOE25'!L261+'DOE25'!L262+'DOE25'!L342+'DOE25'!L343</f>
        <v>1543359.6</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666434.99</v>
      </c>
      <c r="D29" s="211">
        <f>'DOE25'!L359+'DOE25'!L360+'DOE25'!L361-'DOE25'!I368-F29-G29-H29-F39</f>
        <v>636664.25</v>
      </c>
      <c r="E29" s="179"/>
      <c r="F29" s="179"/>
      <c r="G29" s="19">
        <f>'DOE25'!J359+'DOE25'!J360+'DOE25'!J361</f>
        <v>29770.74</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1506134.1</v>
      </c>
      <c r="D31" s="19">
        <f>'DOE25'!L291+'DOE25'!L310+'DOE25'!L329+'DOE25'!L334+'DOE25'!L335+'DOE25'!L336-F31-G31-H31</f>
        <v>1358805.31</v>
      </c>
      <c r="E31" s="179"/>
      <c r="F31" s="180"/>
      <c r="G31" s="19">
        <f>'DOE25'!J291+'DOE25'!J310+'DOE25'!J329+'DOE25'!J334+'DOE25'!J335+'DOE25'!J336</f>
        <v>129539.77</v>
      </c>
      <c r="H31" s="19">
        <f>'DOE25'!K291+'DOE25'!K310+'DOE25'!K329+'DOE25'!K334+'DOE25'!K335+'DOE25'!K336</f>
        <v>17789.02</v>
      </c>
      <c r="I31" s="191"/>
    </row>
    <row r="32" spans="1:9" ht="12" thickBot="1" x14ac:dyDescent="0.25">
      <c r="C32" s="206"/>
      <c r="G32" s="187"/>
      <c r="H32" s="187"/>
      <c r="I32" s="193"/>
    </row>
    <row r="33" spans="1:9" ht="12" thickTop="1" x14ac:dyDescent="0.2">
      <c r="B33" t="s">
        <v>806</v>
      </c>
      <c r="D33" s="181">
        <f t="shared" ref="D33:I33" si="1">SUM(D5:D31)</f>
        <v>26642776.899999999</v>
      </c>
      <c r="E33" s="181">
        <f t="shared" si="1"/>
        <v>1907907.5999999999</v>
      </c>
      <c r="F33" s="181">
        <f t="shared" si="1"/>
        <v>0</v>
      </c>
      <c r="G33" s="181">
        <f t="shared" si="1"/>
        <v>660275.30999999994</v>
      </c>
      <c r="H33" s="181">
        <f t="shared" si="1"/>
        <v>167314.37999999998</v>
      </c>
      <c r="I33" s="181">
        <f t="shared" si="1"/>
        <v>1543359.6</v>
      </c>
    </row>
    <row r="34" spans="1:9" ht="12" thickBot="1" x14ac:dyDescent="0.25"/>
    <row r="35" spans="1:9" ht="12" thickBot="1" x14ac:dyDescent="0.25">
      <c r="B35" s="187" t="s">
        <v>827</v>
      </c>
      <c r="D35" s="188">
        <f>E33</f>
        <v>1907907.5999999999</v>
      </c>
      <c r="E35" s="184"/>
      <c r="F35" s="294" t="s">
        <v>1596</v>
      </c>
      <c r="G35" s="295"/>
      <c r="H35" s="295"/>
      <c r="I35" s="296"/>
    </row>
    <row r="36" spans="1:9" ht="12" thickTop="1" x14ac:dyDescent="0.2">
      <c r="B36" t="s">
        <v>807</v>
      </c>
      <c r="D36" s="19">
        <f>D33</f>
        <v>26642776.899999999</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90" zoomScaleNormal="90" workbookViewId="0">
      <selection activeCell="J12" sqref="J1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Mascoma Valley Regional</v>
      </c>
      <c r="B2">
        <f>'DOE25'!B2</f>
        <v>343</v>
      </c>
      <c r="J2" s="223" t="s">
        <v>1799</v>
      </c>
      <c r="K2" s="308">
        <f>SUM('DOE25'!L198:L201)+SUM('DOE25'!L277:L280)</f>
        <v>11264039.18</v>
      </c>
      <c r="L2" s="308">
        <f>'DOE25'!L203+'DOE25'!L282</f>
        <v>1316718.8000000003</v>
      </c>
      <c r="M2" s="308">
        <f>'DOE25'!L204+'DOE25'!L283</f>
        <v>669701.63</v>
      </c>
      <c r="N2" s="308">
        <f>'DOE25'!L206+'DOE25'!L285</f>
        <v>1033080.6799999999</v>
      </c>
      <c r="O2" s="316">
        <f>'Salaries-Benefits'!B10+'Salaries-Benefits'!B12+'Salaries-Benefits'!B19+'Salaries-Benefits'!B21+'Salaries-Benefits'!B28+'Salaries-Benefits'!B30+'Salaries-Benefits'!B37+'Salaries-Benefits'!B39</f>
        <v>7320533.2500000009</v>
      </c>
      <c r="P2" s="316">
        <f>'Salaries-Benefits'!B11+'Salaries-Benefits'!B20+'Salaries-Benefits'!B29+'Salaries-Benefits'!B38</f>
        <v>1295359.04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18164167.34</v>
      </c>
      <c r="G4" s="228">
        <f>'DOE25'!L212+'DOE25'!L291</f>
        <v>18164167.340000004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1097678.45</v>
      </c>
      <c r="E5" s="219"/>
      <c r="F5" s="231">
        <f>D5+E5</f>
        <v>1097678.45</v>
      </c>
      <c r="G5" s="222"/>
      <c r="H5" s="222"/>
      <c r="J5" s="71" t="s">
        <v>1840</v>
      </c>
      <c r="K5" s="20">
        <v>1097678.45</v>
      </c>
      <c r="L5" s="20"/>
      <c r="M5" s="20"/>
      <c r="N5" s="20"/>
      <c r="O5" s="20"/>
      <c r="P5" s="20"/>
      <c r="Q5" s="20"/>
    </row>
    <row r="6" spans="1:22" x14ac:dyDescent="0.2">
      <c r="A6" t="str" cm="1">
        <f t="array" ref="A6">IFERROR(INDEX('School Tables'!$A$4:$G$365,'School Tables'!$J4,3),"")</f>
        <v>Canaan Elementary School</v>
      </c>
      <c r="B6" s="229">
        <f>IFERROR(VLOOKUP(A6,'School Tables'!$C$3:$D$365,2,FALSE),"")</f>
        <v>21315</v>
      </c>
      <c r="C6" s="222" t="str">
        <f>IFERROR(INDEX('School Tables'!$B$3:$B$365,MATCH('School Level Expenditures'!B6,'School Tables'!$D$3:$D$365,0)),"")</f>
        <v>Mascoma Valley Regional</v>
      </c>
      <c r="D6" s="219">
        <v>5019587.41</v>
      </c>
      <c r="E6" s="219">
        <v>271024.15000000002</v>
      </c>
      <c r="F6" s="231">
        <f t="shared" ref="F6:F20" si="2">D6+E6</f>
        <v>5290611.5600000005</v>
      </c>
      <c r="G6" s="222"/>
      <c r="H6" s="222"/>
      <c r="J6" t="str">
        <f t="shared" ref="J6:J20" si="3">A6</f>
        <v>Canaan Elementary School</v>
      </c>
      <c r="K6" s="20">
        <f>3491852.15-340280.32</f>
        <v>3151571.83</v>
      </c>
      <c r="L6" s="20">
        <v>408182.83</v>
      </c>
      <c r="M6" s="307">
        <v>207607.51</v>
      </c>
      <c r="N6" s="20">
        <v>320255.01</v>
      </c>
      <c r="O6" s="20">
        <v>1537311.98</v>
      </c>
      <c r="P6" s="20">
        <v>272025.40000000002</v>
      </c>
      <c r="Q6" s="20">
        <v>36144.769999999997</v>
      </c>
    </row>
    <row r="7" spans="1:22" x14ac:dyDescent="0.2">
      <c r="A7" t="str" cm="1">
        <f t="array" ref="A7">IFERROR(INDEX('School Tables'!$A$4:$G$365,'School Tables'!$J5,3),"")</f>
        <v>Enfield Village School</v>
      </c>
      <c r="B7" s="229">
        <f>IFERROR(VLOOKUP(A7,'School Tables'!$C$3:$D$365,2,FALSE),"")</f>
        <v>21325</v>
      </c>
      <c r="C7" s="222" t="str">
        <f>IFERROR(INDEX('School Tables'!$B$3:$B$365,MATCH('School Level Expenditures'!B7,'School Tables'!$D$3:$D$365,0)),"")</f>
        <v>Mascoma Valley Regional</v>
      </c>
      <c r="D7" s="219">
        <v>4695743.0599999996</v>
      </c>
      <c r="E7" s="219">
        <v>253538.72</v>
      </c>
      <c r="F7" s="231">
        <f t="shared" si="2"/>
        <v>4949281.7799999993</v>
      </c>
      <c r="G7" s="222"/>
      <c r="H7" s="222"/>
      <c r="J7" t="str">
        <f t="shared" si="3"/>
        <v>Enfield Village School</v>
      </c>
      <c r="K7" s="20">
        <f>3266571.36-318326.75</f>
        <v>2948244.61</v>
      </c>
      <c r="L7" s="20">
        <v>381848.45</v>
      </c>
      <c r="M7" s="307">
        <v>194213.47</v>
      </c>
      <c r="N7" s="20">
        <v>299593.40000000002</v>
      </c>
      <c r="O7" s="20">
        <v>1390901.32</v>
      </c>
      <c r="P7" s="20">
        <v>246118.22</v>
      </c>
      <c r="Q7" s="20">
        <v>32702.41</v>
      </c>
    </row>
    <row r="8" spans="1:22" x14ac:dyDescent="0.2">
      <c r="A8" t="str" cm="1">
        <f t="array" ref="A8">IFERROR(INDEX('School Tables'!$A$4:$G$365,'School Tables'!$J6,3),"")</f>
        <v>Indian River School</v>
      </c>
      <c r="B8" s="229">
        <f>IFERROR(VLOOKUP(A8,'School Tables'!$C$3:$D$365,2,FALSE),"")</f>
        <v>26405</v>
      </c>
      <c r="C8" s="222" t="str">
        <f>IFERROR(INDEX('School Tables'!$B$3:$B$365,MATCH('School Level Expenditures'!B8,'School Tables'!$D$3:$D$365,0)),"")</f>
        <v>Mascoma Valley Regional</v>
      </c>
      <c r="D8" s="219">
        <v>6476886.9800000004</v>
      </c>
      <c r="E8" s="219">
        <v>349708.57</v>
      </c>
      <c r="F8" s="231">
        <f t="shared" si="2"/>
        <v>6826595.5500000007</v>
      </c>
      <c r="G8" s="222"/>
      <c r="H8" s="222"/>
      <c r="J8" t="str">
        <f t="shared" si="3"/>
        <v>Indian River School</v>
      </c>
      <c r="K8" s="20">
        <f>4505615.67-439071.38</f>
        <v>4066544.29</v>
      </c>
      <c r="L8" s="20">
        <v>526687.52</v>
      </c>
      <c r="M8" s="307">
        <v>267880.65000000002</v>
      </c>
      <c r="N8" s="20">
        <v>413232.27</v>
      </c>
      <c r="O8" s="20">
        <v>1976543.98</v>
      </c>
      <c r="P8" s="20">
        <v>349746.94</v>
      </c>
      <c r="Q8" s="20">
        <v>46471.85</v>
      </c>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17289895.899999999</v>
      </c>
      <c r="E21" s="261">
        <f>SUM(E5:E20)</f>
        <v>874271.44</v>
      </c>
      <c r="F21" s="216"/>
      <c r="G21" s="216"/>
      <c r="H21" s="216"/>
      <c r="K21" s="262">
        <f t="shared" ref="K21:Q21" si="4">SUM(K5:K20)</f>
        <v>11264039.18</v>
      </c>
      <c r="L21" s="262">
        <f t="shared" si="4"/>
        <v>1316718.8</v>
      </c>
      <c r="M21" s="262">
        <f t="shared" si="4"/>
        <v>669701.63</v>
      </c>
      <c r="N21" s="262">
        <f t="shared" si="4"/>
        <v>1033080.68</v>
      </c>
      <c r="O21" s="262">
        <f t="shared" si="4"/>
        <v>4904757.2799999993</v>
      </c>
      <c r="P21" s="262">
        <f t="shared" si="4"/>
        <v>867890.56</v>
      </c>
      <c r="Q21" s="262">
        <f t="shared" si="4"/>
        <v>115319.03</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6618868.3800000008</v>
      </c>
      <c r="L36" s="19">
        <f>'DOE25'!L239+'DOE25'!L320</f>
        <v>669907.65</v>
      </c>
      <c r="M36" s="19">
        <f>'DOE25'!L240+'DOE25'!L321</f>
        <v>262363.98</v>
      </c>
      <c r="N36" s="19">
        <f>'DOE25'!L242+'DOE25'!L323</f>
        <v>580349.92999999993</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10464345.980000002</v>
      </c>
      <c r="G38" s="228">
        <f>'DOE25'!L248+'DOE25'!L329</f>
        <v>10464345.98</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1388309.47</v>
      </c>
      <c r="E39" s="219"/>
      <c r="F39" s="231">
        <f t="shared" ref="F39:F44" si="10">D39+E39</f>
        <v>1388309.47</v>
      </c>
      <c r="G39" s="222"/>
      <c r="H39" s="222"/>
      <c r="J39" s="71" t="s">
        <v>1840</v>
      </c>
      <c r="K39" s="315">
        <v>1388309.47</v>
      </c>
      <c r="L39" s="315"/>
      <c r="M39" s="315"/>
      <c r="N39" s="315"/>
      <c r="O39" s="315">
        <v>2415775.9700000002</v>
      </c>
      <c r="P39" s="315">
        <v>427468.48</v>
      </c>
      <c r="Q39" s="20">
        <v>56798.93</v>
      </c>
    </row>
    <row r="40" spans="1:17" x14ac:dyDescent="0.2">
      <c r="A40" t="str" cm="1">
        <f t="array" ref="A40">IFERROR(INDEX('School Tables'!$W$4:$AC$120,'School Tables'!$AF4,3),"")</f>
        <v>Mascoma Valley Regional High School</v>
      </c>
      <c r="B40" s="229">
        <f>IFERROR(VLOOKUP(A40,'School Tables'!$Y$4:$Z$120,2,FALSE),"")</f>
        <v>21305</v>
      </c>
      <c r="C40" s="222" t="str">
        <f>IFERROR(INDEX('School Tables'!$X$4:$X$120,MATCH('School Level Expenditures'!A40,'School Tables'!$Y$4:$Y$120,0)),"")</f>
        <v>Mascoma Valley Regional</v>
      </c>
      <c r="D40" s="219">
        <f>9291107.98+727.74-847661.87</f>
        <v>8444173.8500000015</v>
      </c>
      <c r="E40" s="219">
        <v>631862.66</v>
      </c>
      <c r="F40" s="231">
        <f t="shared" si="10"/>
        <v>9076036.5100000016</v>
      </c>
      <c r="G40" s="222"/>
      <c r="H40" s="222"/>
      <c r="J40" t="str">
        <f>A40</f>
        <v>Mascoma Valley Regional High School</v>
      </c>
      <c r="K40" s="20">
        <f>6618868.38-1388309.47</f>
        <v>5230558.91</v>
      </c>
      <c r="L40" s="20">
        <v>669907.65</v>
      </c>
      <c r="M40" s="307">
        <v>262363.98</v>
      </c>
      <c r="N40" s="20">
        <v>580349.93000000005</v>
      </c>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9832483.3200000022</v>
      </c>
      <c r="E45" s="262">
        <f>SUM(E39:E44)</f>
        <v>631862.66</v>
      </c>
      <c r="K45" s="262">
        <f t="shared" ref="K45:P45" si="11">SUM(K39:K44)</f>
        <v>6618868.3799999999</v>
      </c>
      <c r="L45" s="262">
        <f t="shared" si="11"/>
        <v>669907.65</v>
      </c>
      <c r="M45" s="262">
        <f t="shared" si="11"/>
        <v>262363.98</v>
      </c>
      <c r="N45" s="262">
        <f t="shared" si="11"/>
        <v>580349.93000000005</v>
      </c>
      <c r="O45" s="262">
        <f t="shared" si="11"/>
        <v>2415775.9700000002</v>
      </c>
      <c r="P45" s="262">
        <f t="shared" si="11"/>
        <v>427468.48</v>
      </c>
      <c r="Q45" s="262">
        <f>SUM(Q39:Q44)</f>
        <v>56798.93</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91" zoomScale="80" zoomScaleNormal="80" workbookViewId="0">
      <selection activeCell="O128" sqref="O1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Mascoma Valley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3192715.85</v>
      </c>
      <c r="D8" s="73">
        <f>'DOE25'!G9</f>
        <v>0</v>
      </c>
      <c r="E8" s="73">
        <f>'DOE25'!H9</f>
        <v>130578.75</v>
      </c>
      <c r="F8" s="73">
        <f>'DOE25'!I9</f>
        <v>0</v>
      </c>
      <c r="G8" s="73">
        <f>'DOE25'!J9</f>
        <v>0</v>
      </c>
      <c r="H8" s="13">
        <f>SUM(C8:G8)</f>
        <v>3323294.6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-31349.58</v>
      </c>
      <c r="D11" s="73">
        <f>'DOE25'!G12</f>
        <v>0</v>
      </c>
      <c r="E11" s="73">
        <f>'DOE25'!H12</f>
        <v>0</v>
      </c>
      <c r="F11" s="73">
        <f>'DOE25'!I12</f>
        <v>0</v>
      </c>
      <c r="G11" s="73">
        <f>'DOE25'!J12</f>
        <v>1151623.77</v>
      </c>
      <c r="H11" s="13">
        <f t="shared" si="0"/>
        <v>1120274.19</v>
      </c>
      <c r="I11" s="90"/>
    </row>
    <row r="12" spans="1:9" x14ac:dyDescent="0.2">
      <c r="A12" s="1" t="s">
        <v>143</v>
      </c>
      <c r="B12" s="6">
        <v>140</v>
      </c>
      <c r="C12" s="73">
        <f>'DOE25'!F13</f>
        <v>79738.38</v>
      </c>
      <c r="D12" s="73">
        <f>'DOE25'!G13</f>
        <v>331.25</v>
      </c>
      <c r="E12" s="73">
        <f>'DOE25'!H13</f>
        <v>145224.10999999999</v>
      </c>
      <c r="F12" s="73">
        <f>'DOE25'!I13</f>
        <v>0</v>
      </c>
      <c r="G12" s="73">
        <f>'DOE25'!J13</f>
        <v>0</v>
      </c>
      <c r="H12" s="13">
        <f t="shared" si="0"/>
        <v>225293.74</v>
      </c>
      <c r="I12" s="90"/>
    </row>
    <row r="13" spans="1:9" x14ac:dyDescent="0.2">
      <c r="A13" s="1" t="s">
        <v>144</v>
      </c>
      <c r="B13" s="6">
        <v>150</v>
      </c>
      <c r="C13" s="73">
        <f>'DOE25'!F14</f>
        <v>14085.68</v>
      </c>
      <c r="D13" s="73">
        <f>'DOE25'!G14</f>
        <v>46876.22</v>
      </c>
      <c r="E13" s="73">
        <f>'DOE25'!H14</f>
        <v>0</v>
      </c>
      <c r="F13" s="73">
        <f>'DOE25'!I14</f>
        <v>0</v>
      </c>
      <c r="G13" s="73">
        <f>'DOE25'!J14</f>
        <v>0</v>
      </c>
      <c r="H13" s="13">
        <f t="shared" si="0"/>
        <v>60961.9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-703480.94</v>
      </c>
      <c r="D16" s="73">
        <f>'DOE25'!G17</f>
        <v>0</v>
      </c>
      <c r="E16" s="73">
        <f>'DOE25'!H17</f>
        <v>0</v>
      </c>
      <c r="F16" s="73">
        <f>'DOE25'!I17</f>
        <v>0</v>
      </c>
      <c r="G16" s="73">
        <f>'DOE25'!J17</f>
        <v>0</v>
      </c>
      <c r="H16" s="13">
        <f t="shared" si="0"/>
        <v>-703480.94</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2551709.39</v>
      </c>
      <c r="D18" s="38">
        <f>SUM(D8:D17)</f>
        <v>47207.47</v>
      </c>
      <c r="E18" s="38">
        <f>SUM(E8:E17)</f>
        <v>275802.86</v>
      </c>
      <c r="F18" s="38">
        <f>SUM(F8:F17)</f>
        <v>0</v>
      </c>
      <c r="G18" s="38">
        <f>SUM(G8:G17)</f>
        <v>1151623.77</v>
      </c>
      <c r="H18" s="38">
        <f t="shared" si="0"/>
        <v>4026343.49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162954.15</v>
      </c>
      <c r="D21" s="73">
        <f>'DOE25'!G22</f>
        <v>-55790.62</v>
      </c>
      <c r="E21" s="73">
        <f>'DOE25'!H22</f>
        <v>-161097.5</v>
      </c>
      <c r="F21" s="73">
        <f>'DOE25'!I22</f>
        <v>0</v>
      </c>
      <c r="G21" s="73">
        <f>'DOE25'!J22</f>
        <v>0</v>
      </c>
      <c r="H21" s="13">
        <f t="shared" ref="H21:H31" si="1">SUM(C21:G21)</f>
        <v>-53933.97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355736.41</v>
      </c>
      <c r="D23" s="73">
        <f>'DOE25'!G24</f>
        <v>74869.06</v>
      </c>
      <c r="E23" s="73">
        <f>'DOE25'!H24</f>
        <v>0</v>
      </c>
      <c r="F23" s="73">
        <f>'DOE25'!I24</f>
        <v>0</v>
      </c>
      <c r="G23" s="73">
        <f>'DOE25'!J24</f>
        <v>0</v>
      </c>
      <c r="H23" s="13">
        <f t="shared" si="1"/>
        <v>430605.47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53189.25</v>
      </c>
      <c r="D27" s="73">
        <f>'DOE25'!G28</f>
        <v>0</v>
      </c>
      <c r="E27" s="73">
        <f>'DOE25'!H28</f>
        <v>0</v>
      </c>
      <c r="F27" s="73">
        <f>'DOE25'!I28</f>
        <v>0</v>
      </c>
      <c r="G27" s="23" t="s">
        <v>288</v>
      </c>
      <c r="H27" s="13">
        <f t="shared" si="1"/>
        <v>53189.25</v>
      </c>
      <c r="I27" s="90"/>
    </row>
    <row r="28" spans="1:9" x14ac:dyDescent="0.2">
      <c r="A28" s="1" t="s">
        <v>157</v>
      </c>
      <c r="B28" s="6">
        <v>470</v>
      </c>
      <c r="C28" s="73">
        <f>'DOE25'!F29</f>
        <v>-469.22</v>
      </c>
      <c r="D28" s="73">
        <f>'DOE25'!G29</f>
        <v>0</v>
      </c>
      <c r="E28" s="73">
        <f>'DOE25'!H29</f>
        <v>0</v>
      </c>
      <c r="F28" s="73">
        <f>'DOE25'!I29</f>
        <v>0</v>
      </c>
      <c r="G28" s="23" t="s">
        <v>288</v>
      </c>
      <c r="H28" s="13">
        <f t="shared" si="1"/>
        <v>-469.22</v>
      </c>
      <c r="I28" s="90"/>
    </row>
    <row r="29" spans="1:9" x14ac:dyDescent="0.2">
      <c r="A29" s="1" t="s">
        <v>158</v>
      </c>
      <c r="B29" s="6">
        <v>480</v>
      </c>
      <c r="C29" s="73">
        <f>'DOE25'!F30</f>
        <v>0</v>
      </c>
      <c r="D29" s="73">
        <f>'DOE25'!G30</f>
        <v>11602.1</v>
      </c>
      <c r="E29" s="73">
        <f>'DOE25'!H30</f>
        <v>0</v>
      </c>
      <c r="F29" s="73">
        <f>'DOE25'!I30</f>
        <v>0</v>
      </c>
      <c r="G29" s="23" t="s">
        <v>288</v>
      </c>
      <c r="H29" s="13">
        <f t="shared" si="1"/>
        <v>11602.1</v>
      </c>
      <c r="I29" s="90"/>
    </row>
    <row r="30" spans="1:9" ht="12" thickBot="1" x14ac:dyDescent="0.25">
      <c r="A30" s="1" t="s">
        <v>159</v>
      </c>
      <c r="B30" s="56">
        <v>490</v>
      </c>
      <c r="C30" s="73">
        <f>'DOE25'!F31</f>
        <v>6000</v>
      </c>
      <c r="D30" s="73">
        <f>'DOE25'!G31</f>
        <v>0</v>
      </c>
      <c r="E30" s="73">
        <f>'DOE25'!H31</f>
        <v>0</v>
      </c>
      <c r="F30" s="73">
        <f>'DOE25'!I31</f>
        <v>0</v>
      </c>
      <c r="G30" s="73">
        <f>'DOE25'!J31</f>
        <v>0</v>
      </c>
      <c r="H30" s="13">
        <f t="shared" si="1"/>
        <v>6000</v>
      </c>
      <c r="I30" s="90"/>
    </row>
    <row r="31" spans="1:9" ht="12" thickTop="1" x14ac:dyDescent="0.2">
      <c r="A31" s="35" t="s">
        <v>160</v>
      </c>
      <c r="B31" s="2"/>
      <c r="C31" s="38">
        <f>SUM(C21:C30)</f>
        <v>577410.59</v>
      </c>
      <c r="D31" s="38">
        <f>SUM(D21:D30)</f>
        <v>30680.539999999994</v>
      </c>
      <c r="E31" s="38">
        <f>SUM(E21:E30)</f>
        <v>-161097.5</v>
      </c>
      <c r="F31" s="38">
        <f>SUM(F21:F30)</f>
        <v>0</v>
      </c>
      <c r="G31" s="38">
        <f>SUM(G21:G30)</f>
        <v>0</v>
      </c>
      <c r="H31" s="38">
        <f t="shared" si="1"/>
        <v>446993.63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375000</v>
      </c>
      <c r="D43" s="73">
        <f>'DOE25'!G44</f>
        <v>0</v>
      </c>
      <c r="E43" s="73">
        <f>'DOE25'!H44</f>
        <v>0</v>
      </c>
      <c r="F43" s="73">
        <f>'DOE25'!I44</f>
        <v>0</v>
      </c>
      <c r="G43" s="23" t="s">
        <v>288</v>
      </c>
      <c r="H43" s="13">
        <f t="shared" si="2"/>
        <v>375000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650000</v>
      </c>
      <c r="D45" s="23" t="s">
        <v>288</v>
      </c>
      <c r="E45" s="23" t="s">
        <v>288</v>
      </c>
      <c r="F45" s="23" t="s">
        <v>288</v>
      </c>
      <c r="G45" s="23" t="s">
        <v>288</v>
      </c>
      <c r="H45" s="13">
        <f t="shared" si="2"/>
        <v>650000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16526.930000000008</v>
      </c>
      <c r="E47" s="73">
        <f>'DOE25'!H48</f>
        <v>130899.89</v>
      </c>
      <c r="F47" s="73">
        <f>'DOE25'!I48</f>
        <v>0</v>
      </c>
      <c r="G47" s="73">
        <f>'DOE25'!J48</f>
        <v>1151623.77</v>
      </c>
      <c r="H47" s="13">
        <f t="shared" si="2"/>
        <v>1299050.5900000001</v>
      </c>
      <c r="I47" s="90"/>
    </row>
    <row r="48" spans="1:9" x14ac:dyDescent="0.2">
      <c r="A48" s="1" t="s">
        <v>878</v>
      </c>
      <c r="B48" s="6">
        <v>753</v>
      </c>
      <c r="C48" s="73">
        <f>'DOE25'!F49</f>
        <v>150517</v>
      </c>
      <c r="D48" s="73">
        <f>'DOE25'!G49</f>
        <v>0</v>
      </c>
      <c r="E48" s="73">
        <f>'DOE25'!H49</f>
        <v>306000.46999999997</v>
      </c>
      <c r="F48" s="73">
        <f>'DOE25'!I49</f>
        <v>0</v>
      </c>
      <c r="G48" s="73">
        <f>'DOE25'!J49</f>
        <v>0</v>
      </c>
      <c r="H48" s="13">
        <f t="shared" si="2"/>
        <v>456517.47</v>
      </c>
      <c r="I48" s="90"/>
    </row>
    <row r="49" spans="1:9" ht="12" thickBot="1" x14ac:dyDescent="0.25">
      <c r="A49" s="28" t="s">
        <v>879</v>
      </c>
      <c r="B49" s="56">
        <v>770</v>
      </c>
      <c r="C49" s="73">
        <f>'DOE25'!F50</f>
        <v>798781.79999999993</v>
      </c>
      <c r="D49" s="23" t="s">
        <v>288</v>
      </c>
      <c r="E49" s="23" t="s">
        <v>288</v>
      </c>
      <c r="F49" s="23" t="s">
        <v>288</v>
      </c>
      <c r="G49" s="23" t="s">
        <v>288</v>
      </c>
      <c r="H49" s="13">
        <f t="shared" si="2"/>
        <v>798781.79999999993</v>
      </c>
      <c r="I49" s="90"/>
    </row>
    <row r="50" spans="1:9" ht="12.75" thickTop="1" thickBot="1" x14ac:dyDescent="0.25">
      <c r="A50" s="35" t="s">
        <v>880</v>
      </c>
      <c r="B50" s="44"/>
      <c r="C50" s="38">
        <f>SUM(C34:C49)</f>
        <v>1974298.7999999998</v>
      </c>
      <c r="D50" s="38">
        <f>SUM(D34:D49)</f>
        <v>16526.930000000008</v>
      </c>
      <c r="E50" s="38">
        <f>SUM(E34:E49)</f>
        <v>436900.36</v>
      </c>
      <c r="F50" s="38">
        <f>SUM(F34:F49)</f>
        <v>0</v>
      </c>
      <c r="G50" s="38">
        <f>SUM(G34:G49)</f>
        <v>1151623.77</v>
      </c>
      <c r="H50" s="38">
        <f t="shared" si="2"/>
        <v>3579349.86</v>
      </c>
      <c r="I50" s="90"/>
    </row>
    <row r="51" spans="1:9" ht="12" thickTop="1" x14ac:dyDescent="0.2">
      <c r="A51" s="35" t="s">
        <v>881</v>
      </c>
      <c r="B51" s="2"/>
      <c r="C51" s="38">
        <f>C50+C31</f>
        <v>2551709.3899999997</v>
      </c>
      <c r="D51" s="38">
        <f>D50+D31</f>
        <v>47207.47</v>
      </c>
      <c r="E51" s="38">
        <f>E50+E31</f>
        <v>275802.86</v>
      </c>
      <c r="F51" s="38">
        <f>F50+F31</f>
        <v>0</v>
      </c>
      <c r="G51" s="38">
        <f>G50+G31</f>
        <v>1151623.77</v>
      </c>
      <c r="H51" s="38">
        <f t="shared" si="2"/>
        <v>4026343.4899999998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20595996</v>
      </c>
      <c r="D56" s="73">
        <f>'DOE25'!G60</f>
        <v>0</v>
      </c>
      <c r="E56" s="73">
        <f>'DOE25'!H60</f>
        <v>0</v>
      </c>
      <c r="F56" s="73">
        <f>'DOE25'!I60</f>
        <v>0</v>
      </c>
      <c r="G56" s="73">
        <f>'DOE25'!J60</f>
        <v>0</v>
      </c>
      <c r="H56" s="13">
        <f t="shared" ref="H56:H63" si="3">SUM(C56:G56)</f>
        <v>20595996</v>
      </c>
      <c r="I56"/>
    </row>
    <row r="57" spans="1:9" x14ac:dyDescent="0.2">
      <c r="A57" s="1" t="s">
        <v>164</v>
      </c>
      <c r="B57" s="6" t="s">
        <v>165</v>
      </c>
      <c r="C57" s="73">
        <f>'DOE25'!F79</f>
        <v>9275.2800000000007</v>
      </c>
      <c r="D57" s="23" t="s">
        <v>288</v>
      </c>
      <c r="E57" s="73">
        <f>'DOE25'!H79</f>
        <v>80289.72</v>
      </c>
      <c r="F57" s="23" t="s">
        <v>288</v>
      </c>
      <c r="G57" s="23" t="s">
        <v>288</v>
      </c>
      <c r="H57" s="13">
        <f t="shared" si="3"/>
        <v>89565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2342.36</v>
      </c>
      <c r="D59" s="73">
        <f>'DOE25'!G96</f>
        <v>0</v>
      </c>
      <c r="E59" s="73">
        <f>'DOE25'!H96</f>
        <v>0</v>
      </c>
      <c r="F59" s="73">
        <f>'DOE25'!I96</f>
        <v>0</v>
      </c>
      <c r="G59" s="73">
        <f>'DOE25'!J96</f>
        <v>0</v>
      </c>
      <c r="H59" s="13">
        <f t="shared" si="3"/>
        <v>2342.36</v>
      </c>
      <c r="I59"/>
    </row>
    <row r="60" spans="1:9" x14ac:dyDescent="0.2">
      <c r="A60" s="1" t="s">
        <v>170</v>
      </c>
      <c r="B60" s="22" t="s">
        <v>171</v>
      </c>
      <c r="C60" s="23" t="s">
        <v>288</v>
      </c>
      <c r="D60" s="73">
        <f>'DOE25'!G97</f>
        <v>258997.59000000003</v>
      </c>
      <c r="E60" s="23" t="s">
        <v>288</v>
      </c>
      <c r="F60" s="23" t="s">
        <v>288</v>
      </c>
      <c r="G60" s="23" t="s">
        <v>288</v>
      </c>
      <c r="H60" s="13">
        <f t="shared" si="3"/>
        <v>258997.59000000003</v>
      </c>
      <c r="I60"/>
    </row>
    <row r="61" spans="1:9" ht="12" thickBot="1" x14ac:dyDescent="0.25">
      <c r="A61" s="1" t="s">
        <v>172</v>
      </c>
      <c r="B61" s="22" t="s">
        <v>173</v>
      </c>
      <c r="C61" s="73">
        <f>SUM('DOE25'!F98:F110)</f>
        <v>30504.720000000001</v>
      </c>
      <c r="D61" s="73">
        <f>SUM('DOE25'!G98:G110)</f>
        <v>0</v>
      </c>
      <c r="E61" s="73">
        <f>SUM('DOE25'!H98:H110)</f>
        <v>316325.3</v>
      </c>
      <c r="F61" s="73">
        <f>SUM('DOE25'!I98:I110)</f>
        <v>0</v>
      </c>
      <c r="G61" s="73">
        <f>SUM('DOE25'!J98:J110)</f>
        <v>0</v>
      </c>
      <c r="H61" s="13">
        <f t="shared" si="3"/>
        <v>346830.02</v>
      </c>
      <c r="I61"/>
    </row>
    <row r="62" spans="1:9" ht="12.75" thickTop="1" thickBot="1" x14ac:dyDescent="0.25">
      <c r="A62" s="28" t="s">
        <v>174</v>
      </c>
      <c r="B62" s="6"/>
      <c r="C62" s="93">
        <f>SUM(C57:C61)</f>
        <v>42122.36</v>
      </c>
      <c r="D62" s="93">
        <f>SUM(D57:D61)</f>
        <v>258997.59000000003</v>
      </c>
      <c r="E62" s="93">
        <f>SUM(E57:E61)</f>
        <v>396615.02</v>
      </c>
      <c r="F62" s="93">
        <f>SUM(F57:F61)</f>
        <v>0</v>
      </c>
      <c r="G62" s="93">
        <f>SUM(G57:G61)</f>
        <v>0</v>
      </c>
      <c r="H62" s="13">
        <f t="shared" si="3"/>
        <v>697734.97</v>
      </c>
      <c r="I62"/>
    </row>
    <row r="63" spans="1:9" ht="12" thickTop="1" x14ac:dyDescent="0.2">
      <c r="A63" s="28" t="s">
        <v>175</v>
      </c>
      <c r="B63" s="6"/>
      <c r="C63" s="21">
        <f>C56+C62</f>
        <v>20638118.359999999</v>
      </c>
      <c r="D63" s="21">
        <f>D56+D62</f>
        <v>258997.59000000003</v>
      </c>
      <c r="E63" s="21">
        <f>E56+E62</f>
        <v>396615.02</v>
      </c>
      <c r="F63" s="21">
        <f>F56+F62</f>
        <v>0</v>
      </c>
      <c r="G63" s="21">
        <f>G56+G62</f>
        <v>0</v>
      </c>
      <c r="H63" s="13">
        <f t="shared" si="3"/>
        <v>21293730.969999999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5202159.25</v>
      </c>
      <c r="D66" s="23" t="s">
        <v>288</v>
      </c>
      <c r="E66" s="23" t="s">
        <v>288</v>
      </c>
      <c r="F66" s="23" t="s">
        <v>288</v>
      </c>
      <c r="G66" s="23" t="s">
        <v>288</v>
      </c>
      <c r="H66" s="13">
        <f t="shared" ref="H66:H81" si="4">SUM(C66:G66)</f>
        <v>5202159.25</v>
      </c>
      <c r="I66"/>
    </row>
    <row r="67" spans="1:9" x14ac:dyDescent="0.2">
      <c r="A67" s="1" t="s">
        <v>767</v>
      </c>
      <c r="B67" s="6">
        <v>3112</v>
      </c>
      <c r="C67" s="73">
        <f>'DOE25'!F118</f>
        <v>2223561</v>
      </c>
      <c r="D67" s="23"/>
      <c r="E67" s="23"/>
      <c r="F67" s="23"/>
      <c r="G67" s="23"/>
      <c r="H67" s="13">
        <f t="shared" si="4"/>
        <v>2223561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5285.22</v>
      </c>
      <c r="D69" s="73">
        <f>'DOE25'!G120</f>
        <v>0</v>
      </c>
      <c r="E69" s="73">
        <f>'DOE25'!H120</f>
        <v>0</v>
      </c>
      <c r="F69" s="73">
        <f>'DOE25'!I120</f>
        <v>0</v>
      </c>
      <c r="G69" s="73">
        <f>'DOE25'!J120</f>
        <v>0</v>
      </c>
      <c r="H69" s="13">
        <f t="shared" si="4"/>
        <v>5285.22</v>
      </c>
      <c r="I69"/>
    </row>
    <row r="70" spans="1:9" ht="12" thickTop="1" x14ac:dyDescent="0.2">
      <c r="A70" s="28" t="s">
        <v>252</v>
      </c>
      <c r="B70" s="2"/>
      <c r="C70" s="97">
        <f>SUM(C66:C69)</f>
        <v>7431005.4699999997</v>
      </c>
      <c r="D70" s="97">
        <f>D69</f>
        <v>0</v>
      </c>
      <c r="E70" s="97">
        <f>E69</f>
        <v>0</v>
      </c>
      <c r="F70" s="97">
        <f>F69</f>
        <v>0</v>
      </c>
      <c r="G70" s="97">
        <f>G69</f>
        <v>0</v>
      </c>
      <c r="H70" s="13">
        <f t="shared" si="4"/>
        <v>7431005.4699999997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634470.62</v>
      </c>
      <c r="D75" s="23" t="s">
        <v>288</v>
      </c>
      <c r="E75" s="23" t="s">
        <v>288</v>
      </c>
      <c r="F75" s="23" t="s">
        <v>288</v>
      </c>
      <c r="G75" s="23" t="s">
        <v>288</v>
      </c>
      <c r="H75" s="13">
        <f t="shared" si="4"/>
        <v>634470.62</v>
      </c>
      <c r="I75"/>
    </row>
    <row r="76" spans="1:9" x14ac:dyDescent="0.2">
      <c r="A76" s="1" t="s">
        <v>257</v>
      </c>
      <c r="B76" s="6" t="s">
        <v>179</v>
      </c>
      <c r="C76" s="73">
        <f>SUM('DOE25'!F127:F130)</f>
        <v>173696.56</v>
      </c>
      <c r="D76" s="23" t="s">
        <v>288</v>
      </c>
      <c r="E76" s="73">
        <f>SUM('DOE25'!H127:H130)</f>
        <v>0</v>
      </c>
      <c r="F76" s="73">
        <f>SUM('DOE25'!I127:I130)</f>
        <v>0</v>
      </c>
      <c r="G76" s="23" t="s">
        <v>288</v>
      </c>
      <c r="H76" s="13">
        <f t="shared" si="4"/>
        <v>173696.56</v>
      </c>
      <c r="I76"/>
    </row>
    <row r="77" spans="1:9" ht="12" thickBot="1" x14ac:dyDescent="0.25">
      <c r="A77" s="1" t="s">
        <v>258</v>
      </c>
      <c r="B77" s="6" t="s">
        <v>180</v>
      </c>
      <c r="C77" s="73">
        <f>SUM('DOE25'!F131:F135)</f>
        <v>0</v>
      </c>
      <c r="D77" s="73">
        <f>SUM('DOE25'!G131:G135)</f>
        <v>6206.73</v>
      </c>
      <c r="E77" s="73">
        <f>SUM('DOE25'!H131:H135)</f>
        <v>0</v>
      </c>
      <c r="F77" s="73">
        <f>SUM('DOE25'!I131:I135)</f>
        <v>0</v>
      </c>
      <c r="G77" s="73">
        <f>SUM('DOE25'!J131:J135)</f>
        <v>0</v>
      </c>
      <c r="H77" s="13">
        <f t="shared" si="4"/>
        <v>6206.73</v>
      </c>
      <c r="I77"/>
    </row>
    <row r="78" spans="1:9" ht="12.75" thickTop="1" thickBot="1" x14ac:dyDescent="0.25">
      <c r="A78" s="28" t="s">
        <v>259</v>
      </c>
      <c r="B78" s="6"/>
      <c r="C78" s="93">
        <f>SUM(C72:C77)</f>
        <v>808167.17999999993</v>
      </c>
      <c r="D78" s="93">
        <f>SUM(D72:D77)</f>
        <v>6206.73</v>
      </c>
      <c r="E78" s="93">
        <f>SUM(E72:E77)</f>
        <v>0</v>
      </c>
      <c r="F78" s="93">
        <f>SUM(F72:F77)</f>
        <v>0</v>
      </c>
      <c r="G78" s="93">
        <f>SUM(G72:G77)</f>
        <v>0</v>
      </c>
      <c r="H78" s="13">
        <f t="shared" si="4"/>
        <v>814373.90999999992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8239172.6499999994</v>
      </c>
      <c r="D81" s="93">
        <f>SUM(D79:D80)+D78+D70</f>
        <v>6206.73</v>
      </c>
      <c r="E81" s="93">
        <f>SUM(E79:E80)+E78+E70</f>
        <v>0</v>
      </c>
      <c r="F81" s="93">
        <f>SUM(F79:F80)+F78+F70</f>
        <v>0</v>
      </c>
      <c r="G81" s="93">
        <f>SUM(G79:G80)+G78+G70</f>
        <v>0</v>
      </c>
      <c r="H81" s="93">
        <f t="shared" si="4"/>
        <v>8245379.3799999999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71573.81</v>
      </c>
      <c r="D88" s="252">
        <f>SUM('DOE25'!G153:G162)</f>
        <v>300963.24</v>
      </c>
      <c r="E88" s="252">
        <f>SUM('DOE25'!H153:H162)</f>
        <v>1063003.23</v>
      </c>
      <c r="F88" s="252">
        <f>SUM('DOE25'!I153:I162)</f>
        <v>0</v>
      </c>
      <c r="G88" s="23" t="s">
        <v>288</v>
      </c>
      <c r="H88" s="13">
        <f t="shared" si="5"/>
        <v>1435540.28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2589.79</v>
      </c>
      <c r="D90" s="23" t="s">
        <v>288</v>
      </c>
      <c r="E90" s="23" t="s">
        <v>288</v>
      </c>
      <c r="F90" s="23" t="s">
        <v>288</v>
      </c>
      <c r="G90" s="23" t="s">
        <v>288</v>
      </c>
      <c r="H90" s="13">
        <f t="shared" si="5"/>
        <v>2589.79</v>
      </c>
    </row>
    <row r="91" spans="1:9" ht="12.75" thickTop="1" thickBot="1" x14ac:dyDescent="0.25">
      <c r="A91" s="32" t="s">
        <v>747</v>
      </c>
      <c r="C91" s="94">
        <f>SUM(C85:C90)</f>
        <v>74163.599999999991</v>
      </c>
      <c r="D91" s="94">
        <f>SUM(D85:D90)</f>
        <v>300963.24</v>
      </c>
      <c r="E91" s="94">
        <f>SUM(E85:E90)</f>
        <v>1063003.23</v>
      </c>
      <c r="F91" s="94">
        <f>SUM(F85:F90)</f>
        <v>0</v>
      </c>
      <c r="G91" s="23" t="s">
        <v>288</v>
      </c>
      <c r="H91" s="13">
        <f t="shared" si="5"/>
        <v>1438130.0699999998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280000</v>
      </c>
      <c r="H96" s="13">
        <f t="shared" si="5"/>
        <v>280000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197818.7</v>
      </c>
      <c r="D99" s="73">
        <f>'DOE25'!G186</f>
        <v>0</v>
      </c>
      <c r="E99" s="73">
        <f>'DOE25'!H186</f>
        <v>0</v>
      </c>
      <c r="F99" s="73">
        <f>'DOE25'!I186</f>
        <v>0</v>
      </c>
      <c r="G99" s="23" t="s">
        <v>288</v>
      </c>
      <c r="H99" s="13">
        <f t="shared" si="5"/>
        <v>197818.7</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197818.7</v>
      </c>
      <c r="D103" s="68">
        <f>SUM(D93:D102)</f>
        <v>0</v>
      </c>
      <c r="E103" s="68">
        <f>SUM(E93:E102)</f>
        <v>0</v>
      </c>
      <c r="F103" s="68">
        <f>SUM(F93:F102)</f>
        <v>0</v>
      </c>
      <c r="G103" s="68">
        <f>SUM(G93:G102)</f>
        <v>280000</v>
      </c>
      <c r="H103" s="68">
        <f t="shared" si="5"/>
        <v>477818.7</v>
      </c>
    </row>
    <row r="104" spans="1:8" ht="12.75" thickTop="1" thickBot="1" x14ac:dyDescent="0.25">
      <c r="A104" s="32" t="s">
        <v>758</v>
      </c>
      <c r="C104" s="68">
        <f>C63+C81+C91+C103</f>
        <v>29149273.309999999</v>
      </c>
      <c r="D104" s="68">
        <f>D63+D81+D91+D103</f>
        <v>566167.56000000006</v>
      </c>
      <c r="E104" s="68">
        <f>E63+E81+E91+E103</f>
        <v>1459618.25</v>
      </c>
      <c r="F104" s="68">
        <f>F63+F81+F91+F103</f>
        <v>0</v>
      </c>
      <c r="G104" s="68">
        <f>G63+G81+G103</f>
        <v>280000</v>
      </c>
      <c r="H104" s="68">
        <f t="shared" si="5"/>
        <v>31455059.119999997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9619335</v>
      </c>
      <c r="D109" s="23" t="s">
        <v>288</v>
      </c>
      <c r="E109" s="73">
        <f>('DOE25'!L277)+('DOE25'!L296)+('DOE25'!L315)</f>
        <v>334348.69</v>
      </c>
      <c r="F109" s="23" t="s">
        <v>288</v>
      </c>
      <c r="G109" s="23" t="s">
        <v>288</v>
      </c>
      <c r="H109" s="13">
        <f t="shared" ref="H109:H115" si="6">SUM(C109:G109)</f>
        <v>9953683.6899999995</v>
      </c>
    </row>
    <row r="110" spans="1:8" x14ac:dyDescent="0.2">
      <c r="A110" t="s">
        <v>198</v>
      </c>
      <c r="B110" s="31" t="s">
        <v>199</v>
      </c>
      <c r="C110" s="73">
        <f>('DOE25'!L199)+('DOE25'!L217)+('DOE25'!L235)</f>
        <v>6843243.3500000015</v>
      </c>
      <c r="D110" s="23" t="s">
        <v>288</v>
      </c>
      <c r="E110" s="73">
        <f>('DOE25'!L278)+('DOE25'!L297)+('DOE25'!L316)</f>
        <v>441372.4</v>
      </c>
      <c r="F110" s="23" t="s">
        <v>288</v>
      </c>
      <c r="G110" s="23" t="s">
        <v>288</v>
      </c>
      <c r="H110" s="13">
        <f t="shared" si="6"/>
        <v>7284615.7500000019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475986.30000000005</v>
      </c>
      <c r="D112" s="23" t="s">
        <v>288</v>
      </c>
      <c r="E112" s="73">
        <f>+('DOE25'!L280)+('DOE25'!L299)+('DOE25'!L318)</f>
        <v>168621.81999999998</v>
      </c>
      <c r="F112" s="23" t="s">
        <v>288</v>
      </c>
      <c r="G112" s="23" t="s">
        <v>288</v>
      </c>
      <c r="H112" s="13">
        <f t="shared" si="6"/>
        <v>644608.12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16938564.650000002</v>
      </c>
      <c r="D115" s="68">
        <f>SUM(D109:D114)</f>
        <v>0</v>
      </c>
      <c r="E115" s="68">
        <f>SUM(E109:E114)</f>
        <v>944342.91</v>
      </c>
      <c r="F115" s="68">
        <f>SUM(F109:F114)</f>
        <v>0</v>
      </c>
      <c r="G115" s="68">
        <f>SUM(G109:G114)</f>
        <v>0</v>
      </c>
      <c r="H115" s="68">
        <f t="shared" si="6"/>
        <v>17882907.560000002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1859341.1900000002</v>
      </c>
      <c r="D118" s="23" t="s">
        <v>288</v>
      </c>
      <c r="E118" s="73">
        <f>+('DOE25'!L282)+('DOE25'!L301)+('DOE25'!L320)</f>
        <v>127285.26000000001</v>
      </c>
      <c r="F118" s="23" t="s">
        <v>288</v>
      </c>
      <c r="G118" s="23" t="s">
        <v>288</v>
      </c>
      <c r="H118" s="13">
        <f t="shared" ref="H118:H145" si="7">SUM(C118:G118)</f>
        <v>1986626.4500000002</v>
      </c>
    </row>
    <row r="119" spans="1:8" x14ac:dyDescent="0.2">
      <c r="A119" t="s">
        <v>208</v>
      </c>
      <c r="B119" s="31" t="s">
        <v>209</v>
      </c>
      <c r="C119" s="73">
        <f>('DOE25'!L204)+('DOE25'!L222)+('DOE25'!L240)</f>
        <v>570361.55000000005</v>
      </c>
      <c r="D119" s="23" t="s">
        <v>288</v>
      </c>
      <c r="E119" s="73">
        <f>+('DOE25'!L283)+('DOE25'!L302)+('DOE25'!L321)</f>
        <v>361704.06000000006</v>
      </c>
      <c r="F119" s="23" t="s">
        <v>288</v>
      </c>
      <c r="G119" s="23" t="s">
        <v>288</v>
      </c>
      <c r="H119" s="13">
        <f t="shared" si="7"/>
        <v>932065.6100000001</v>
      </c>
    </row>
    <row r="120" spans="1:8" x14ac:dyDescent="0.2">
      <c r="A120" t="s">
        <v>210</v>
      </c>
      <c r="B120" s="31" t="s">
        <v>211</v>
      </c>
      <c r="C120" s="73">
        <f>('DOE25'!L205)+('DOE25'!L223)+('DOE25'!L241)</f>
        <v>1902884.69</v>
      </c>
      <c r="D120" s="23" t="s">
        <v>288</v>
      </c>
      <c r="E120" s="73">
        <f>+('DOE25'!L284)+('DOE25'!L303)+('DOE25'!L322)</f>
        <v>0</v>
      </c>
      <c r="F120" s="23" t="s">
        <v>288</v>
      </c>
      <c r="G120" s="23" t="s">
        <v>288</v>
      </c>
      <c r="H120" s="13">
        <f t="shared" si="7"/>
        <v>1902884.69</v>
      </c>
    </row>
    <row r="121" spans="1:8" x14ac:dyDescent="0.2">
      <c r="A121" t="s">
        <v>212</v>
      </c>
      <c r="B121" s="31" t="s">
        <v>213</v>
      </c>
      <c r="C121" s="73">
        <f>('DOE25'!L206)+('DOE25'!L224)+('DOE25'!L242)</f>
        <v>1613430.6099999999</v>
      </c>
      <c r="D121" s="23" t="s">
        <v>288</v>
      </c>
      <c r="E121" s="73">
        <f>+('DOE25'!L285)+('DOE25'!L304)+('DOE25'!L323)</f>
        <v>0</v>
      </c>
      <c r="F121" s="23" t="s">
        <v>288</v>
      </c>
      <c r="G121" s="23" t="s">
        <v>288</v>
      </c>
      <c r="H121" s="13">
        <f t="shared" si="7"/>
        <v>1613430.6099999999</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2315722.2000000002</v>
      </c>
      <c r="D123" s="23" t="s">
        <v>288</v>
      </c>
      <c r="E123" s="73">
        <f>+('DOE25'!L287)+('DOE25'!L306)+('DOE25'!L325)</f>
        <v>72801.87</v>
      </c>
      <c r="F123" s="23" t="s">
        <v>288</v>
      </c>
      <c r="G123" s="23" t="s">
        <v>288</v>
      </c>
      <c r="H123" s="13">
        <f t="shared" si="7"/>
        <v>2388524.0700000003</v>
      </c>
    </row>
    <row r="124" spans="1:8" x14ac:dyDescent="0.2">
      <c r="A124" t="s">
        <v>218</v>
      </c>
      <c r="B124" s="31" t="s">
        <v>219</v>
      </c>
      <c r="C124" s="73">
        <f>('DOE25'!L209)+('DOE25'!L227)+('DOE25'!L245+'DOE25'!L255)</f>
        <v>1819800.57</v>
      </c>
      <c r="D124" s="23" t="s">
        <v>288</v>
      </c>
      <c r="E124" s="73">
        <f>+('DOE25'!L288)+('DOE25'!L307)+('DOE25'!L326)</f>
        <v>0</v>
      </c>
      <c r="F124" s="23" t="s">
        <v>288</v>
      </c>
      <c r="G124" s="23" t="s">
        <v>288</v>
      </c>
      <c r="H124" s="13">
        <f t="shared" si="7"/>
        <v>1819800.57</v>
      </c>
    </row>
    <row r="125" spans="1:8" x14ac:dyDescent="0.2">
      <c r="A125" t="s">
        <v>220</v>
      </c>
      <c r="B125" s="31" t="s">
        <v>221</v>
      </c>
      <c r="C125" s="73">
        <f>('DOE25'!L210)+('DOE25'!L228)+('DOE25'!L246)</f>
        <v>102273.76000000001</v>
      </c>
      <c r="D125" s="23" t="s">
        <v>288</v>
      </c>
      <c r="E125" s="73">
        <f>+('DOE25'!L289)+('DOE25'!L308)+('DOE25'!L327)</f>
        <v>0</v>
      </c>
      <c r="F125" s="23" t="s">
        <v>288</v>
      </c>
      <c r="G125" s="23" t="s">
        <v>288</v>
      </c>
      <c r="H125" s="13">
        <f t="shared" si="7"/>
        <v>102273.76000000001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666434.99</v>
      </c>
      <c r="E127" s="23" t="s">
        <v>288</v>
      </c>
      <c r="F127" s="23" t="s">
        <v>288</v>
      </c>
      <c r="G127" s="23" t="s">
        <v>288</v>
      </c>
      <c r="H127" s="13">
        <f t="shared" si="7"/>
        <v>666434.99</v>
      </c>
    </row>
    <row r="128" spans="1:8" ht="12.75" thickTop="1" thickBot="1" x14ac:dyDescent="0.25">
      <c r="A128" s="32" t="s">
        <v>226</v>
      </c>
      <c r="C128" s="68">
        <f>SUM(C118:C127)</f>
        <v>10183814.569999998</v>
      </c>
      <c r="D128" s="68">
        <f>SUM(D118:D127)</f>
        <v>666434.99</v>
      </c>
      <c r="E128" s="68">
        <f>SUM(E118:E127)</f>
        <v>561791.19000000006</v>
      </c>
      <c r="F128" s="68">
        <f>SUM(F118:F127)</f>
        <v>0</v>
      </c>
      <c r="G128" s="68">
        <f>SUM(G118:G127)</f>
        <v>0</v>
      </c>
      <c r="H128" s="68">
        <f t="shared" si="7"/>
        <v>11412040.749999998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74940</v>
      </c>
      <c r="D130" s="23" t="s">
        <v>288</v>
      </c>
      <c r="E130" s="92">
        <f>'DOE25'!L337</f>
        <v>8385.880000000001</v>
      </c>
      <c r="F130" s="92">
        <f>SUM('DOE25'!L375:'DOE25'!L381)</f>
        <v>0</v>
      </c>
      <c r="G130" s="23" t="s">
        <v>288</v>
      </c>
      <c r="H130" s="13">
        <f t="shared" si="7"/>
        <v>83325.88</v>
      </c>
    </row>
    <row r="131" spans="1:8" x14ac:dyDescent="0.2">
      <c r="A131" t="s">
        <v>229</v>
      </c>
      <c r="B131" s="31">
        <v>5110</v>
      </c>
      <c r="C131" s="73">
        <f>'DOE25'!L261</f>
        <v>860101.2</v>
      </c>
      <c r="D131" s="23" t="s">
        <v>288</v>
      </c>
      <c r="E131" s="92">
        <f>'DOE25'!L342</f>
        <v>0</v>
      </c>
      <c r="F131" s="23" t="s">
        <v>288</v>
      </c>
      <c r="G131" s="23" t="s">
        <v>288</v>
      </c>
      <c r="H131" s="13">
        <f t="shared" si="7"/>
        <v>860101.2</v>
      </c>
    </row>
    <row r="132" spans="1:8" x14ac:dyDescent="0.2">
      <c r="A132" t="s">
        <v>230</v>
      </c>
      <c r="B132" s="31">
        <v>5120</v>
      </c>
      <c r="C132" s="73">
        <f>'DOE25'!L262</f>
        <v>683258.4</v>
      </c>
      <c r="D132" s="23" t="s">
        <v>288</v>
      </c>
      <c r="E132" s="92">
        <f>'DOE25'!L343</f>
        <v>0</v>
      </c>
      <c r="F132" s="23" t="s">
        <v>288</v>
      </c>
      <c r="G132" s="23" t="s">
        <v>288</v>
      </c>
      <c r="H132" s="13">
        <f t="shared" si="7"/>
        <v>683258.4</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203818.7</v>
      </c>
      <c r="H134" s="13">
        <f t="shared" si="7"/>
        <v>203818.7</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280000</v>
      </c>
      <c r="D139" s="23" t="s">
        <v>288</v>
      </c>
      <c r="E139" s="23" t="s">
        <v>288</v>
      </c>
      <c r="F139" s="23" t="s">
        <v>288</v>
      </c>
      <c r="G139" s="23" t="s">
        <v>288</v>
      </c>
      <c r="H139" s="13">
        <f t="shared" si="7"/>
        <v>280000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52500</v>
      </c>
      <c r="D142" s="23" t="s">
        <v>288</v>
      </c>
      <c r="E142" s="92">
        <f>'DOE25'!L350</f>
        <v>0</v>
      </c>
      <c r="F142" s="23" t="s">
        <v>288</v>
      </c>
      <c r="G142" s="23" t="s">
        <v>288</v>
      </c>
      <c r="H142" s="13">
        <f t="shared" si="7"/>
        <v>52500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1950799.6</v>
      </c>
      <c r="D144" s="98">
        <f>SUM(D130:D143)</f>
        <v>0</v>
      </c>
      <c r="E144" s="98">
        <f>SUM(E130:E143)</f>
        <v>8385.880000000001</v>
      </c>
      <c r="F144" s="98">
        <f>SUM(F130:F143)</f>
        <v>0</v>
      </c>
      <c r="G144" s="98">
        <f>SUM(G130:G143)</f>
        <v>203818.7</v>
      </c>
      <c r="H144" s="98">
        <f t="shared" si="7"/>
        <v>2163004.1800000002</v>
      </c>
    </row>
    <row r="145" spans="1:9" ht="12.75" thickTop="1" thickBot="1" x14ac:dyDescent="0.25">
      <c r="A145" s="32" t="s">
        <v>244</v>
      </c>
      <c r="C145" s="68">
        <f>(C115+C128+C144)</f>
        <v>29073178.82</v>
      </c>
      <c r="D145" s="68">
        <f>(D115+D128+D144)</f>
        <v>666434.99</v>
      </c>
      <c r="E145" s="68">
        <f>(E115+E128+E144)</f>
        <v>1514519.98</v>
      </c>
      <c r="F145" s="68">
        <f>(F115+F128+F144)</f>
        <v>0</v>
      </c>
      <c r="G145" s="68">
        <f>(G115+G128+G144)</f>
        <v>203818.7</v>
      </c>
      <c r="H145" s="68">
        <f t="shared" si="7"/>
        <v>31457952.489999998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15</v>
      </c>
      <c r="C151" s="110">
        <f>'DOE25'!G491</f>
        <v>25</v>
      </c>
      <c r="D151" s="110">
        <f>'DOE25'!H491</f>
        <v>25</v>
      </c>
      <c r="E151" s="110">
        <f>'DOE25'!I491</f>
        <v>25</v>
      </c>
      <c r="F151" s="110">
        <f>'DOE25'!J491</f>
        <v>0</v>
      </c>
      <c r="G151" s="23" t="s">
        <v>288</v>
      </c>
    </row>
    <row r="152" spans="1:9" x14ac:dyDescent="0.2">
      <c r="A152" s="21" t="s">
        <v>28</v>
      </c>
      <c r="B152" s="109" t="str">
        <f>'DOE25'!F492</f>
        <v>5/20/2013</v>
      </c>
      <c r="C152" s="109" t="str">
        <f>'DOE25'!G492</f>
        <v>6/12/2014</v>
      </c>
      <c r="D152" s="109">
        <f>'DOE25'!H492</f>
        <v>0</v>
      </c>
      <c r="E152" s="109">
        <f>'DOE25'!I492</f>
        <v>0</v>
      </c>
      <c r="F152" s="109">
        <f>'DOE25'!J492</f>
        <v>0</v>
      </c>
      <c r="G152" s="23" t="s">
        <v>288</v>
      </c>
    </row>
    <row r="153" spans="1:9" x14ac:dyDescent="0.2">
      <c r="A153" s="21" t="s">
        <v>29</v>
      </c>
      <c r="B153" s="109" t="str">
        <f>'DOE25'!F493</f>
        <v>11/10/2028</v>
      </c>
      <c r="C153" s="109" t="str">
        <f>'DOE25'!G493</f>
        <v>12/16/2039</v>
      </c>
      <c r="D153" s="109">
        <f>'DOE25'!H493</f>
        <v>0</v>
      </c>
      <c r="E153" s="109">
        <f>'DOE25'!I493</f>
        <v>0</v>
      </c>
      <c r="F153" s="109">
        <f>'DOE25'!J493</f>
        <v>0</v>
      </c>
      <c r="G153" s="23" t="s">
        <v>288</v>
      </c>
    </row>
    <row r="154" spans="1:9" x14ac:dyDescent="0.2">
      <c r="A154" s="21" t="s">
        <v>30</v>
      </c>
      <c r="B154" s="19">
        <f>'DOE25'!F494</f>
        <v>2025525</v>
      </c>
      <c r="C154" s="19">
        <f>'DOE25'!G494</f>
        <v>4150000</v>
      </c>
      <c r="D154" s="19">
        <f>'DOE25'!H494</f>
        <v>10000000</v>
      </c>
      <c r="E154" s="19">
        <f>'DOE25'!I494</f>
        <v>7358000</v>
      </c>
      <c r="F154" s="19">
        <f>'DOE25'!J494</f>
        <v>0</v>
      </c>
      <c r="G154" s="23" t="s">
        <v>288</v>
      </c>
    </row>
    <row r="155" spans="1:9" x14ac:dyDescent="0.2">
      <c r="A155" s="21" t="s">
        <v>31</v>
      </c>
      <c r="B155" s="19">
        <f>'DOE25'!F495</f>
        <v>2.59</v>
      </c>
      <c r="C155" s="19">
        <f>'DOE25'!G495</f>
        <v>3.01</v>
      </c>
      <c r="D155" s="19">
        <f>'DOE25'!H495</f>
        <v>4.12</v>
      </c>
      <c r="E155" s="19">
        <f>'DOE25'!I495</f>
        <v>4.26</v>
      </c>
      <c r="F155" s="19">
        <f>'DOE25'!J495</f>
        <v>0</v>
      </c>
      <c r="G155" s="23" t="s">
        <v>288</v>
      </c>
    </row>
    <row r="156" spans="1:9" x14ac:dyDescent="0.2">
      <c r="A156" s="21" t="s">
        <v>32</v>
      </c>
      <c r="B156" s="19">
        <f>'DOE25'!F496</f>
        <v>845680.26</v>
      </c>
      <c r="C156" s="19">
        <f>'DOE25'!G496</f>
        <v>3071543.4</v>
      </c>
      <c r="D156" s="19">
        <f>'DOE25'!H496</f>
        <v>7869717.1500000004</v>
      </c>
      <c r="E156" s="19">
        <f>'DOE25'!I496</f>
        <v>16865124.34</v>
      </c>
      <c r="F156" s="19">
        <f>'DOE25'!J496</f>
        <v>0</v>
      </c>
      <c r="G156" s="96">
        <f>SUM(B156:F156)</f>
        <v>28652065.149999999</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902816.94</v>
      </c>
      <c r="C159" s="19">
        <f>'DOE25'!G499</f>
        <v>2925776.74</v>
      </c>
      <c r="D159" s="19">
        <f>'DOE25'!H499</f>
        <v>7546177.5199999996</v>
      </c>
      <c r="E159" s="19">
        <f>'DOE25'!I499</f>
        <v>16164986.32</v>
      </c>
      <c r="F159" s="19">
        <f>'DOE25'!J499</f>
        <v>0</v>
      </c>
      <c r="G159" s="96">
        <f t="shared" si="8"/>
        <v>27539757.52</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902816.94</v>
      </c>
      <c r="C161" s="19">
        <f>'DOE25'!G501</f>
        <v>2925776.74</v>
      </c>
      <c r="D161" s="19">
        <f>'DOE25'!H501</f>
        <v>7546177.5199999996</v>
      </c>
      <c r="E161" s="19">
        <f>'DOE25'!I501</f>
        <v>16164986.32</v>
      </c>
      <c r="F161" s="19">
        <f>'DOE25'!J501</f>
        <v>0</v>
      </c>
      <c r="G161" s="96">
        <f t="shared" si="8"/>
        <v>27539757.52</v>
      </c>
    </row>
    <row r="162" spans="1:7" x14ac:dyDescent="0.2">
      <c r="A162" s="21" t="s">
        <v>38</v>
      </c>
      <c r="B162" s="19">
        <f>'DOE25'!F502</f>
        <v>163979.34</v>
      </c>
      <c r="C162" s="19">
        <f>'DOE25'!G502</f>
        <v>150462.47</v>
      </c>
      <c r="D162" s="19">
        <f>'DOE25'!H502</f>
        <v>337997.3</v>
      </c>
      <c r="E162" s="19">
        <f>'DOE25'!I502</f>
        <v>241540.33</v>
      </c>
      <c r="F162" s="19">
        <f>'DOE25'!J502</f>
        <v>0</v>
      </c>
      <c r="G162" s="96">
        <f t="shared" si="8"/>
        <v>893979.44</v>
      </c>
    </row>
    <row r="163" spans="1:7" x14ac:dyDescent="0.2">
      <c r="A163" s="21" t="s">
        <v>39</v>
      </c>
      <c r="B163" s="19">
        <f>'DOE25'!F503</f>
        <v>20881.16</v>
      </c>
      <c r="C163" s="19">
        <f>'DOE25'!G503</f>
        <v>86007.01</v>
      </c>
      <c r="D163" s="19">
        <f>'DOE25'!H503</f>
        <v>304588.18</v>
      </c>
      <c r="E163" s="19">
        <f>'DOE25'!I503</f>
        <v>237859.31</v>
      </c>
      <c r="F163" s="19">
        <f>'DOE25'!J503</f>
        <v>0</v>
      </c>
      <c r="G163" s="96">
        <f t="shared" si="8"/>
        <v>649335.65999999992</v>
      </c>
    </row>
    <row r="164" spans="1:7" x14ac:dyDescent="0.2">
      <c r="A164" s="21" t="s">
        <v>246</v>
      </c>
      <c r="B164" s="19">
        <f>'DOE25'!F504</f>
        <v>184860.5</v>
      </c>
      <c r="C164" s="19">
        <f>'DOE25'!G504</f>
        <v>236469.47999999998</v>
      </c>
      <c r="D164" s="19">
        <f>'DOE25'!H504</f>
        <v>642585.48</v>
      </c>
      <c r="E164" s="19">
        <f>'DOE25'!I504</f>
        <v>479399.64</v>
      </c>
      <c r="F164" s="19">
        <f>'DOE25'!J504</f>
        <v>0</v>
      </c>
      <c r="G164" s="96">
        <f t="shared" si="8"/>
        <v>1543315.1</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Mascoma Valley Regional</v>
      </c>
    </row>
    <row r="3" spans="1:4" x14ac:dyDescent="0.2">
      <c r="B3" s="136" t="s">
        <v>1792</v>
      </c>
    </row>
    <row r="4" spans="1:4" x14ac:dyDescent="0.2">
      <c r="B4" t="s">
        <v>61</v>
      </c>
      <c r="C4" s="128">
        <f>IF('DOE25'!F666+'DOE25'!F671=0,0,ROUND('DOE25'!F673,0))</f>
        <v>24150</v>
      </c>
    </row>
    <row r="5" spans="1:4" x14ac:dyDescent="0.2">
      <c r="B5" t="s">
        <v>700</v>
      </c>
      <c r="C5" s="128">
        <f>IF('DOE25'!G666+'DOE25'!G671=0,0,ROUND('DOE25'!G673,0))</f>
        <v>0</v>
      </c>
    </row>
    <row r="6" spans="1:4" x14ac:dyDescent="0.2">
      <c r="B6" t="s">
        <v>62</v>
      </c>
      <c r="C6" s="128">
        <f>IF('DOE25'!H666+'DOE25'!H671=0,0,ROUND('DOE25'!H673,0))</f>
        <v>25723</v>
      </c>
    </row>
    <row r="7" spans="1:4" x14ac:dyDescent="0.2">
      <c r="B7" t="s">
        <v>701</v>
      </c>
      <c r="C7" s="128">
        <f>IF('DOE25'!I666+'DOE25'!I671=0,0,ROUND('DOE25'!I673,0))</f>
        <v>24646</v>
      </c>
    </row>
    <row r="9" spans="1:4" x14ac:dyDescent="0.2">
      <c r="A9" s="135" t="s">
        <v>94</v>
      </c>
      <c r="B9" s="136" t="s">
        <v>1793</v>
      </c>
      <c r="C9" s="130" t="s">
        <v>720</v>
      </c>
      <c r="D9" s="130" t="s">
        <v>721</v>
      </c>
    </row>
    <row r="10" spans="1:4" x14ac:dyDescent="0.2">
      <c r="A10">
        <v>1100</v>
      </c>
      <c r="B10" t="s">
        <v>702</v>
      </c>
      <c r="C10" s="128">
        <f>ROUND('DOE25'!L198+'DOE25'!L216+'DOE25'!L234+'DOE25'!L277+'DOE25'!L296+'DOE25'!L315,0)</f>
        <v>9953684</v>
      </c>
      <c r="D10" s="131">
        <f>ROUND((C10/$C$28)*100,1)</f>
        <v>33.4</v>
      </c>
    </row>
    <row r="11" spans="1:4" x14ac:dyDescent="0.2">
      <c r="A11">
        <v>1200</v>
      </c>
      <c r="B11" t="s">
        <v>703</v>
      </c>
      <c r="C11" s="128">
        <f>ROUND('DOE25'!L199+'DOE25'!L217+'DOE25'!L235+'DOE25'!L278+'DOE25'!L297+'DOE25'!L316,0)</f>
        <v>7284616</v>
      </c>
      <c r="D11" s="131">
        <f>ROUND((C11/$C$28)*100,1)</f>
        <v>24.5</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644608</v>
      </c>
      <c r="D13" s="131">
        <f>ROUND((C13/$C$28)*100,1)</f>
        <v>2.2000000000000002</v>
      </c>
    </row>
    <row r="14" spans="1:4" x14ac:dyDescent="0.2">
      <c r="D14" s="131"/>
    </row>
    <row r="15" spans="1:4" x14ac:dyDescent="0.2">
      <c r="A15">
        <v>2100</v>
      </c>
      <c r="B15" t="s">
        <v>706</v>
      </c>
      <c r="C15" s="128">
        <f>ROUND('DOE25'!L203+'DOE25'!L221+'DOE25'!L239+'DOE25'!L282+'DOE25'!L301+'DOE25'!L320,0)</f>
        <v>1986626</v>
      </c>
      <c r="D15" s="131">
        <f t="shared" ref="D15:D27" si="0">ROUND((C15/$C$28)*100,1)</f>
        <v>6.7</v>
      </c>
    </row>
    <row r="16" spans="1:4" x14ac:dyDescent="0.2">
      <c r="A16">
        <v>2200</v>
      </c>
      <c r="B16" t="s">
        <v>707</v>
      </c>
      <c r="C16" s="128">
        <f>ROUND('DOE25'!L204+'DOE25'!L222+'DOE25'!L240+'DOE25'!L283+'DOE25'!L302+'DOE25'!L321,0)</f>
        <v>932066</v>
      </c>
      <c r="D16" s="131">
        <f t="shared" si="0"/>
        <v>3.1</v>
      </c>
    </row>
    <row r="17" spans="1:4" x14ac:dyDescent="0.2">
      <c r="A17" s="132" t="s">
        <v>723</v>
      </c>
      <c r="B17" t="s">
        <v>738</v>
      </c>
      <c r="C17" s="128">
        <f>ROUND('DOE25'!L205+'DOE25'!L210+'DOE25'!L223+'DOE25'!L228+'DOE25'!L241+'DOE25'!L246+'DOE25'!L284+'DOE25'!L289+'DOE25'!L303+'DOE25'!L308+'DOE25'!L322+'DOE25'!L327,0)</f>
        <v>2005158</v>
      </c>
      <c r="D17" s="131">
        <f t="shared" si="0"/>
        <v>6.7</v>
      </c>
    </row>
    <row r="18" spans="1:4" x14ac:dyDescent="0.2">
      <c r="A18">
        <v>2400</v>
      </c>
      <c r="B18" t="s">
        <v>711</v>
      </c>
      <c r="C18" s="128">
        <f>ROUND('DOE25'!L206+'DOE25'!L224+'DOE25'!L242+'DOE25'!L285+'DOE25'!L304+'DOE25'!L323,0)</f>
        <v>1613431</v>
      </c>
      <c r="D18" s="131">
        <f t="shared" si="0"/>
        <v>5.4</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2388524</v>
      </c>
      <c r="D20" s="131">
        <f t="shared" si="0"/>
        <v>8</v>
      </c>
    </row>
    <row r="21" spans="1:4" x14ac:dyDescent="0.2">
      <c r="A21">
        <v>2700</v>
      </c>
      <c r="B21" t="s">
        <v>710</v>
      </c>
      <c r="C21" s="128">
        <f>ROUND('DOE25'!L209+'DOE25'!L227+'DOE25'!L245+'DOE25'!L288+'DOE25'!L307+'DOE25'!L326,0)</f>
        <v>1819801</v>
      </c>
      <c r="D21" s="131">
        <f t="shared" si="0"/>
        <v>6.1</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683258</v>
      </c>
      <c r="D25" s="131">
        <f t="shared" si="0"/>
        <v>2.2999999999999998</v>
      </c>
    </row>
    <row r="26" spans="1:4" x14ac:dyDescent="0.2">
      <c r="A26" s="132" t="s">
        <v>717</v>
      </c>
      <c r="B26" t="s">
        <v>718</v>
      </c>
      <c r="C26" s="128">
        <f>'DOE25'!L269+'DOE25'!L270+'DOE25'!L350+'DOE25'!L351</f>
        <v>52500</v>
      </c>
      <c r="D26" s="131">
        <f t="shared" si="0"/>
        <v>0.2</v>
      </c>
    </row>
    <row r="27" spans="1:4" x14ac:dyDescent="0.2">
      <c r="A27">
        <v>3100</v>
      </c>
      <c r="B27" t="s">
        <v>11</v>
      </c>
      <c r="C27" s="128">
        <f>ROUND('DOE25'!L363-'DOE25'!L362,0)-SUM('DOE25'!G97:G110)</f>
        <v>407437.41</v>
      </c>
      <c r="D27" s="131">
        <f t="shared" si="0"/>
        <v>1.4</v>
      </c>
    </row>
    <row r="28" spans="1:4" x14ac:dyDescent="0.2">
      <c r="B28" s="135" t="s">
        <v>719</v>
      </c>
      <c r="C28" s="129">
        <f>SUM(C10:C27)</f>
        <v>29771709.41</v>
      </c>
      <c r="D28" s="133">
        <f>ROUND(SUM(D10:D27),0)</f>
        <v>100</v>
      </c>
    </row>
    <row r="29" spans="1:4" x14ac:dyDescent="0.2">
      <c r="A29">
        <v>4000</v>
      </c>
      <c r="B29" t="s">
        <v>724</v>
      </c>
      <c r="C29" s="128">
        <f>ROUND('DOE25'!L256+'DOE25'!L337+'DOE25'!L375+'DOE25'!L376+'DOE25'!L377+'DOE25'!L378+'DOE25'!L379+'DOE25'!L380+'DOE25'!L381,0)</f>
        <v>83326</v>
      </c>
    </row>
    <row r="30" spans="1:4" x14ac:dyDescent="0.2">
      <c r="B30" s="135" t="s">
        <v>725</v>
      </c>
      <c r="C30" s="129">
        <f>SUM(C28:C29)</f>
        <v>29855035.41</v>
      </c>
    </row>
    <row r="31" spans="1:4" x14ac:dyDescent="0.2">
      <c r="B31" s="32"/>
      <c r="C31" s="129"/>
    </row>
    <row r="32" spans="1:4" x14ac:dyDescent="0.2">
      <c r="A32">
        <v>5100</v>
      </c>
      <c r="B32" s="32" t="s">
        <v>726</v>
      </c>
      <c r="C32" s="129">
        <f>ROUND('DOE25'!L261+'DOE25'!L342,0)</f>
        <v>860101</v>
      </c>
    </row>
    <row r="34" spans="1:4" x14ac:dyDescent="0.2">
      <c r="A34" s="135" t="s">
        <v>94</v>
      </c>
      <c r="B34" s="136" t="s">
        <v>1794</v>
      </c>
      <c r="C34" s="130" t="s">
        <v>720</v>
      </c>
      <c r="D34" s="130" t="s">
        <v>721</v>
      </c>
    </row>
    <row r="35" spans="1:4" x14ac:dyDescent="0.2">
      <c r="A35">
        <v>1100</v>
      </c>
      <c r="B35" s="71" t="s">
        <v>727</v>
      </c>
      <c r="C35" s="128">
        <f>ROUND('DOE25'!F60+'DOE25'!G60+'DOE25'!H60+'DOE25'!I60+'DOE25'!J60,0)</f>
        <v>20595996</v>
      </c>
      <c r="D35" s="131">
        <f t="shared" ref="D35:D40" si="1">ROUND((C35/$C$41)*100,1)</f>
        <v>67</v>
      </c>
    </row>
    <row r="36" spans="1:4" x14ac:dyDescent="0.2">
      <c r="B36" s="71" t="s">
        <v>739</v>
      </c>
      <c r="C36" s="128">
        <f>SUM('DOE25'!F112:J112)-SUM('DOE25'!G97:G110)+('DOE25'!F175+'DOE25'!F176+'DOE25'!I175+'DOE25'!I176)-C35</f>
        <v>438737.37999999896</v>
      </c>
      <c r="D36" s="131">
        <f t="shared" si="1"/>
        <v>1.4</v>
      </c>
    </row>
    <row r="37" spans="1:4" x14ac:dyDescent="0.2">
      <c r="A37" s="132" t="s">
        <v>831</v>
      </c>
      <c r="B37" s="71" t="s">
        <v>728</v>
      </c>
      <c r="C37" s="128">
        <f>ROUND('DOE25'!F117+'DOE25'!F118,0)</f>
        <v>7425720</v>
      </c>
      <c r="D37" s="131">
        <f t="shared" si="1"/>
        <v>24.2</v>
      </c>
    </row>
    <row r="38" spans="1:4" x14ac:dyDescent="0.2">
      <c r="A38" s="132" t="s">
        <v>734</v>
      </c>
      <c r="B38" s="71" t="s">
        <v>729</v>
      </c>
      <c r="C38" s="128">
        <f>ROUND(SUM('DOE25'!F140:J140)-SUM('DOE25'!F117:F119),0)</f>
        <v>819659</v>
      </c>
      <c r="D38" s="131">
        <f t="shared" si="1"/>
        <v>2.7</v>
      </c>
    </row>
    <row r="39" spans="1:4" x14ac:dyDescent="0.2">
      <c r="A39">
        <v>4000</v>
      </c>
      <c r="B39" s="71" t="s">
        <v>730</v>
      </c>
      <c r="C39" s="128">
        <f>ROUND('DOE25'!F170+'DOE25'!G170+'DOE25'!H170+'DOE25'!I170,0)</f>
        <v>1438130</v>
      </c>
      <c r="D39" s="131">
        <f t="shared" si="1"/>
        <v>4.7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30718242.379999999</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Mascoma Valley Regional</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36</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57</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80</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IFERROR(SMALL($I$4:$I$325,ROWS($I$4:I6)),"")</f>
        <v>137</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f>IF('School Level Expenditures'!$B$2=A39,'School Tables'!H39,"")</f>
        <v>36</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f>IF('School Level Expenditures'!$B$2='School Tables'!W60,'School Tables'!AD60,"")</f>
        <v>57</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f>IF('School Level Expenditures'!$B$2=A83,'School Tables'!H83,"")</f>
        <v>80</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f>IF('School Level Expenditures'!$B$2=A140,'School Tables'!H140,"")</f>
        <v>137</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2024-09-24T13:31:32Z</cp:lastPrinted>
  <dcterms:created xsi:type="dcterms:W3CDTF">1997-12-04T19:04:30Z</dcterms:created>
  <dcterms:modified xsi:type="dcterms:W3CDTF">2024-12-20T19:11:43Z</dcterms:modified>
</cp:coreProperties>
</file>