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EB60168-AF07-4136-A126-C5FC102B27E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39" i="1" l="1"/>
  <c r="H538" i="1"/>
  <c r="H537" i="1"/>
  <c r="D9" i="13"/>
  <c r="H583" i="1" l="1"/>
  <c r="G583" i="1"/>
  <c r="F583" i="1"/>
  <c r="G568" i="1"/>
  <c r="F568" i="1"/>
  <c r="K565" i="1" l="1"/>
  <c r="I565" i="1"/>
  <c r="H565" i="1"/>
  <c r="G565" i="1"/>
  <c r="F565" i="1"/>
  <c r="K564" i="1"/>
  <c r="I564" i="1"/>
  <c r="H564" i="1"/>
  <c r="G564" i="1"/>
  <c r="F564" i="1"/>
  <c r="K563" i="1"/>
  <c r="I563" i="1"/>
  <c r="H563" i="1"/>
  <c r="G563" i="1"/>
  <c r="F563" i="1"/>
  <c r="H558" i="1"/>
  <c r="G558" i="1"/>
  <c r="F558" i="1"/>
  <c r="I558" i="1"/>
  <c r="H544" i="1" l="1"/>
  <c r="H543" i="1"/>
  <c r="H542" i="1"/>
  <c r="G524" i="1"/>
  <c r="J524" i="1"/>
  <c r="I524" i="1"/>
  <c r="H524" i="1"/>
  <c r="F524" i="1"/>
  <c r="G523" i="1"/>
  <c r="J523" i="1"/>
  <c r="I523" i="1"/>
  <c r="H523" i="1"/>
  <c r="F523" i="1"/>
  <c r="G522" i="1"/>
  <c r="J522" i="1"/>
  <c r="I522" i="1"/>
  <c r="H522" i="1"/>
  <c r="F522" i="1"/>
  <c r="G534" i="1" l="1"/>
  <c r="G533" i="1"/>
  <c r="G532" i="1"/>
  <c r="G529" i="1"/>
  <c r="G528" i="1"/>
  <c r="G527" i="1"/>
  <c r="K534" i="1" l="1"/>
  <c r="I534" i="1"/>
  <c r="H534" i="1"/>
  <c r="F534" i="1"/>
  <c r="K533" i="1"/>
  <c r="I533" i="1"/>
  <c r="H533" i="1"/>
  <c r="F533" i="1"/>
  <c r="K532" i="1"/>
  <c r="I532" i="1"/>
  <c r="H532" i="1"/>
  <c r="F532" i="1"/>
  <c r="J529" i="1"/>
  <c r="I529" i="1"/>
  <c r="H529" i="1"/>
  <c r="F529" i="1"/>
  <c r="J528" i="1"/>
  <c r="I528" i="1"/>
  <c r="H528" i="1"/>
  <c r="F528" i="1"/>
  <c r="J527" i="1"/>
  <c r="I527" i="1"/>
  <c r="H527" i="1"/>
  <c r="F527" i="1"/>
  <c r="K529" i="1"/>
  <c r="I613" i="1" l="1"/>
  <c r="I612" i="1"/>
  <c r="G614" i="1"/>
  <c r="G613" i="1"/>
  <c r="G612" i="1"/>
  <c r="F614" i="1"/>
  <c r="F613" i="1"/>
  <c r="F612" i="1"/>
  <c r="J605" i="1" l="1"/>
  <c r="I605" i="1"/>
  <c r="H605" i="1"/>
  <c r="J595" i="1" l="1"/>
  <c r="J594" i="1"/>
  <c r="J593" i="1"/>
  <c r="J592" i="1"/>
  <c r="I595" i="1"/>
  <c r="I593" i="1"/>
  <c r="I592" i="1"/>
  <c r="H593" i="1"/>
  <c r="H592" i="1"/>
  <c r="H323" i="1" l="1"/>
  <c r="K326" i="1"/>
  <c r="I326" i="1"/>
  <c r="H326" i="1"/>
  <c r="I315" i="1"/>
  <c r="G315" i="1"/>
  <c r="F315" i="1"/>
  <c r="I325" i="1"/>
  <c r="I320" i="1"/>
  <c r="H320" i="1"/>
  <c r="I317" i="1"/>
  <c r="H304" i="1"/>
  <c r="I306" i="1"/>
  <c r="I301" i="1"/>
  <c r="H301" i="1"/>
  <c r="H285" i="1"/>
  <c r="I287" i="1"/>
  <c r="I282" i="1"/>
  <c r="H282" i="1"/>
  <c r="G282" i="1"/>
  <c r="F282" i="1"/>
  <c r="F277" i="1" l="1"/>
  <c r="K321" i="1"/>
  <c r="K317" i="1"/>
  <c r="K315" i="1"/>
  <c r="J327" i="1"/>
  <c r="J316" i="1"/>
  <c r="J315" i="1"/>
  <c r="I327" i="1"/>
  <c r="I321" i="1"/>
  <c r="I316" i="1"/>
  <c r="H321" i="1"/>
  <c r="H316" i="1"/>
  <c r="H315" i="1"/>
  <c r="G321" i="1"/>
  <c r="G318" i="1"/>
  <c r="G317" i="1"/>
  <c r="G316" i="1"/>
  <c r="F321" i="1"/>
  <c r="F320" i="1"/>
  <c r="F317" i="1"/>
  <c r="F316" i="1"/>
  <c r="K298" i="1"/>
  <c r="K302" i="1"/>
  <c r="K296" i="1"/>
  <c r="J308" i="1"/>
  <c r="J297" i="1"/>
  <c r="J296" i="1"/>
  <c r="I308" i="1"/>
  <c r="I302" i="1"/>
  <c r="I298" i="1"/>
  <c r="I297" i="1"/>
  <c r="I296" i="1"/>
  <c r="H307" i="1"/>
  <c r="H302" i="1"/>
  <c r="H297" i="1"/>
  <c r="H296" i="1"/>
  <c r="G302" i="1"/>
  <c r="G299" i="1"/>
  <c r="G298" i="1"/>
  <c r="G297" i="1"/>
  <c r="G296" i="1"/>
  <c r="F302" i="1"/>
  <c r="F301" i="1"/>
  <c r="F298" i="1"/>
  <c r="F297" i="1"/>
  <c r="F296" i="1"/>
  <c r="K283" i="1"/>
  <c r="K279" i="1"/>
  <c r="K277" i="1"/>
  <c r="J289" i="1"/>
  <c r="J278" i="1"/>
  <c r="J277" i="1"/>
  <c r="I289" i="1"/>
  <c r="I283" i="1"/>
  <c r="I279" i="1"/>
  <c r="I278" i="1"/>
  <c r="I277" i="1"/>
  <c r="H288" i="1"/>
  <c r="H283" i="1"/>
  <c r="H278" i="1"/>
  <c r="H277" i="1"/>
  <c r="G283" i="1"/>
  <c r="G280" i="1"/>
  <c r="G279" i="1"/>
  <c r="G278" i="1"/>
  <c r="G277" i="1"/>
  <c r="F283" i="1"/>
  <c r="F279" i="1"/>
  <c r="F278" i="1"/>
  <c r="J325" i="1" l="1"/>
  <c r="K322" i="1"/>
  <c r="J322" i="1"/>
  <c r="I322" i="1"/>
  <c r="H322" i="1"/>
  <c r="G322" i="1"/>
  <c r="F322" i="1"/>
  <c r="J306" i="1"/>
  <c r="I299" i="1"/>
  <c r="F299" i="1"/>
  <c r="K280" i="1"/>
  <c r="J287" i="1"/>
  <c r="I280" i="1"/>
  <c r="G284" i="1"/>
  <c r="F284" i="1"/>
  <c r="F280" i="1"/>
  <c r="G234" i="1" l="1"/>
  <c r="G246" i="1"/>
  <c r="G243" i="1"/>
  <c r="G241" i="1"/>
  <c r="G239" i="1"/>
  <c r="G237" i="1"/>
  <c r="G236" i="1"/>
  <c r="G235" i="1"/>
  <c r="G228" i="1"/>
  <c r="G226" i="1"/>
  <c r="G225" i="1"/>
  <c r="G224" i="1"/>
  <c r="G223" i="1"/>
  <c r="G221" i="1"/>
  <c r="G219" i="1"/>
  <c r="G217" i="1"/>
  <c r="G216" i="1"/>
  <c r="G210" i="1"/>
  <c r="G208" i="1"/>
  <c r="G207" i="1"/>
  <c r="G206" i="1"/>
  <c r="G205" i="1"/>
  <c r="G204" i="1"/>
  <c r="G203" i="1"/>
  <c r="G199" i="1"/>
  <c r="G198" i="1"/>
  <c r="K243" i="1" l="1"/>
  <c r="K241" i="1"/>
  <c r="J246" i="1"/>
  <c r="J244" i="1"/>
  <c r="J241" i="1"/>
  <c r="J239" i="1"/>
  <c r="I246" i="1"/>
  <c r="I244" i="1"/>
  <c r="I243" i="1"/>
  <c r="I241" i="1"/>
  <c r="I240" i="1"/>
  <c r="I239" i="1"/>
  <c r="I235" i="1"/>
  <c r="H246" i="1"/>
  <c r="H245" i="1"/>
  <c r="H244" i="1"/>
  <c r="H243" i="1"/>
  <c r="H241" i="1"/>
  <c r="H240" i="1"/>
  <c r="H239" i="1"/>
  <c r="H235" i="1"/>
  <c r="F246" i="1"/>
  <c r="F244" i="1"/>
  <c r="F243" i="1"/>
  <c r="F241" i="1"/>
  <c r="F240" i="1"/>
  <c r="F239" i="1"/>
  <c r="F237" i="1"/>
  <c r="F235" i="1"/>
  <c r="K225" i="1"/>
  <c r="K223" i="1"/>
  <c r="J228" i="1"/>
  <c r="J226" i="1"/>
  <c r="J223" i="1"/>
  <c r="J221" i="1"/>
  <c r="I228" i="1"/>
  <c r="I226" i="1"/>
  <c r="I225" i="1"/>
  <c r="I223" i="1"/>
  <c r="I222" i="1"/>
  <c r="I221" i="1"/>
  <c r="I217" i="1"/>
  <c r="H228" i="1"/>
  <c r="H227" i="1"/>
  <c r="H226" i="1"/>
  <c r="H225" i="1"/>
  <c r="H223" i="1"/>
  <c r="H222" i="1"/>
  <c r="H221" i="1"/>
  <c r="H217" i="1"/>
  <c r="F228" i="1"/>
  <c r="F226" i="1"/>
  <c r="F225" i="1"/>
  <c r="F223" i="1"/>
  <c r="F222" i="1"/>
  <c r="F221" i="1"/>
  <c r="F219" i="1"/>
  <c r="F217" i="1"/>
  <c r="K207" i="1" l="1"/>
  <c r="K205" i="1"/>
  <c r="J210" i="1"/>
  <c r="J208" i="1"/>
  <c r="J205" i="1"/>
  <c r="J203" i="1"/>
  <c r="I210" i="1"/>
  <c r="I208" i="1"/>
  <c r="I207" i="1"/>
  <c r="I205" i="1"/>
  <c r="I204" i="1"/>
  <c r="I203" i="1"/>
  <c r="I199" i="1"/>
  <c r="H210" i="1"/>
  <c r="H209" i="1"/>
  <c r="H208" i="1"/>
  <c r="H207" i="1"/>
  <c r="H205" i="1"/>
  <c r="H204" i="1"/>
  <c r="H203" i="1"/>
  <c r="H199" i="1"/>
  <c r="F210" i="1"/>
  <c r="F208" i="1"/>
  <c r="F207" i="1"/>
  <c r="F205" i="1"/>
  <c r="F204" i="1"/>
  <c r="F203" i="1"/>
  <c r="F201" i="1"/>
  <c r="F199" i="1"/>
  <c r="K262" i="1" l="1"/>
  <c r="K261" i="1"/>
  <c r="K242" i="1"/>
  <c r="G244" i="1" l="1"/>
  <c r="G242" i="1"/>
  <c r="G240" i="1"/>
  <c r="G222" i="1"/>
  <c r="K239" i="1" l="1"/>
  <c r="K237" i="1"/>
  <c r="K236" i="1"/>
  <c r="K234" i="1"/>
  <c r="J240" i="1"/>
  <c r="J237" i="1"/>
  <c r="J236" i="1"/>
  <c r="J234" i="1"/>
  <c r="I242" i="1"/>
  <c r="I237" i="1"/>
  <c r="I236" i="1"/>
  <c r="I234" i="1"/>
  <c r="H242" i="1"/>
  <c r="H237" i="1"/>
  <c r="H236" i="1"/>
  <c r="H234" i="1"/>
  <c r="F242" i="1"/>
  <c r="F236" i="1"/>
  <c r="F234" i="1"/>
  <c r="K224" i="1" l="1"/>
  <c r="K219" i="1"/>
  <c r="K216" i="1"/>
  <c r="J219" i="1"/>
  <c r="J216" i="1"/>
  <c r="I224" i="1"/>
  <c r="I219" i="1"/>
  <c r="I216" i="1"/>
  <c r="H224" i="1"/>
  <c r="H219" i="1"/>
  <c r="H216" i="1" l="1"/>
  <c r="F224" i="1"/>
  <c r="F216" i="1"/>
  <c r="K201" i="1"/>
  <c r="K206" i="1"/>
  <c r="K198" i="1"/>
  <c r="J206" i="1"/>
  <c r="J204" i="1"/>
  <c r="J198" i="1"/>
  <c r="I198" i="1"/>
  <c r="I206" i="1"/>
  <c r="I201" i="1"/>
  <c r="H206" i="1"/>
  <c r="H201" i="1"/>
  <c r="H198" i="1"/>
  <c r="F206" i="1"/>
  <c r="F198" i="1"/>
  <c r="H110" i="1" l="1"/>
  <c r="H156" i="1"/>
  <c r="H102" i="1"/>
  <c r="H162" i="1"/>
  <c r="H161" i="1"/>
  <c r="H159" i="1"/>
  <c r="H155" i="1"/>
  <c r="H154" i="1"/>
  <c r="K264" i="1" l="1"/>
  <c r="H369" i="1"/>
  <c r="G369" i="1"/>
  <c r="F369" i="1"/>
  <c r="H368" i="1"/>
  <c r="G368" i="1"/>
  <c r="F368" i="1"/>
  <c r="I361" i="1"/>
  <c r="I360" i="1"/>
  <c r="I359" i="1"/>
  <c r="F361" i="1"/>
  <c r="F360" i="1"/>
  <c r="F359" i="1"/>
  <c r="K361" i="1"/>
  <c r="K360" i="1"/>
  <c r="K359" i="1"/>
  <c r="J361" i="1"/>
  <c r="J360" i="1"/>
  <c r="J359" i="1"/>
  <c r="H361" i="1"/>
  <c r="H360" i="1"/>
  <c r="H359" i="1"/>
  <c r="G361" i="1"/>
  <c r="G360" i="1"/>
  <c r="G359" i="1"/>
  <c r="G158" i="1" l="1"/>
  <c r="G132" i="1"/>
  <c r="G180" i="1"/>
  <c r="G102" i="1"/>
  <c r="G97" i="1"/>
  <c r="F123" i="1"/>
  <c r="F63" i="1"/>
  <c r="F188" i="1"/>
  <c r="F160" i="1"/>
  <c r="F128" i="1"/>
  <c r="F127" i="1"/>
  <c r="F126" i="1"/>
  <c r="F117" i="1"/>
  <c r="F110" i="1"/>
  <c r="F101" i="1"/>
  <c r="F96" i="1"/>
  <c r="F70" i="1"/>
  <c r="F69" i="1"/>
  <c r="F68" i="1"/>
  <c r="F57" i="1"/>
  <c r="F118" i="1"/>
  <c r="G459" i="1" l="1"/>
  <c r="G458" i="1"/>
  <c r="G443" i="1"/>
  <c r="J423" i="1"/>
  <c r="H398" i="1"/>
  <c r="H397" i="1"/>
  <c r="H401" i="1"/>
  <c r="G398" i="1"/>
  <c r="G397" i="1"/>
  <c r="J96" i="1"/>
  <c r="J473" i="1" l="1"/>
  <c r="J469" i="1"/>
  <c r="H12" i="1" l="1"/>
  <c r="H48" i="1"/>
  <c r="H473" i="1"/>
  <c r="H469" i="1"/>
  <c r="H14" i="1"/>
  <c r="H22" i="1"/>
  <c r="H13" i="1"/>
  <c r="H9" i="1"/>
  <c r="G48" i="1"/>
  <c r="G473" i="1" l="1"/>
  <c r="G469" i="1"/>
  <c r="F473" i="1"/>
  <c r="F469" i="1"/>
  <c r="F50" i="1"/>
  <c r="G30" i="1" l="1"/>
  <c r="G12" i="1"/>
  <c r="G13" i="1"/>
  <c r="G9" i="1"/>
  <c r="F49" i="1" l="1"/>
  <c r="F44" i="1"/>
  <c r="F36" i="1"/>
  <c r="F28" i="1"/>
  <c r="F24" i="1"/>
  <c r="F22" i="1"/>
  <c r="F12" i="1"/>
  <c r="F17" i="1"/>
  <c r="F14" i="1"/>
  <c r="F13" i="1"/>
  <c r="F9" i="1"/>
  <c r="J466" i="1"/>
  <c r="H466" i="1"/>
  <c r="G466" i="1"/>
  <c r="F466"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F147" i="1"/>
  <c r="F170" i="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H27" i="2" s="1"/>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D99" i="2"/>
  <c r="E99" i="2"/>
  <c r="F99" i="2"/>
  <c r="C100" i="2"/>
  <c r="D100" i="2"/>
  <c r="E100" i="2"/>
  <c r="F100" i="2"/>
  <c r="C101" i="2"/>
  <c r="H101" i="2" s="1"/>
  <c r="D101" i="2"/>
  <c r="E101" i="2"/>
  <c r="F101" i="2"/>
  <c r="C102" i="2"/>
  <c r="D102" i="2"/>
  <c r="E102" i="2"/>
  <c r="F102" i="2"/>
  <c r="D115" i="2"/>
  <c r="F115" i="2"/>
  <c r="G11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H34" i="2" l="1"/>
  <c r="H42" i="2"/>
  <c r="H28" i="2"/>
  <c r="H24" i="2"/>
  <c r="H100" i="2"/>
  <c r="H79" i="2"/>
  <c r="H73" i="2"/>
  <c r="H36" i="2"/>
  <c r="I112" i="1"/>
  <c r="E120" i="2"/>
  <c r="H38" i="2"/>
  <c r="H137" i="2"/>
  <c r="G646" i="1"/>
  <c r="J646" i="1" s="1"/>
  <c r="I409" i="1"/>
  <c r="H135" i="2"/>
  <c r="H97" i="2"/>
  <c r="J140" i="1"/>
  <c r="H96" i="2"/>
  <c r="H89" i="2"/>
  <c r="H9" i="2"/>
  <c r="H132" i="2"/>
  <c r="H43" i="2"/>
  <c r="H48" i="2"/>
  <c r="H102" i="2"/>
  <c r="H99" i="2"/>
  <c r="H23" i="2"/>
  <c r="H15" i="2"/>
  <c r="E111" i="2"/>
  <c r="C112" i="2"/>
  <c r="H93" i="2"/>
  <c r="H87" i="2"/>
  <c r="H80" i="2"/>
  <c r="H22" i="2"/>
  <c r="D144" i="2"/>
  <c r="F85" i="2"/>
  <c r="F91" i="2" s="1"/>
  <c r="H35" i="2"/>
  <c r="H29" i="2"/>
  <c r="H113" i="2"/>
  <c r="H59" i="2"/>
  <c r="H44" i="2"/>
  <c r="H94" i="2"/>
  <c r="H69" i="2"/>
  <c r="H25" i="2"/>
  <c r="H17" i="2"/>
  <c r="E125" i="2"/>
  <c r="J652" i="1"/>
  <c r="G663" i="1"/>
  <c r="E112" i="2"/>
  <c r="H112" i="2" s="1"/>
  <c r="C125" i="2"/>
  <c r="H125" i="2" s="1"/>
  <c r="E13" i="13"/>
  <c r="C13" i="13" s="1"/>
  <c r="C32" i="10"/>
  <c r="K36" i="14"/>
  <c r="K37" i="14" s="1"/>
  <c r="D15" i="13"/>
  <c r="C15" i="13" s="1"/>
  <c r="C12" i="10"/>
  <c r="C120" i="2"/>
  <c r="H120" i="2" s="1"/>
  <c r="C119" i="2"/>
  <c r="K2" i="14"/>
  <c r="K3" i="14" s="1"/>
  <c r="D29" i="13"/>
  <c r="C29" i="13" s="1"/>
  <c r="G662" i="1"/>
  <c r="D78" i="2"/>
  <c r="H77" i="2"/>
  <c r="H61" i="2"/>
  <c r="G409" i="1"/>
  <c r="H646" i="1" s="1"/>
  <c r="G62" i="2"/>
  <c r="H477" i="1"/>
  <c r="H625" i="1" s="1"/>
  <c r="J625" i="1" s="1"/>
  <c r="H11" i="2"/>
  <c r="H13" i="2"/>
  <c r="H21" i="2"/>
  <c r="H47" i="2"/>
  <c r="G477" i="1"/>
  <c r="H12"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9" i="2" l="1"/>
  <c r="E144" i="2"/>
  <c r="H85" i="2"/>
  <c r="H16" i="2"/>
  <c r="H134" i="2"/>
  <c r="L572" i="1"/>
  <c r="I663" i="1"/>
  <c r="H57" i="2"/>
  <c r="I662" i="1"/>
  <c r="D128" i="2"/>
  <c r="D145" i="2" s="1"/>
  <c r="H127" i="2"/>
  <c r="H91" i="2"/>
  <c r="H103" i="2"/>
  <c r="H62" i="2"/>
  <c r="C81" i="2"/>
  <c r="H81" i="2" s="1"/>
  <c r="F194" i="1"/>
  <c r="G628" i="1" s="1"/>
  <c r="J628" i="1" s="1"/>
  <c r="H18" i="2"/>
  <c r="D51" i="2"/>
  <c r="H50"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c r="H63"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<sst xmlns="http://schemas.openxmlformats.org/spreadsheetml/2006/main" count="6644" uniqueCount="1845">
  <si>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</si>
  <si>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</si>
  <si>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</si>
  <si>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</si>
  <si>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</si>
  <si>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</si>
  <si>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</si>
  <si>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</si>
  <si>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</si>
  <si>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</si>
  <si>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</si>
  <si>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</si>
  <si>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</si>
  <si>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</si>
  <si>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</si>
  <si>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</si>
  <si>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</si>
  <si>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</si>
  <si>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</si>
  <si>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</si>
  <si>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</si>
  <si>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</si>
  <si>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</si>
  <si>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</si>
  <si>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</si>
  <si>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</si>
  <si>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</si>
  <si>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</si>
  <si>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</si>
  <si>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</si>
  <si>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</si>
  <si>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</si>
  <si>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</si>
  <si>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</si>
  <si>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</si>
  <si>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</si>
  <si>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</si>
  <si>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</si>
  <si>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</si>
  <si>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</si>
  <si>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</si>
  <si>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</si>
  <si>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</si>
  <si>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</si>
  <si>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</si>
  <si>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</si>
  <si>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</si>
  <si>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</si>
  <si>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</si>
  <si>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</si>
  <si>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</si>
  <si>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</si>
  <si>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</si>
  <si>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</si>
  <si>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</si>
  <si>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</si>
  <si>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</si>
  <si>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</si>
  <si>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</si>
  <si>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</si>
  <si>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</si>
  <si>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</si>
  <si>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</si>
  <si>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</si>
  <si>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</si>
  <si>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</si>
  <si>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</si>
  <si>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</si>
  <si>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</si>
  <si>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</si>
  <si>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</si>
  <si>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</si>
  <si>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</si>
  <si>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</si>
  <si>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</si>
  <si>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</si>
  <si>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</si>
  <si>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</si>
  <si>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</si>
  <si>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</si>
  <si>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</si>
  <si>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</si>
  <si>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</si>
  <si>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</si>
  <si>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</si>
  <si>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</si>
  <si>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</si>
  <si>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</si>
  <si>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</si>
  <si>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</si>
  <si>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</si>
  <si>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</si>
  <si>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</si>
  <si>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</si>
  <si>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</si>
  <si>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</si>
  <si>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</si>
  <si>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</si>
  <si>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</si>
  <si>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</si>
  <si>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</si>
  <si>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</si>
  <si>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</si>
  <si>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</si>
  <si>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</si>
  <si>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</si>
  <si>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</si>
  <si>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</si>
  <si>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</si>
  <si>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</si>
  <si>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</si>
  <si>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</si>
  <si>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</si>
  <si>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</si>
  <si>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</si>
  <si>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</si>
  <si>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</si>
  <si>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</si>
  <si>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</si>
  <si>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</si>
  <si>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</si>
  <si>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</si>
  <si>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</si>
  <si>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</si>
  <si>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</si>
  <si>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</si>
  <si>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</si>
  <si>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</si>
  <si>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</si>
  <si>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</si>
  <si>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</si>
  <si>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</si>
  <si>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</si>
  <si>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</si>
  <si>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</si>
  <si>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</si>
  <si>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</si>
  <si>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</si>
  <si>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</si>
  <si>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</si>
  <si>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</si>
  <si>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</si>
  <si>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</si>
  <si>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</si>
  <si>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</si>
  <si>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</si>
  <si>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</si>
  <si>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</si>
  <si>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</si>
  <si>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</si>
  <si>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</si>
  <si>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</si>
  <si>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</si>
  <si>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</si>
  <si>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</si>
  <si>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</si>
  <si>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</si>
  <si>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</si>
  <si>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</si>
  <si>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</si>
  <si>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</si>
  <si>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</si>
  <si>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</si>
  <si>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</si>
  <si>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</si>
  <si>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</si>
  <si>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</si>
  <si>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</si>
  <si>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</si>
  <si>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</si>
  <si>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</si>
  <si>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</si>
  <si>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</si>
  <si>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</si>
  <si>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</si>
  <si>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</si>
  <si>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</si>
  <si>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</si>
  <si>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</si>
  <si>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</si>
  <si>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</si>
  <si>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</si>
  <si>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</si>
  <si>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</si>
  <si>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</si>
  <si>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</si>
  <si>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</si>
  <si>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</si>
  <si>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</si>
  <si>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</si>
  <si>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</si>
  <si>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</si>
  <si>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</si>
  <si>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</si>
  <si>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</si>
  <si>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</si>
  <si>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</si>
  <si>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</si>
  <si>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</si>
  <si>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</si>
  <si>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</si>
  <si>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</si>
  <si>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</si>
  <si>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</si>
  <si>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</si>
  <si>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</si>
  <si>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</si>
  <si>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</si>
  <si>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</si>
  <si>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</si>
  <si>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</si>
  <si>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</si>
  <si>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</si>
  <si>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</si>
  <si>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</si>
  <si>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</si>
  <si>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</si>
  <si>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</si>
  <si>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</si>
  <si>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</si>
  <si>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</si>
  <si>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</si>
  <si>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</si>
  <si>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</si>
  <si>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</si>
  <si>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</si>
  <si>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</si>
  <si>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</si>
  <si>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</si>
  <si>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</si>
  <si>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</si>
  <si>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</si>
  <si>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</si>
  <si>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</si>
  <si>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</si>
  <si>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</si>
  <si>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</si>
  <si>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</si>
  <si>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</si>
  <si>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</si>
  <si>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</si>
  <si>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</si>
  <si>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</si>
  <si>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</si>
  <si>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</si>
  <si>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</si>
  <si>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</si>
  <si>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</si>
  <si>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</si>
  <si>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</si>
  <si>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</si>
  <si>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</si>
  <si>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</si>
  <si>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</si>
  <si>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</si>
  <si>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</si>
  <si>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</si>
  <si>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</si>
  <si>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</si>
  <si>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</si>
  <si>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</si>
  <si>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</si>
  <si>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</si>
  <si>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</si>
  <si>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</si>
  <si>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</si>
  <si>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</si>
  <si>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</si>
  <si>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</si>
  <si>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</si>
  <si>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</si>
  <si>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</si>
  <si>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</si>
  <si>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</si>
  <si>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</si>
  <si>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</si>
  <si>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</si>
  <si>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</si>
  <si>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</si>
  <si>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</si>
  <si>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</si>
  <si>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</si>
  <si>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</si>
  <si>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</si>
  <si>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</si>
  <si>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</si>
  <si>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</si>
  <si>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</si>
  <si>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</si>
  <si>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</si>
  <si>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</si>
  <si>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</si>
  <si>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</si>
  <si>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</si>
  <si>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</si>
  <si>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</si>
  <si>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</si>
  <si>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</si>
  <si>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</si>
  <si>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</si>
  <si>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</si>
  <si>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</si>
  <si>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</si>
  <si>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</si>
  <si>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</si>
  <si>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</si>
  <si>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</si>
  <si>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</si>
  <si>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</si>
  <si>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</si>
  <si>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</si>
  <si>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</si>
  <si>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</si>
  <si>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</si>
  <si>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</si>
  <si>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</si>
  <si>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</si>
  <si>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</si>
  <si>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</si>
  <si>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</si>
  <si>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</si>
  <si>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</si>
  <si>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</si>
  <si>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</si>
  <si>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</si>
  <si>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</si>
  <si>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</si>
  <si>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</si>
  <si>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</si>
  <si>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</si>
  <si>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</si>
  <si>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</si>
  <si>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</si>
  <si>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</si>
  <si>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</si>
  <si>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</si>
  <si>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</si>
  <si>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</si>
  <si>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</si>
  <si>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</si>
  <si>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</si>
  <si>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</si>
  <si>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</si>
  <si>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</si>
  <si>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</si>
  <si>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</si>
  <si>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</si>
  <si>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</si>
  <si>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</si>
  <si>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</si>
  <si>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</si>
  <si>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</si>
  <si>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</si>
  <si>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</si>
  <si>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</si>
  <si>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</si>
  <si>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</si>
  <si>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</si>
  <si>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</si>
  <si>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</si>
  <si>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</si>
  <si>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</si>
  <si>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</si>
  <si>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</si>
  <si>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</si>
  <si>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</si>
  <si>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</si>
  <si>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</si>
  <si>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</si>
  <si>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</si>
  <si>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</si>
  <si>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</si>
  <si>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</si>
  <si>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</si>
  <si>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</si>
  <si>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</si>
  <si>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</si>
  <si>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</si>
  <si>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</si>
  <si>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</si>
  <si>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</si>
  <si>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</si>
  <si>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</si>
  <si>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</si>
  <si>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</si>
  <si>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</si>
  <si>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</si>
  <si>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</si>
  <si>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</si>
  <si>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</si>
  <si>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</si>
  <si>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</si>
  <si>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</si>
  <si>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</si>
  <si>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</si>
  <si>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</si>
  <si>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</si>
  <si>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</si>
  <si>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</si>
  <si>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</si>
  <si>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</si>
  <si>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</si>
  <si>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</si>
  <si>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</si>
  <si>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</si>
  <si>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</si>
  <si>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</si>
  <si>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</si>
  <si>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</si>
  <si>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</si>
  <si>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</si>
  <si>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</si>
  <si>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</si>
  <si>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</si>
  <si>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</si>
  <si>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</si>
  <si>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</si>
  <si>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</si>
  <si>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</si>
  <si>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</si>
  <si>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</si>
  <si>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</si>
  <si>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</si>
  <si>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</si>
  <si>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</si>
  <si>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</si>
  <si>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</si>
  <si>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</si>
  <si>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</si>
  <si>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</si>
  <si>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</si>
  <si>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</si>
  <si>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</si>
  <si>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</si>
  <si>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</si>
  <si>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</si>
  <si>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</si>
  <si>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</si>
  <si>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</si>
  <si>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</si>
  <si>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</si>
  <si>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</si>
  <si>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</si>
  <si>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</si>
  <si>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</si>
  <si>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</si>
  <si>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</si>
  <si>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</si>
  <si>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</si>
  <si>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</si>
  <si>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</si>
  <si>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</si>
  <si>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</si>
  <si>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</si>
  <si>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</si>
  <si>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</si>
  <si>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</si>
  <si>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</si>
  <si>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</si>
  <si>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</si>
  <si>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</si>
  <si>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</si>
  <si>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</si>
  <si>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</si>
  <si>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</si>
  <si>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</si>
  <si>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</si>
  <si>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</si>
  <si>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</si>
  <si>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</si>
  <si>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</si>
  <si>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</si>
  <si>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</si>
  <si>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</si>
  <si>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</si>
  <si>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</si>
  <si>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</si>
  <si>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</si>
  <si>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</si>
  <si>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</si>
  <si>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</si>
  <si>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</si>
  <si>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</si>
  <si>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</si>
  <si>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</si>
  <si>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</si>
  <si>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</si>
  <si>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</si>
  <si>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</si>
  <si>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</si>
  <si>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</si>
  <si>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</si>
  <si>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</si>
  <si>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</si>
  <si>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</si>
  <si>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</si>
  <si>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</si>
  <si>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</si>
  <si>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</si>
  <si>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</si>
  <si>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</si>
  <si>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</si>
  <si>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</si>
  <si>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</si>
  <si>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</si>
  <si>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</si>
  <si>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</si>
  <si>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</si>
  <si>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</si>
  <si>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</si>
  <si>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</si>
  <si>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</si>
  <si>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</si>
  <si>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</si>
  <si>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</si>
  <si>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</si>
  <si>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</si>
  <si>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</si>
  <si>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</si>
  <si>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</si>
  <si>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</si>
  <si>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</si>
  <si>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</si>
  <si>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</si>
  <si>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</si>
  <si>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</si>
  <si>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</si>
  <si>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</si>
  <si>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</si>
  <si>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</si>
  <si>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</si>
  <si>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</si>
  <si>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</si>
  <si>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</si>
  <si>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</si>
  <si>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</si>
  <si>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</si>
  <si>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</si>
  <si>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</si>
  <si>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</si>
  <si>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</si>
  <si>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</si>
  <si>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</si>
  <si>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</si>
  <si>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</si>
  <si>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</si>
  <si>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</si>
  <si>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</si>
  <si>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</si>
  <si>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</si>
  <si>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</si>
  <si>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</si>
  <si>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</si>
  <si>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</si>
  <si>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</si>
  <si>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</si>
  <si>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</si>
  <si>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</si>
  <si>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</si>
  <si>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</si>
  <si>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</si>
  <si>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</si>
  <si>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</si>
  <si>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</si>
  <si>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</si>
  <si>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</si>
  <si>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</si>
  <si>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</si>
  <si>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</si>
  <si>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</si>
  <si>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</si>
  <si>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</si>
  <si>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</si>
  <si>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</si>
  <si>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</si>
  <si>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</si>
  <si>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</si>
  <si>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</si>
  <si>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</si>
  <si>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</si>
  <si>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</si>
  <si>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</si>
  <si>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</si>
  <si>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</si>
  <si>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</si>
  <si>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</si>
  <si>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</si>
  <si>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</si>
  <si>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</si>
  <si>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</si>
  <si>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</si>
  <si>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</si>
  <si>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</si>
  <si>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</si>
  <si>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</si>
  <si>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</si>
  <si>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</si>
  <si>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</si>
  <si>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</si>
  <si>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</si>
  <si>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</si>
  <si>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</si>
  <si>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</si>
  <si>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</si>
  <si>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</si>
  <si>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</si>
  <si>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</si>
  <si>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</si>
  <si>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</si>
  <si>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</si>
  <si>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</si>
  <si>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</si>
  <si>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</si>
  <si>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</si>
  <si>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</si>
  <si>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</si>
  <si>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</si>
  <si>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</si>
  <si>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</si>
  <si>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</si>
  <si>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</si>
  <si>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</si>
  <si>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</si>
  <si>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</si>
  <si>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</si>
  <si>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</si>
  <si>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</si>
  <si>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</si>
  <si>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</si>
  <si>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</si>
  <si>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</si>
  <si>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</si>
  <si>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</si>
  <si>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</si>
  <si>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</si>
  <si>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</si>
  <si>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</si>
  <si>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</si>
  <si>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</si>
  <si>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</si>
  <si>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</si>
  <si>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</si>
  <si>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</si>
  <si>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</si>
  <si>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</si>
  <si>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</si>
  <si>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</si>
  <si>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</si>
  <si>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</si>
  <si>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</si>
  <si>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</si>
  <si>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</si>
  <si>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</si>
  <si>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</si>
  <si>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</si>
  <si>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</si>
  <si>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</si>
  <si>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</si>
  <si>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</si>
  <si>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</si>
  <si>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</si>
  <si>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</si>
  <si>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</si>
  <si>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</si>
  <si>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</si>
  <si>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</si>
  <si>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</si>
  <si>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</si>
  <si>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</si>
  <si>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</si>
  <si>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</si>
  <si>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</si>
  <si>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</si>
  <si>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</si>
  <si>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</si>
  <si>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</si>
  <si>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</si>
  <si>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</si>
  <si>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</si>
  <si>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</si>
  <si>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</si>
  <si>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</si>
  <si>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</si>
  <si>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</si>
  <si>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</si>
  <si>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</si>
  <si>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</si>
  <si>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</si>
  <si>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</si>
  <si>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</si>
  <si>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</si>
  <si>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</si>
  <si>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</si>
  <si>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</si>
  <si>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</si>
  <si>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</si>
  <si>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</si>
  <si>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</si>
  <si>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</si>
  <si>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</si>
  <si>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</si>
  <si>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</si>
  <si>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</si>
  <si>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</si>
  <si>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</si>
  <si>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</si>
  <si>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</si>
  <si>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</si>
  <si>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</si>
  <si>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</si>
  <si>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</si>
  <si>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</si>
  <si>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</si>
  <si>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</si>
  <si>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</si>
  <si>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</si>
  <si>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</si>
  <si>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</si>
  <si>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</si>
  <si>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</si>
  <si>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</si>
  <si>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</si>
  <si>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</si>
  <si>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</si>
  <si>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</si>
  <si>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</si>
  <si>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</si>
  <si>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</si>
  <si>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</si>
  <si>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</si>
  <si>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</si>
  <si>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</si>
  <si>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</si>
  <si>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</si>
  <si>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</si>
  <si>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</si>
  <si>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</si>
  <si>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</si>
  <si>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</si>
  <si>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</si>
  <si>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</si>
  <si>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</si>
  <si>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</si>
  <si>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</si>
  <si>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</si>
  <si>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</si>
  <si>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</si>
  <si>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</si>
  <si>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</si>
  <si>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</si>
  <si>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</si>
  <si>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</si>
  <si>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</si>
  <si>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</si>
  <si>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</si>
  <si>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</si>
  <si>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</si>
  <si>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</si>
  <si>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</si>
  <si>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</si>
  <si>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</si>
  <si>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</si>
  <si>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</si>
  <si>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</si>
  <si>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</si>
  <si>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</si>
  <si>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</si>
  <si>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</si>
  <si>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</si>
  <si>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</si>
  <si>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</si>
  <si>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</si>
  <si>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</si>
  <si>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</si>
  <si>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</si>
  <si>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</si>
  <si>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</si>
  <si>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</si>
  <si>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</si>
  <si>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</si>
  <si>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</si>
  <si>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</si>
  <si>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</si>
  <si>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</si>
  <si>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</si>
  <si>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</si>
  <si>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</si>
  <si>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</si>
  <si>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</si>
  <si>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</si>
  <si>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</si>
  <si>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</si>
  <si>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</si>
  <si>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</si>
  <si>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</si>
  <si>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</si>
  <si>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</si>
  <si>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</si>
  <si>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</si>
  <si>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</si>
  <si>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</si>
  <si>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</si>
  <si>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</si>
  <si>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</si>
  <si>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</si>
  <si>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</si>
  <si>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</si>
  <si>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</si>
  <si>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</si>
  <si>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</si>
  <si>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</si>
  <si>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</si>
  <si>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</si>
  <si>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</si>
  <si>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</si>
  <si>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</si>
  <si>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</si>
  <si>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</si>
  <si>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</si>
  <si>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</si>
  <si>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</si>
  <si>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</si>
  <si>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</si>
  <si>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</si>
  <si>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</si>
  <si>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</si>
  <si>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</si>
  <si>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</si>
  <si>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</si>
  <si>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</si>
  <si>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</si>
  <si>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</si>
  <si>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</si>
  <si>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</si>
  <si>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</si>
  <si>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</si>
  <si>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</si>
  <si>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</si>
  <si>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</si>
  <si>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</si>
  <si>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</si>
  <si>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</si>
  <si>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</si>
  <si>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</si>
  <si>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</si>
  <si>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</si>
  <si>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</si>
  <si>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</si>
  <si>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</si>
  <si>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</si>
  <si>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</si>
  <si>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</si>
  <si>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</si>
  <si>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</si>
  <si>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</si>
  <si>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</si>
  <si>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</si>
  <si>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</si>
  <si>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</si>
  <si>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</si>
  <si>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</si>
  <si>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</si>
  <si>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</si>
  <si>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</si>
  <si>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</si>
  <si>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</si>
  <si>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</si>
  <si>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</si>
  <si>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</si>
  <si>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</si>
  <si>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</si>
  <si>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</si>
  <si>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</si>
  <si>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</si>
  <si>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</si>
  <si>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</si>
  <si>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</si>
  <si>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</si>
  <si>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</si>
  <si>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</si>
  <si>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</si>
  <si>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</si>
  <si>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</si>
  <si>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</si>
  <si>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</si>
  <si>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</si>
  <si>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</si>
  <si>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</si>
  <si>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</si>
  <si>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</si>
  <si>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</si>
  <si>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</si>
  <si>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</si>
  <si>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</si>
  <si>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</si>
  <si>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</si>
  <si>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</si>
  <si>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</si>
  <si>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</si>
  <si>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</si>
  <si>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</si>
  <si>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</si>
  <si>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</si>
  <si>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</si>
  <si>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</si>
  <si>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</si>
  <si>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</si>
  <si>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</si>
  <si>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</si>
  <si>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</si>
  <si>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</si>
  <si>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</si>
  <si>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</si>
  <si>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</si>
  <si>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</si>
  <si>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</si>
  <si>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</si>
  <si>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</si>
  <si>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</si>
  <si>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</si>
  <si>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</si>
  <si>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</si>
  <si>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</si>
  <si>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</si>
  <si>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</si>
  <si>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</si>
  <si>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</si>
  <si>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</si>
  <si>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</si>
  <si>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</si>
  <si>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</si>
  <si>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</si>
  <si>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</si>
  <si>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</si>
  <si>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</si>
  <si>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</si>
  <si>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</si>
  <si>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</si>
  <si>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</si>
  <si>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</si>
  <si>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</si>
  <si>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</si>
  <si>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</si>
  <si>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</si>
  <si>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</si>
  <si>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</si>
  <si>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</si>
  <si>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</si>
  <si>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</si>
  <si>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</si>
  <si>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</si>
  <si>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</si>
  <si>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</si>
  <si>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</si>
  <si>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</si>
  <si>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</si>
  <si>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</si>
  <si>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</si>
  <si>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</si>
  <si>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</si>
  <si>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</si>
  <si>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</si>
  <si>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</si>
  <si>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</si>
  <si>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</si>
  <si>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</si>
  <si>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</si>
  <si>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</si>
  <si>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</si>
  <si>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</si>
  <si>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</si>
  <si>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</si>
  <si>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</si>
  <si>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</si>
  <si>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</si>
  <si>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</si>
  <si>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</si>
  <si>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</si>
  <si>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</si>
  <si>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</si>
  <si>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</si>
  <si>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</si>
  <si>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</si>
  <si>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</si>
  <si>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</si>
  <si>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</si>
  <si>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</si>
  <si>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</si>
  <si>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</si>
  <si>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</si>
  <si>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</si>
  <si>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</si>
  <si>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</si>
  <si>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</si>
  <si>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</si>
  <si>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</si>
  <si>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</si>
  <si>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</si>
  <si>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</si>
  <si>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</si>
  <si>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</si>
  <si>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</si>
  <si>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</si>
  <si>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</si>
  <si>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</si>
  <si>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</si>
  <si>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</si>
  <si>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</si>
  <si>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</si>
  <si>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</si>
  <si>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</si>
  <si>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</si>
  <si>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</si>
  <si>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</si>
  <si>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</si>
  <si>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</si>
  <si>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</si>
  <si>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</si>
  <si>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</si>
  <si>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</si>
  <si>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</si>
  <si>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</si>
  <si>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</si>
  <si>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</si>
  <si>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</si>
  <si>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</si>
  <si>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</si>
  <si>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</si>
  <si>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</si>
  <si>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</si>
  <si>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</si>
  <si>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</si>
  <si>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</si>
  <si>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</si>
  <si>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</si>
  <si>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</si>
  <si>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</si>
  <si>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</si>
  <si>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</si>
  <si>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</si>
  <si>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</si>
  <si>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</si>
  <si>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</si>
  <si>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</si>
  <si>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</si>
  <si>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</si>
  <si>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</si>
  <si>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</si>
  <si>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</si>
  <si>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</si>
  <si>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</si>
  <si>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</si>
  <si>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</si>
  <si>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</si>
  <si>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</si>
  <si>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</si>
  <si>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</si>
  <si>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</si>
  <si>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</si>
  <si>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</si>
  <si>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</si>
  <si>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</si>
  <si>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</si>
  <si>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</si>
  <si>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</si>
  <si>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</si>
  <si>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</si>
  <si>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</si>
  <si>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</si>
  <si>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</si>
  <si>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</si>
  <si>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</si>
  <si>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</si>
  <si>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</si>
  <si>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</si>
  <si>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</si>
  <si>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</si>
  <si>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</si>
  <si>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</si>
  <si>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</si>
  <si>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</si>
  <si>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</si>
  <si>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</si>
  <si>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</si>
  <si>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</si>
  <si>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</si>
  <si>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</si>
  <si>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</si>
  <si>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</si>
  <si>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</si>
  <si>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</si>
  <si>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</si>
  <si>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</si>
  <si>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</si>
  <si>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</si>
  <si>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</si>
  <si>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</si>
  <si>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</si>
  <si>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</si>
  <si>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</si>
  <si>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</si>
  <si>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</si>
  <si>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</si>
  <si>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</si>
  <si>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</si>
  <si>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</si>
  <si>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</si>
  <si>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</si>
  <si>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</si>
  <si>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</si>
  <si>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</si>
  <si>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</si>
  <si>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</si>
  <si>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</si>
  <si>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</si>
  <si>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</si>
  <si>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</si>
  <si>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</si>
  <si>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</si>
  <si>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</si>
  <si>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</si>
  <si>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</si>
  <si>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</si>
  <si>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</si>
  <si>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</si>
  <si>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</si>
  <si>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</si>
  <si>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</si>
  <si>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</si>
  <si>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</si>
  <si>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</si>
  <si>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</si>
  <si>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</si>
  <si>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</si>
  <si>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</si>
  <si>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</si>
  <si>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</si>
  <si>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</si>
  <si>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</si>
  <si>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</si>
  <si>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</si>
  <si>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</si>
  <si>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</si>
  <si>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</si>
  <si>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</si>
  <si>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</si>
  <si>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</si>
  <si>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</si>
  <si>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</si>
  <si>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</si>
  <si>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</si>
  <si>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</si>
  <si>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</si>
  <si>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</si>
  <si>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</si>
  <si>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</si>
  <si>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</si>
  <si>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</si>
  <si>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</si>
  <si>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</si>
  <si>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</si>
  <si>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</si>
  <si>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</si>
  <si>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</si>
  <si>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</si>
  <si>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</si>
  <si>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</si>
  <si>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</si>
  <si>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</si>
  <si>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</si>
  <si>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</si>
  <si>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</si>
  <si>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</si>
  <si>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</si>
  <si>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</si>
  <si>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</si>
  <si>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</si>
  <si>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</si>
  <si>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</si>
  <si>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</si>
  <si>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</si>
  <si>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</si>
  <si>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</si>
  <si>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</si>
  <si>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</si>
  <si>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</si>
  <si>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</si>
  <si>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</si>
  <si>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</si>
  <si>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</si>
  <si>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</si>
  <si>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</si>
  <si>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</si>
  <si>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</si>
  <si>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</si>
  <si>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</si>
  <si>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</si>
  <si>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</si>
  <si>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</si>
  <si>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</si>
  <si>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</si>
  <si>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</si>
  <si>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</si>
  <si>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</si>
  <si>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</si>
  <si>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</si>
  <si>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</si>
  <si>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</si>
  <si>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</si>
  <si>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</si>
  <si>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</si>
  <si>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</si>
  <si>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</si>
  <si>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</si>
  <si>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</si>
  <si>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</si>
  <si>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</si>
  <si>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</si>
  <si>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</si>
  <si>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</si>
  <si>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</si>
  <si>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</si>
  <si>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</si>
  <si>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</si>
  <si>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</si>
  <si>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</si>
  <si>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</si>
  <si>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</si>
  <si>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</si>
  <si>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</si>
  <si>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</si>
  <si>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</si>
  <si>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</si>
  <si>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</si>
  <si>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</si>
  <si>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</si>
  <si>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</si>
  <si>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</si>
  <si>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</si>
  <si>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</si>
  <si>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</si>
  <si>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</si>
  <si>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</si>
  <si>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</si>
  <si>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</si>
  <si>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</si>
  <si>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</si>
  <si>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</si>
  <si>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</si>
  <si>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</si>
  <si>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</si>
  <si>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</si>
  <si>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</si>
  <si>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</si>
  <si>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</si>
  <si>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</si>
  <si>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</si>
  <si>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</si>
  <si>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</si>
  <si>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</si>
  <si>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</si>
  <si>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</si>
  <si>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</si>
  <si>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</si>
  <si>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</si>
  <si>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</si>
  <si>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</si>
  <si>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</si>
  <si>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</si>
  <si>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</si>
  <si>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</si>
  <si>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</si>
  <si>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</si>
  <si>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</si>
  <si>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</si>
  <si>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</si>
  <si>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</si>
  <si>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</si>
  <si>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</si>
  <si>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</si>
  <si>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</si>
  <si>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</si>
  <si>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</si>
  <si>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</si>
  <si>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</si>
  <si>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</si>
  <si>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</si>
  <si>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</si>
  <si>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</si>
  <si>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</si>
  <si>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</si>
  <si>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</si>
  <si>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</si>
  <si>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</si>
  <si>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</si>
  <si>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</si>
  <si>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</si>
  <si>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</si>
  <si>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</si>
  <si>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</si>
  <si>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</si>
  <si>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</si>
  <si>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</si>
  <si>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</si>
  <si>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</si>
  <si>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</si>
  <si>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</si>
  <si>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</si>
  <si>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</si>
  <si>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</si>
  <si>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</si>
  <si>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</si>
  <si>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</si>
  <si>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</si>
  <si>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</si>
  <si>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</si>
  <si>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</si>
  <si>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</si>
  <si>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</si>
  <si>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</si>
  <si>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</si>
  <si>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</si>
  <si>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</si>
  <si>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</si>
  <si>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</si>
  <si>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</si>
  <si>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</si>
  <si>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</si>
  <si>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</si>
  <si>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</si>
  <si>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</si>
  <si>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</si>
  <si>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</si>
  <si>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</si>
  <si>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</si>
  <si>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</si>
  <si>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</si>
  <si>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</si>
  <si>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</si>
  <si>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</si>
  <si>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</si>
  <si>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</si>
  <si>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</si>
  <si>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</si>
  <si>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</si>
  <si>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</si>
  <si>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</si>
  <si>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</si>
  <si>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</si>
  <si>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</si>
  <si>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</si>
  <si>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</si>
  <si>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</si>
  <si>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</si>
  <si>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</si>
  <si>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</si>
  <si>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</si>
  <si>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</si>
  <si>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</si>
  <si>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</si>
  <si>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</si>
  <si>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</si>
  <si>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</si>
  <si>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</si>
  <si>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</si>
  <si>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</si>
  <si>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</si>
  <si>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</si>
  <si>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</si>
  <si>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</si>
  <si>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</si>
  <si>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</si>
  <si>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</si>
  <si>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</si>
  <si>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</si>
  <si>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</si>
  <si>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</si>
  <si>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</si>
  <si>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</si>
  <si>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</si>
  <si>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</si>
  <si>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</si>
  <si>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</si>
  <si>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</si>
  <si>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</si>
  <si>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</si>
  <si>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</si>
  <si>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</si>
  <si>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</si>
  <si>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</si>
  <si>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</si>
  <si>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</si>
  <si>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</si>
  <si>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</si>
  <si>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</si>
  <si>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</si>
  <si>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</si>
  <si>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</si>
  <si>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</si>
  <si>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</si>
  <si>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</si>
  <si>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</si>
  <si>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</si>
  <si>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</si>
  <si>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</si>
  <si>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</si>
  <si>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</si>
  <si>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</si>
  <si>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</si>
  <si>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</si>
  <si>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</si>
  <si>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</si>
  <si>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</si>
  <si>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</si>
  <si>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</si>
  <si>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</si>
  <si>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</si>
  <si>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</si>
  <si>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</si>
  <si>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</si>
  <si>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</si>
  <si>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</si>
  <si>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</si>
  <si>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</si>
  <si>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</si>
  <si>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</si>
  <si>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</si>
  <si>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</si>
  <si>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</si>
  <si>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</si>
  <si>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</si>
  <si>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</si>
  <si>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</si>
  <si>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</si>
  <si>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</si>
  <si>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</si>
  <si>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</si>
  <si>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</si>
  <si>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</si>
  <si>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</si>
  <si>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</si>
  <si>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</si>
  <si>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</si>
  <si>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</si>
  <si>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</si>
  <si>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</si>
  <si>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</si>
  <si>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</si>
  <si>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</si>
  <si>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</si>
  <si>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</si>
  <si>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</si>
  <si>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</si>
  <si>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</si>
  <si>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</si>
  <si>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</si>
  <si>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</si>
  <si>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</si>
  <si>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</si>
  <si>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</si>
  <si>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</si>
  <si>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</si>
  <si>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</si>
  <si>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</si>
  <si>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</si>
  <si>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</si>
  <si>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</si>
  <si>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</si>
  <si>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</si>
  <si>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</si>
  <si>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</si>
  <si>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</si>
  <si>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</si>
  <si>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</si>
  <si>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</si>
  <si>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</si>
  <si>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</si>
  <si>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</si>
  <si>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</si>
  <si>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</si>
  <si>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</si>
  <si>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</si>
  <si>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</si>
  <si>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</si>
  <si>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</si>
  <si>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</si>
  <si>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</si>
  <si>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</si>
  <si>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</si>
  <si>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</si>
  <si>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</si>
  <si>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</si>
  <si>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</si>
  <si>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</si>
  <si>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</si>
  <si>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</si>
  <si>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</si>
  <si>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</si>
  <si>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</si>
  <si>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</si>
  <si>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</si>
  <si>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</si>
  <si>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</si>
  <si>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</si>
  <si>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</si>
  <si>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</si>
  <si>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</si>
  <si>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</si>
  <si>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</si>
  <si>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</si>
  <si>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</si>
  <si>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</si>
  <si>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</si>
  <si>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</si>
  <si>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</si>
  <si>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</si>
  <si>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</si>
  <si>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</si>
  <si>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</si>
  <si>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</si>
  <si>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</si>
  <si>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</si>
  <si>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</si>
  <si>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</si>
  <si>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</si>
  <si>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</si>
  <si>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</si>
  <si>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</si>
  <si>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</si>
  <si>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</si>
  <si>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</si>
  <si>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</si>
  <si>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</si>
  <si>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</si>
  <si>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</si>
  <si>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</si>
  <si>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</si>
  <si>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</si>
  <si>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</si>
  <si>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</si>
  <si>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</si>
  <si>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</si>
  <si>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</si>
  <si>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</si>
  <si>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</si>
  <si>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</si>
  <si>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</si>
  <si>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</si>
  <si>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</si>
  <si>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</si>
  <si>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</si>
  <si>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</si>
  <si>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</si>
  <si>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</si>
  <si>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</si>
  <si>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</si>
  <si>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</si>
  <si>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</si>
  <si>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</si>
  <si>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</si>
  <si>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</si>
  <si>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</si>
  <si>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</si>
  <si>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</si>
  <si>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</si>
  <si>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</si>
  <si>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</si>
  <si>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</si>
  <si>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</si>
  <si>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</si>
  <si>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</si>
  <si>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</si>
  <si>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</si>
  <si>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</si>
  <si>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</si>
  <si>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</si>
  <si>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</si>
  <si>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</si>
  <si>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</si>
  <si>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</si>
  <si>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</si>
  <si>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</si>
  <si>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</si>
  <si>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</si>
  <si>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</si>
  <si>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</si>
  <si>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</si>
  <si>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</si>
  <si>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</si>
  <si>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</si>
  <si>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</si>
  <si>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</si>
  <si>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</si>
  <si>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</si>
  <si>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</si>
  <si>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</si>
  <si>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</si>
  <si>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</si>
  <si>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</si>
  <si>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</si>
  <si>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</si>
  <si>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</si>
  <si>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</si>
  <si>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</si>
  <si>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</si>
  <si>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</si>
  <si>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</si>
  <si>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</si>
  <si>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</si>
  <si>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</si>
  <si>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</si>
  <si>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</si>
  <si>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</si>
  <si>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</si>
  <si>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</si>
  <si>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</si>
  <si>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</si>
  <si>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</si>
  <si>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</si>
  <si>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</si>
  <si>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</si>
  <si>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</si>
  <si>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</si>
  <si>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</si>
  <si>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</si>
  <si>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</si>
  <si>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</si>
  <si>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</si>
  <si>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</si>
  <si>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</si>
  <si>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</si>
  <si>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</si>
  <si>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</si>
  <si>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</si>
  <si>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</si>
  <si>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</si>
  <si>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</si>
  <si>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</si>
  <si>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</si>
  <si>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</si>
  <si>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</si>
  <si>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</si>
  <si>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</si>
  <si>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</si>
  <si>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</si>
  <si>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</si>
  <si>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</si>
  <si>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</si>
  <si>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</si>
  <si>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</si>
  <si>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</si>
  <si>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</si>
  <si>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</si>
  <si>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</si>
  <si>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</si>
  <si>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</si>
  <si>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</si>
  <si>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</si>
  <si>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</si>
  <si>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</si>
  <si>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</si>
  <si>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</si>
  <si>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</si>
  <si>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</si>
  <si>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</si>
  <si>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</si>
  <si>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</si>
  <si>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</si>
  <si>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</si>
  <si>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</si>
  <si>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</si>
  <si>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</si>
  <si>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</si>
  <si>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</si>
  <si>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</si>
  <si>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</si>
  <si>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</si>
  <si>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</si>
  <si>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</si>
  <si>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</si>
  <si>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</si>
  <si>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</si>
  <si>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</si>
  <si>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</si>
  <si>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</si>
  <si>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</si>
  <si>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</si>
  <si>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</si>
  <si>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</si>
  <si>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</si>
  <si>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</si>
  <si>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</si>
  <si>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</si>
  <si>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</si>
  <si>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</si>
  <si>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</si>
  <si>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</si>
  <si>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</si>
  <si>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</si>
  <si>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</si>
  <si>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</si>
  <si>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</si>
  <si>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</si>
  <si>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</si>
  <si>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</si>
  <si>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</si>
  <si>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</si>
  <si>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</si>
  <si>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</si>
  <si>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</si>
  <si>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</si>
  <si>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</si>
  <si>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</si>
  <si>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</si>
  <si>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</si>
  <si>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</si>
  <si>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</si>
  <si>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</si>
  <si>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</si>
  <si>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</si>
  <si>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</si>
  <si>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</si>
  <si>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</si>
  <si>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</si>
  <si>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</si>
  <si>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</si>
  <si>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</si>
  <si>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</si>
  <si>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</si>
  <si>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</si>
  <si>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</si>
  <si>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</si>
  <si>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</si>
  <si>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</si>
  <si>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</si>
  <si>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</si>
  <si>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</si>
  <si>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</si>
  <si>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</si>
  <si>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</si>
  <si>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</si>
  <si>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</si>
  <si>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</si>
  <si>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</si>
  <si>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</si>
  <si>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</si>
  <si>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</si>
  <si>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</si>
  <si>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</si>
  <si>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</si>
  <si>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</si>
  <si>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</si>
  <si>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</si>
  <si>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</si>
  <si>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</si>
  <si>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</si>
  <si>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</si>
  <si>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</si>
  <si>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</si>
  <si>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</si>
  <si>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</si>
  <si>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</si>
  <si>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</si>
  <si>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</si>
  <si>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</si>
  <si>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</si>
  <si>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</si>
  <si>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</si>
  <si>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</si>
  <si>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</si>
  <si>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</si>
  <si>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</si>
  <si>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</si>
  <si>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</si>
  <si>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</si>
  <si>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</si>
  <si>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</si>
  <si>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</si>
  <si>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</si>
  <si>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</si>
  <si>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</si>
  <si>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</si>
  <si>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</si>
  <si>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</si>
  <si>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</si>
  <si>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</si>
  <si>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</si>
  <si>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</si>
  <si>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</si>
  <si>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</si>
  <si>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</si>
  <si>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</si>
  <si>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</si>
  <si>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</si>
  <si>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</si>
  <si>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</si>
  <si>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</si>
  <si>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</si>
  <si>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</si>
  <si>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</si>
  <si>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</si>
  <si>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</si>
  <si>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</si>
  <si>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</si>
  <si>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</si>
  <si>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</si>
  <si>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</si>
  <si>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</si>
  <si>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</si>
  <si>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</si>
  <si>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</si>
  <si>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</si>
  <si>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</si>
  <si>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</si>
  <si>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</si>
  <si>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</si>
  <si>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</si>
  <si>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</si>
  <si>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</si>
  <si>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</si>
  <si>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</si>
  <si>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</si>
  <si>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</si>
  <si>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</si>
  <si>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</si>
  <si>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</si>
  <si>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</si>
  <si>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</si>
  <si>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</si>
  <si>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</si>
  <si>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</si>
  <si>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</si>
  <si>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</si>
  <si>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</si>
  <si>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</si>
  <si>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</si>
  <si>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</si>
  <si>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</si>
  <si>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</si>
  <si>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</si>
  <si>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Fund 10 expenditures were reduced by $47,650 after DOE 25 submission.  This amount was added to Federal grants expenditures and revenue.</t>
  </si>
  <si>
    <t>01/08</t>
  </si>
  <si>
    <t>01/28</t>
  </si>
  <si>
    <t>08/17</t>
  </si>
  <si>
    <t>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</si>
</sst>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1247</v>
      </c>
      <c r="B2">
        <f>INDEX('School Tables'!$AH$3:$AH$213,MATCH('DOE25'!A2,'School Tables'!$AJ$3:$AJ$213,0))</f>
        <v>357</v>
      </c>
      <c r="C2">
        <f>INDEX('School Tables'!$AI$3:$AI$213,MATCH('DOE25'!A2,'School Tables'!$AJ$3:$AJ$213,0))</f>
        <v>357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1857577.8</f>
        <v>1857577.8</v>
      </c>
      <c r="G9" s="18">
        <f>365</f>
        <v>365</v>
      </c>
      <c r="H9" s="18">
        <f>4729.33+1947.97+34277.41+89551.62+266092.83</f>
        <v>396599.16000000003</v>
      </c>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330077.44</f>
        <v>330077.44</v>
      </c>
      <c r="G12" s="18">
        <f>237622.91</f>
        <v>237622.91</v>
      </c>
      <c r="H12" s="18">
        <f>30282.19+12558.48</f>
        <v>42840.67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122714.13</f>
        <v>122714.13</v>
      </c>
      <c r="G13" s="18">
        <f>9671.06</f>
        <v>9671.06</v>
      </c>
      <c r="H13" s="18">
        <f>330077.44</f>
        <v>330077.44</v>
      </c>
      <c r="I13" s="18"/>
      <c r="J13" s="13">
        <f>SUM(I443)</f>
        <v>1008133.8</v>
      </c>
      <c r="K13" s="23" t="s">
        <v>288</v>
      </c>
      <c r="L13" s="23" t="s">
        <v>288</v>
      </c>
      <c r="M13" s="8"/>
      <c r="N13" s="164"/>
    </row>
    <row r="14" spans="1:14" s="3" customFormat="1" ht="12.2" customHeight="1" x14ac:dyDescent="0.15">
      <c r="A14" s="1" t="s">
        <v>565</v>
      </c>
      <c r="B14" s="2" t="s">
        <v>289</v>
      </c>
      <c r="C14" s="6">
        <v>6</v>
      </c>
      <c r="D14" s="2" t="s">
        <v>428</v>
      </c>
      <c r="E14" s="6">
        <v>150</v>
      </c>
      <c r="F14" s="18">
        <f>3027</f>
        <v>3027</v>
      </c>
      <c r="G14" s="18"/>
      <c r="H14" s="18">
        <f>37173.13</f>
        <v>37173.129999999997</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58034.69</f>
        <v>58034.69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2371431.06</v>
      </c>
      <c r="G19" s="38">
        <f>SUM(G9:G18)</f>
        <v>247658.97</v>
      </c>
      <c r="H19" s="38">
        <f>SUM(H9:H18)</f>
        <v>806690.4</v>
      </c>
      <c r="I19" s="38">
        <f>SUM(I9:I18)</f>
        <v>0</v>
      </c>
      <c r="J19" s="38">
        <f>SUM(J9:J18)</f>
        <v>1008133.8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280463.58</f>
        <v>280463.58</v>
      </c>
      <c r="G22" s="18"/>
      <c r="H22" s="18">
        <f>330077.44</f>
        <v>330077.44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171962.62</f>
        <v>171962.62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124074.8</f>
        <v>124074.8</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25524.28</f>
        <v>25524.28</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576501</v>
      </c>
      <c r="G32" s="38">
        <f>SUM(G22:G31)</f>
        <v>25524.28</v>
      </c>
      <c r="H32" s="38">
        <f>SUM(H22:H31)</f>
        <v>330077.44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f>58034.69</f>
        <v>58034.69</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932297.7</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75836.100000000006</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f>100000</f>
        <v>100000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222134.69</f>
        <v>222134.69</v>
      </c>
      <c r="H48" s="18">
        <f>4729.33+1947.97+34277.41+89551.62+266092.83+67455.32+12558.48</f>
        <v>476612.96</v>
      </c>
      <c r="I48" s="18"/>
      <c r="J48" s="13">
        <f>SUM(I460)</f>
        <v>0</v>
      </c>
      <c r="K48" s="23" t="s">
        <v>288</v>
      </c>
      <c r="L48" s="23" t="s">
        <v>288</v>
      </c>
      <c r="M48" s="8"/>
      <c r="N48" s="164"/>
    </row>
    <row r="49" spans="1:14" s="3" customFormat="1" ht="12.2" customHeight="1" x14ac:dyDescent="0.15">
      <c r="A49" s="1" t="s">
        <v>855</v>
      </c>
      <c r="B49" s="2" t="s">
        <v>289</v>
      </c>
      <c r="C49" s="6">
        <v>34</v>
      </c>
      <c r="D49" s="2"/>
      <c r="E49" s="6">
        <v>753</v>
      </c>
      <c r="F49" s="18">
        <f>1150090</f>
        <v>1150090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486805.37</f>
        <v>486805.37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1794930.06</v>
      </c>
      <c r="G51" s="38">
        <f>SUM(G35:G50)</f>
        <v>222134.69</v>
      </c>
      <c r="H51" s="38">
        <f>SUM(H35:H50)</f>
        <v>476612.96</v>
      </c>
      <c r="I51" s="38">
        <f>SUM(I35:I50)</f>
        <v>0</v>
      </c>
      <c r="J51" s="38">
        <f>SUM(J35:J50)</f>
        <v>1008133.7999999999</v>
      </c>
      <c r="K51" s="42" t="s">
        <v>288</v>
      </c>
      <c r="L51" s="42" t="s">
        <v>288</v>
      </c>
      <c r="N51" s="130"/>
    </row>
    <row r="52" spans="1:14" s="3" customFormat="1" ht="12.2" customHeight="1" thickTop="1" x14ac:dyDescent="0.15">
      <c r="A52" s="35" t="s">
        <v>455</v>
      </c>
      <c r="B52" s="36" t="s">
        <v>289</v>
      </c>
      <c r="C52" s="6">
        <v>37</v>
      </c>
      <c r="D52" s="36" t="s">
        <v>653</v>
      </c>
      <c r="E52" s="36"/>
      <c r="F52" s="38">
        <f>F51+F32</f>
        <v>2371431.06</v>
      </c>
      <c r="G52" s="38">
        <f>G51+G32</f>
        <v>247658.97</v>
      </c>
      <c r="H52" s="38">
        <f>H51+H32</f>
        <v>806690.4</v>
      </c>
      <c r="I52" s="38">
        <f>I51+I32</f>
        <v>0</v>
      </c>
      <c r="J52" s="38">
        <f>J51+J32</f>
        <v>1008133.7999999999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30142193</f>
        <v>30142193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30142193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4602+51770</f>
        <v>56372</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v>106530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932608</f>
        <v>932608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f>180135.85</f>
        <v>180135.85</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f>38936.84</f>
        <v>38936.839999999997</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1208052.6900000002</v>
      </c>
      <c r="G79" s="42" t="s">
        <v>288</v>
      </c>
      <c r="H79" s="38">
        <f>SUM(H63:H78)</f>
        <v>106530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197309.06</f>
        <v>197309.06</v>
      </c>
      <c r="G96" s="18"/>
      <c r="H96" s="18"/>
      <c r="I96" s="18"/>
      <c r="J96" s="18">
        <f>53843.97</f>
        <v>53843.97</v>
      </c>
      <c r="K96" s="23" t="s">
        <v>288</v>
      </c>
      <c r="L96" s="23" t="s">
        <v>288</v>
      </c>
      <c r="M96" s="8"/>
      <c r="N96" s="164"/>
    </row>
    <row r="97" spans="1:14" s="3" customFormat="1" ht="12.2" customHeight="1" x14ac:dyDescent="0.15">
      <c r="A97" s="1" t="s">
        <v>503</v>
      </c>
      <c r="B97" s="2" t="s">
        <v>315</v>
      </c>
      <c r="C97" s="6">
        <v>12</v>
      </c>
      <c r="D97" s="2" t="s">
        <v>430</v>
      </c>
      <c r="E97" s="6">
        <v>1600</v>
      </c>
      <c r="F97" s="23" t="s">
        <v>288</v>
      </c>
      <c r="G97" s="18">
        <f>430212.5</f>
        <v>430212.5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f>3070</f>
        <v>3070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f>51874.9</f>
        <v>51874.9</v>
      </c>
      <c r="H102" s="18">
        <f>22460.06</f>
        <v>22460.06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21600.22</f>
        <v>21600.22</v>
      </c>
      <c r="G110" s="18"/>
      <c r="H110" s="18">
        <f>412670.17</f>
        <v>412670.17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221979.28</v>
      </c>
      <c r="G111" s="38">
        <f>SUM(G96:G110)</f>
        <v>482087.4</v>
      </c>
      <c r="H111" s="38">
        <f>SUM(H96:H110)</f>
        <v>435130.23</v>
      </c>
      <c r="I111" s="38">
        <f>SUM(I96:I110)</f>
        <v>0</v>
      </c>
      <c r="J111" s="38">
        <f>SUM(J96:J110)</f>
        <v>53843.97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31572224.970000003</v>
      </c>
      <c r="G112" s="38">
        <f>G60+G111</f>
        <v>482087.4</v>
      </c>
      <c r="H112" s="38">
        <f>H60+H79+H94+H111</f>
        <v>541660.23</v>
      </c>
      <c r="I112" s="38">
        <f>I60+I111</f>
        <v>0</v>
      </c>
      <c r="J112" s="38">
        <f>J60+J111</f>
        <v>53843.97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7600159.81</f>
        <v>7600159.8099999996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3104100</f>
        <v>3104100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13780.72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10718040.529999999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f>68497.5</f>
        <v>68497.5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565521.05</f>
        <v>565521.05000000005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f>63527.64</f>
        <v>63527.64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f>5938</f>
        <v>5938</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10743.05</f>
        <v>10743.05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703484.19000000006</v>
      </c>
      <c r="G136" s="38">
        <f>SUM(G123:G135)</f>
        <v>10743.05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11421524.719999999</v>
      </c>
      <c r="G140" s="38">
        <f>G121+SUM(G136:G137)</f>
        <v>10743.05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376024.28</f>
        <v>376024.28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159554.85</f>
        <v>159554.85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f>79816.3+37173.13</f>
        <v>116989.43</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207409.15</f>
        <v>207409.15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558532.22</f>
        <v>558532.22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f>47074.03</f>
        <v>47074.03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178872.32</f>
        <v>178872.32000000001</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1003193.63</f>
        <v>1003193.63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47074.03</v>
      </c>
      <c r="G163" s="38">
        <f>SUM(G150:G162)</f>
        <v>207409.15</v>
      </c>
      <c r="H163" s="38">
        <f>SUM(H150:H162)</f>
        <v>2393166.73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47074.03</v>
      </c>
      <c r="G170" s="38">
        <f>G147+G163+SUM(G164:G169)</f>
        <v>207409.15</v>
      </c>
      <c r="H170" s="38">
        <f>H147+H163+SUM(H164:H169)</f>
        <v>2393166.73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2463.7</f>
        <v>2463.6999999999998</v>
      </c>
      <c r="H180" s="18"/>
      <c r="I180" s="18"/>
      <c r="J180" s="18">
        <v>81000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2463.6999999999998</v>
      </c>
      <c r="H184" s="38">
        <f>SUM(H180:H183)</f>
        <v>0</v>
      </c>
      <c r="I184" s="38">
        <f>SUM(I180:I183)</f>
        <v>0</v>
      </c>
      <c r="J184" s="38">
        <f>SUM(J180:J183)</f>
        <v>81000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f>35000</f>
        <v>35000</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35000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35000</v>
      </c>
      <c r="G193" s="38">
        <f>G184+SUM(G189:G192)</f>
        <v>2463.6999999999998</v>
      </c>
      <c r="H193" s="38">
        <f>+H184+SUM(H189:H192)</f>
        <v>0</v>
      </c>
      <c r="I193" s="38">
        <f>I178+I184+SUM(I189:I192)</f>
        <v>0</v>
      </c>
      <c r="J193" s="38">
        <f>J184</f>
        <v>81000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43075823.719999999</v>
      </c>
      <c r="G194" s="38">
        <f>G112+G140+G170+G193</f>
        <v>702703.29999999993</v>
      </c>
      <c r="H194" s="38">
        <f>H112+H140+H170+H193</f>
        <v>2934826.96</v>
      </c>
      <c r="I194" s="38">
        <f>I112+I140+I170+I193</f>
        <v>0</v>
      </c>
      <c r="J194" s="38">
        <f>J112+J140+J193</f>
        <v>134843.97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3861647.47</f>
        <v>3861647.47</v>
      </c>
      <c r="G198" s="18">
        <f>2149243.13+0.01</f>
        <v>2149243.1399999997</v>
      </c>
      <c r="H198" s="18">
        <f>24497.55</f>
        <v>24497.55</v>
      </c>
      <c r="I198" s="18">
        <f>148803.73-2</f>
        <v>148801.73000000001</v>
      </c>
      <c r="J198" s="18">
        <f>13824.45</f>
        <v>13824.45</v>
      </c>
      <c r="K198" s="18">
        <f>175</f>
        <v>175</v>
      </c>
      <c r="L198" s="13">
        <f>SUM(F198:K198)</f>
        <v>6198189.3399999999</v>
      </c>
      <c r="M198" s="8"/>
      <c r="N198" s="164"/>
    </row>
    <row r="199" spans="1:14" s="3" customFormat="1" ht="12.2" customHeight="1" x14ac:dyDescent="0.15">
      <c r="A199" s="1" t="s">
        <v>439</v>
      </c>
      <c r="B199" s="2" t="s">
        <v>341</v>
      </c>
      <c r="C199" s="2" t="s">
        <v>291</v>
      </c>
      <c r="D199" s="2" t="s">
        <v>431</v>
      </c>
      <c r="E199" s="6">
        <v>1200</v>
      </c>
      <c r="F199" s="18">
        <f>697751.25+685553.07</f>
        <v>1383304.3199999998</v>
      </c>
      <c r="G199" s="18">
        <f>747562.83</f>
        <v>747562.83</v>
      </c>
      <c r="H199" s="18">
        <f>115160.73+167263.58</f>
        <v>282424.31</v>
      </c>
      <c r="I199" s="18">
        <f>9898.85+80.51</f>
        <v>9979.36</v>
      </c>
      <c r="J199" s="18"/>
      <c r="K199" s="18"/>
      <c r="L199" s="13">
        <f>SUM(F199:K199)</f>
        <v>2423270.8199999998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7287.5+838.5</f>
        <v>8126</v>
      </c>
      <c r="G201" s="18"/>
      <c r="H201" s="18">
        <f>1250</f>
        <v>1250</v>
      </c>
      <c r="I201" s="18">
        <f>708.87</f>
        <v>708.87</v>
      </c>
      <c r="J201" s="18"/>
      <c r="K201" s="18">
        <f>2792.66</f>
        <v>2792.66</v>
      </c>
      <c r="L201" s="13">
        <f>SUM(F201:K201)</f>
        <v>12877.53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542156.76+672164.13</f>
        <v>1214320.8900000001</v>
      </c>
      <c r="G203" s="18">
        <f>654117.47</f>
        <v>654117.47</v>
      </c>
      <c r="H203" s="18">
        <f>163597.45+76501.28</f>
        <v>240098.73</v>
      </c>
      <c r="I203" s="18">
        <f>3133.93+5748.39</f>
        <v>8882.32</v>
      </c>
      <c r="J203" s="18">
        <f>3414.12+8315.01</f>
        <v>11729.130000000001</v>
      </c>
      <c r="K203" s="18"/>
      <c r="L203" s="13">
        <f t="shared" ref="L203:L209" si="0">SUM(F203:K203)</f>
        <v>2129148.54</v>
      </c>
      <c r="M203" s="8"/>
      <c r="N203" s="164"/>
    </row>
    <row r="204" spans="1:14" s="3" customFormat="1" ht="12.2" customHeight="1" x14ac:dyDescent="0.15">
      <c r="A204" s="1" t="s">
        <v>443</v>
      </c>
      <c r="B204" s="2" t="s">
        <v>341</v>
      </c>
      <c r="C204" s="2" t="s">
        <v>295</v>
      </c>
      <c r="D204" s="2" t="s">
        <v>431</v>
      </c>
      <c r="E204" s="6">
        <v>2200</v>
      </c>
      <c r="F204" s="18">
        <f>158606.52+3962.03</f>
        <v>162568.54999999999</v>
      </c>
      <c r="G204" s="18">
        <f>93445.35</f>
        <v>93445.35</v>
      </c>
      <c r="H204" s="18">
        <f>600+21948.02</f>
        <v>22548.02</v>
      </c>
      <c r="I204" s="18">
        <f>10180.28+37414.08</f>
        <v>47594.36</v>
      </c>
      <c r="J204" s="18">
        <f>5971.08</f>
        <v>5971.08</v>
      </c>
      <c r="K204" s="18"/>
      <c r="L204" s="13">
        <f t="shared" si="0"/>
        <v>332127.35999999999</v>
      </c>
      <c r="M204" s="8"/>
      <c r="N204" s="164"/>
    </row>
    <row r="205" spans="1:14" s="3" customFormat="1" ht="12.2" customHeight="1" x14ac:dyDescent="0.15">
      <c r="A205" s="1" t="s">
        <v>444</v>
      </c>
      <c r="B205" s="2" t="s">
        <v>341</v>
      </c>
      <c r="C205" s="2" t="s">
        <v>296</v>
      </c>
      <c r="D205" s="2" t="s">
        <v>431</v>
      </c>
      <c r="E205" s="6">
        <v>2300</v>
      </c>
      <c r="F205" s="18">
        <f>118062.77+363807.56</f>
        <v>481870.33</v>
      </c>
      <c r="G205" s="18">
        <f>233613.38</f>
        <v>233613.38</v>
      </c>
      <c r="H205" s="18">
        <f>77763.35</f>
        <v>77763.350000000006</v>
      </c>
      <c r="I205" s="18">
        <f>8333.75</f>
        <v>8333.75</v>
      </c>
      <c r="J205" s="18">
        <f>1100.85</f>
        <v>1100.8499999999999</v>
      </c>
      <c r="K205" s="18">
        <f>6762.37</f>
        <v>6762.37</v>
      </c>
      <c r="L205" s="13">
        <f t="shared" si="0"/>
        <v>809444.02999999991</v>
      </c>
      <c r="M205" s="8"/>
      <c r="N205" s="164"/>
    </row>
    <row r="206" spans="1:14" s="3" customFormat="1" ht="12.2" customHeight="1" x14ac:dyDescent="0.15">
      <c r="A206" s="1" t="s">
        <v>445</v>
      </c>
      <c r="B206" s="2" t="s">
        <v>341</v>
      </c>
      <c r="C206" s="2" t="s">
        <v>297</v>
      </c>
      <c r="D206" s="2" t="s">
        <v>431</v>
      </c>
      <c r="E206" s="6">
        <v>2400</v>
      </c>
      <c r="F206" s="18">
        <f>492807.29</f>
        <v>492807.29</v>
      </c>
      <c r="G206" s="18">
        <f>280336.06</f>
        <v>280336.06</v>
      </c>
      <c r="H206" s="18">
        <f>4446.17</f>
        <v>4446.17</v>
      </c>
      <c r="I206" s="18">
        <f>6637.2</f>
        <v>6637.2</v>
      </c>
      <c r="J206" s="18">
        <f>1797.66</f>
        <v>1797.66</v>
      </c>
      <c r="K206" s="18">
        <f>2417</f>
        <v>2417</v>
      </c>
      <c r="L206" s="13">
        <f t="shared" si="0"/>
        <v>788441.38</v>
      </c>
      <c r="M206" s="8"/>
      <c r="N206" s="164"/>
    </row>
    <row r="207" spans="1:14" s="3" customFormat="1" ht="12.2" customHeight="1" x14ac:dyDescent="0.15">
      <c r="A207" s="1" t="s">
        <v>446</v>
      </c>
      <c r="B207" s="2" t="s">
        <v>341</v>
      </c>
      <c r="C207" s="2" t="s">
        <v>298</v>
      </c>
      <c r="D207" s="2" t="s">
        <v>431</v>
      </c>
      <c r="E207" s="6">
        <v>2500</v>
      </c>
      <c r="F207" s="18">
        <f>169336.76</f>
        <v>169336.76</v>
      </c>
      <c r="G207" s="18">
        <f>93445.35</f>
        <v>93445.35</v>
      </c>
      <c r="H207" s="18">
        <f>364.74</f>
        <v>364.74</v>
      </c>
      <c r="I207" s="18">
        <f>38331.69</f>
        <v>38331.69</v>
      </c>
      <c r="J207" s="18"/>
      <c r="K207" s="18">
        <f>2053.6</f>
        <v>2053.6</v>
      </c>
      <c r="L207" s="13">
        <f t="shared" si="0"/>
        <v>303532.13999999996</v>
      </c>
      <c r="M207" s="8"/>
      <c r="N207" s="164"/>
    </row>
    <row r="208" spans="1:14" s="3" customFormat="1" ht="12.2" customHeight="1" x14ac:dyDescent="0.15">
      <c r="A208" s="1" t="s">
        <v>447</v>
      </c>
      <c r="B208" s="2" t="s">
        <v>341</v>
      </c>
      <c r="C208" s="2" t="s">
        <v>299</v>
      </c>
      <c r="D208" s="2" t="s">
        <v>431</v>
      </c>
      <c r="E208" s="6">
        <v>2600</v>
      </c>
      <c r="F208" s="18">
        <f>181032.64+143263.46</f>
        <v>324296.09999999998</v>
      </c>
      <c r="G208" s="18">
        <f>186890.71</f>
        <v>186890.71</v>
      </c>
      <c r="H208" s="18">
        <f>304141.81+406708.87</f>
        <v>710850.67999999993</v>
      </c>
      <c r="I208" s="18">
        <f>250053.61+111417.48</f>
        <v>361471.08999999997</v>
      </c>
      <c r="J208" s="18">
        <f>13495.28</f>
        <v>13495.28</v>
      </c>
      <c r="K208" s="18"/>
      <c r="L208" s="13">
        <f t="shared" si="0"/>
        <v>1597003.8599999996</v>
      </c>
      <c r="M208" s="8"/>
      <c r="N208" s="164"/>
    </row>
    <row r="209" spans="1:14" s="3" customFormat="1" ht="12.2" customHeight="1" x14ac:dyDescent="0.15">
      <c r="A209" s="1" t="s">
        <v>448</v>
      </c>
      <c r="B209" s="2" t="s">
        <v>341</v>
      </c>
      <c r="C209" s="2" t="s">
        <v>300</v>
      </c>
      <c r="D209" s="2" t="s">
        <v>431</v>
      </c>
      <c r="E209" s="6">
        <v>2700</v>
      </c>
      <c r="F209" s="18"/>
      <c r="G209" s="18"/>
      <c r="H209" s="18">
        <f>542593.87+510268.46</f>
        <v>1052862.33</v>
      </c>
      <c r="I209" s="18"/>
      <c r="J209" s="18"/>
      <c r="K209" s="18"/>
      <c r="L209" s="13">
        <f t="shared" si="0"/>
        <v>1052862.33</v>
      </c>
      <c r="M209" s="8"/>
      <c r="N209" s="164"/>
    </row>
    <row r="210" spans="1:14" s="3" customFormat="1" ht="12.2" customHeight="1" x14ac:dyDescent="0.15">
      <c r="A210" s="1" t="s">
        <v>449</v>
      </c>
      <c r="B210" s="2" t="s">
        <v>341</v>
      </c>
      <c r="C210" s="2" t="s">
        <v>343</v>
      </c>
      <c r="D210" s="2" t="s">
        <v>431</v>
      </c>
      <c r="E210" s="6">
        <v>2800</v>
      </c>
      <c r="F210" s="18">
        <f>385018.1</f>
        <v>385018.1</v>
      </c>
      <c r="G210" s="18">
        <f>233613.38</f>
        <v>233613.38</v>
      </c>
      <c r="H210" s="18">
        <f>63865.73</f>
        <v>63865.73</v>
      </c>
      <c r="I210" s="18">
        <f>49511.13</f>
        <v>49511.13</v>
      </c>
      <c r="J210" s="18">
        <f>66434.46</f>
        <v>66434.460000000006</v>
      </c>
      <c r="K210" s="18"/>
      <c r="L210" s="13">
        <f>SUM(F210:K210)</f>
        <v>798442.79999999993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8483295.8099999987</v>
      </c>
      <c r="G212" s="38">
        <f t="shared" si="1"/>
        <v>4672267.669999999</v>
      </c>
      <c r="H212" s="38">
        <f t="shared" si="1"/>
        <v>2480971.61</v>
      </c>
      <c r="I212" s="38">
        <f t="shared" si="1"/>
        <v>680251.5</v>
      </c>
      <c r="J212" s="38">
        <f t="shared" si="1"/>
        <v>114352.91</v>
      </c>
      <c r="K212" s="38">
        <f t="shared" si="1"/>
        <v>14200.63</v>
      </c>
      <c r="L212" s="38">
        <f t="shared" si="1"/>
        <v>16445340.130000001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2495195.5</f>
        <v>2495195.5</v>
      </c>
      <c r="G216" s="18">
        <f>1405340.04-0.02</f>
        <v>1405340.02</v>
      </c>
      <c r="H216" s="18">
        <f>2827.55</f>
        <v>2827.55</v>
      </c>
      <c r="I216" s="18">
        <f>75079.78</f>
        <v>75079.78</v>
      </c>
      <c r="J216" s="18">
        <f>7106.23</f>
        <v>7106.23</v>
      </c>
      <c r="K216" s="18">
        <f>785</f>
        <v>785</v>
      </c>
      <c r="L216" s="13">
        <f>SUM(F216:K216)</f>
        <v>3986334.0799999996</v>
      </c>
      <c r="M216" s="8"/>
      <c r="N216" s="164"/>
    </row>
    <row r="217" spans="1:14" s="3" customFormat="1" ht="12.2" customHeight="1" x14ac:dyDescent="0.15">
      <c r="A217" s="1" t="s">
        <v>439</v>
      </c>
      <c r="B217" s="2" t="s">
        <v>346</v>
      </c>
      <c r="C217" s="2" t="s">
        <v>291</v>
      </c>
      <c r="D217" s="2" t="s">
        <v>431</v>
      </c>
      <c r="E217" s="6">
        <v>1200</v>
      </c>
      <c r="F217" s="18">
        <f>284931.72+492011.18</f>
        <v>776942.89999999991</v>
      </c>
      <c r="G217" s="18">
        <f>439168.76</f>
        <v>439168.76</v>
      </c>
      <c r="H217" s="18">
        <f>453633.04+107792.09</f>
        <v>561425.13</v>
      </c>
      <c r="I217" s="18">
        <f>567.01+33.55</f>
        <v>600.55999999999995</v>
      </c>
      <c r="J217" s="18"/>
      <c r="K217" s="18"/>
      <c r="L217" s="13">
        <f>SUM(F217:K217)</f>
        <v>1778137.35</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49299.36+602</f>
        <v>49901.36</v>
      </c>
      <c r="G219" s="18">
        <f>29277.92</f>
        <v>29277.919999999998</v>
      </c>
      <c r="H219" s="18">
        <f>15017.35</f>
        <v>15017.35</v>
      </c>
      <c r="I219" s="18">
        <f>6440.04</f>
        <v>6440.04</v>
      </c>
      <c r="J219" s="18">
        <f>11120.72</f>
        <v>11120.72</v>
      </c>
      <c r="K219" s="18">
        <f>5373.04</f>
        <v>5373.04</v>
      </c>
      <c r="L219" s="13">
        <f>SUM(F219:K219)</f>
        <v>117130.43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297832.65+161626.98</f>
        <v>459459.63</v>
      </c>
      <c r="G221" s="18">
        <f>263501.26</f>
        <v>263501.26</v>
      </c>
      <c r="H221" s="18">
        <f>75+186830.8</f>
        <v>186905.8</v>
      </c>
      <c r="I221" s="18">
        <f>1643.9+2621.71</f>
        <v>4265.6100000000006</v>
      </c>
      <c r="J221" s="18">
        <f>440.59+4304.29</f>
        <v>4744.88</v>
      </c>
      <c r="K221" s="18"/>
      <c r="L221" s="13">
        <f t="shared" ref="L221:L227" si="2">SUM(F221:K221)</f>
        <v>918877.17999999993</v>
      </c>
      <c r="M221" s="8"/>
      <c r="N221" s="164"/>
    </row>
    <row r="222" spans="1:14" s="3" customFormat="1" ht="12.2" customHeight="1" x14ac:dyDescent="0.15">
      <c r="A222" s="1" t="s">
        <v>443</v>
      </c>
      <c r="B222" s="2" t="s">
        <v>346</v>
      </c>
      <c r="C222" s="2" t="s">
        <v>295</v>
      </c>
      <c r="D222" s="2" t="s">
        <v>431</v>
      </c>
      <c r="E222" s="6">
        <v>2200</v>
      </c>
      <c r="F222" s="18">
        <f>83451.55+2844.54</f>
        <v>86296.09</v>
      </c>
      <c r="G222" s="18">
        <f>58555.84</f>
        <v>58555.839999999997</v>
      </c>
      <c r="H222" s="18">
        <f>15757.55</f>
        <v>15757.55</v>
      </c>
      <c r="I222" s="18">
        <f>4497.73+26861.39</f>
        <v>31359.119999999999</v>
      </c>
      <c r="J222" s="18"/>
      <c r="K222" s="18"/>
      <c r="L222" s="13">
        <f t="shared" si="2"/>
        <v>191968.59999999998</v>
      </c>
      <c r="M222" s="8"/>
      <c r="N222" s="164"/>
    </row>
    <row r="223" spans="1:14" s="3" customFormat="1" ht="12.2" customHeight="1" x14ac:dyDescent="0.15">
      <c r="A223" s="1" t="s">
        <v>444</v>
      </c>
      <c r="B223" s="2" t="s">
        <v>346</v>
      </c>
      <c r="C223" s="2" t="s">
        <v>296</v>
      </c>
      <c r="D223" s="2" t="s">
        <v>431</v>
      </c>
      <c r="E223" s="6">
        <v>2300</v>
      </c>
      <c r="F223" s="18">
        <f>82149.45+245468.98</f>
        <v>327618.43</v>
      </c>
      <c r="G223" s="18">
        <f>175667.51</f>
        <v>175667.51</v>
      </c>
      <c r="H223" s="18">
        <f>55678.23</f>
        <v>55678.23</v>
      </c>
      <c r="I223" s="18">
        <f>5852.62</f>
        <v>5852.62</v>
      </c>
      <c r="J223" s="18">
        <f>790.35</f>
        <v>790.35</v>
      </c>
      <c r="K223" s="18">
        <f>4776.46</f>
        <v>4776.46</v>
      </c>
      <c r="L223" s="13">
        <f t="shared" si="2"/>
        <v>570383.6</v>
      </c>
      <c r="M223" s="8"/>
      <c r="N223" s="164"/>
    </row>
    <row r="224" spans="1:14" s="3" customFormat="1" ht="12.2" customHeight="1" x14ac:dyDescent="0.15">
      <c r="A224" s="1" t="s">
        <v>445</v>
      </c>
      <c r="B224" s="2" t="s">
        <v>346</v>
      </c>
      <c r="C224" s="2" t="s">
        <v>297</v>
      </c>
      <c r="D224" s="2" t="s">
        <v>431</v>
      </c>
      <c r="E224" s="6">
        <v>2400</v>
      </c>
      <c r="F224" s="18">
        <f>337035.27</f>
        <v>337035.27</v>
      </c>
      <c r="G224" s="18">
        <f>204945.42</f>
        <v>204945.42</v>
      </c>
      <c r="H224" s="18">
        <f>4070.58</f>
        <v>4070.58</v>
      </c>
      <c r="I224" s="18">
        <f>565.94</f>
        <v>565.94000000000005</v>
      </c>
      <c r="J224" s="18"/>
      <c r="K224" s="18">
        <f>779</f>
        <v>779</v>
      </c>
      <c r="L224" s="13">
        <f t="shared" si="2"/>
        <v>547396.21</v>
      </c>
      <c r="M224" s="8"/>
      <c r="N224" s="164"/>
    </row>
    <row r="225" spans="1:14" s="3" customFormat="1" ht="12.2" customHeight="1" x14ac:dyDescent="0.15">
      <c r="A225" s="1" t="s">
        <v>446</v>
      </c>
      <c r="B225" s="2" t="s">
        <v>346</v>
      </c>
      <c r="C225" s="2" t="s">
        <v>298</v>
      </c>
      <c r="D225" s="2" t="s">
        <v>431</v>
      </c>
      <c r="E225" s="6">
        <v>2500</v>
      </c>
      <c r="F225" s="18">
        <f>121575.11</f>
        <v>121575.11</v>
      </c>
      <c r="G225" s="18">
        <f>58555.84</f>
        <v>58555.839999999997</v>
      </c>
      <c r="H225" s="18">
        <f>261.86</f>
        <v>261.86</v>
      </c>
      <c r="I225" s="18">
        <f>27520.19</f>
        <v>27520.19</v>
      </c>
      <c r="J225" s="18"/>
      <c r="K225" s="18">
        <f>1474.38</f>
        <v>1474.38</v>
      </c>
      <c r="L225" s="13">
        <f t="shared" si="2"/>
        <v>209387.38</v>
      </c>
      <c r="M225" s="8"/>
      <c r="N225" s="164"/>
    </row>
    <row r="226" spans="1:14" s="3" customFormat="1" ht="12.2" customHeight="1" x14ac:dyDescent="0.15">
      <c r="A226" s="1" t="s">
        <v>447</v>
      </c>
      <c r="B226" s="2" t="s">
        <v>346</v>
      </c>
      <c r="C226" s="2" t="s">
        <v>299</v>
      </c>
      <c r="D226" s="2" t="s">
        <v>431</v>
      </c>
      <c r="E226" s="6">
        <v>2600</v>
      </c>
      <c r="F226" s="18">
        <f>158175.88+81864.84</f>
        <v>240040.72</v>
      </c>
      <c r="G226" s="18">
        <f>146389.59</f>
        <v>146389.59</v>
      </c>
      <c r="H226" s="18">
        <f>240876.54+237982.61</f>
        <v>478859.15</v>
      </c>
      <c r="I226" s="18">
        <f>115523.99+63667.13</f>
        <v>179191.12</v>
      </c>
      <c r="J226" s="18">
        <f>7711.59</f>
        <v>7711.59</v>
      </c>
      <c r="K226" s="18"/>
      <c r="L226" s="13">
        <f t="shared" si="2"/>
        <v>1052192.17</v>
      </c>
      <c r="M226" s="8"/>
      <c r="N226" s="164"/>
    </row>
    <row r="227" spans="1:14" s="3" customFormat="1" ht="12.2" customHeight="1" x14ac:dyDescent="0.15">
      <c r="A227" s="1" t="s">
        <v>448</v>
      </c>
      <c r="B227" s="2" t="s">
        <v>346</v>
      </c>
      <c r="C227" s="2" t="s">
        <v>300</v>
      </c>
      <c r="D227" s="2" t="s">
        <v>431</v>
      </c>
      <c r="E227" s="6">
        <v>2700</v>
      </c>
      <c r="F227" s="18"/>
      <c r="G227" s="18"/>
      <c r="H227" s="18">
        <f>272827.95+300693.91</f>
        <v>573521.86</v>
      </c>
      <c r="I227" s="18"/>
      <c r="J227" s="18"/>
      <c r="K227" s="18"/>
      <c r="L227" s="13">
        <f t="shared" si="2"/>
        <v>573521.86</v>
      </c>
      <c r="M227" s="8"/>
      <c r="N227" s="164"/>
    </row>
    <row r="228" spans="1:14" s="3" customFormat="1" ht="12.2" customHeight="1" x14ac:dyDescent="0.15">
      <c r="A228" s="1" t="s">
        <v>449</v>
      </c>
      <c r="B228" s="2" t="s">
        <v>346</v>
      </c>
      <c r="C228" s="2" t="s">
        <v>343</v>
      </c>
      <c r="D228" s="2" t="s">
        <v>431</v>
      </c>
      <c r="E228" s="6">
        <v>2800</v>
      </c>
      <c r="F228" s="18">
        <f>276423.25</f>
        <v>276423.25</v>
      </c>
      <c r="G228" s="18">
        <f>146389.59</f>
        <v>146389.59</v>
      </c>
      <c r="H228" s="18">
        <f>45852.32</f>
        <v>45852.32</v>
      </c>
      <c r="I228" s="18">
        <f>35546.45</f>
        <v>35546.449999999997</v>
      </c>
      <c r="J228" s="18">
        <f>47696.54</f>
        <v>47696.54</v>
      </c>
      <c r="K228" s="18"/>
      <c r="L228" s="13">
        <f>SUM(F228:K228)</f>
        <v>551908.15</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5170488.26</v>
      </c>
      <c r="G230" s="38">
        <f>SUM(G216:G229)</f>
        <v>2927791.7499999991</v>
      </c>
      <c r="H230" s="38">
        <f>SUM(H216:H229)</f>
        <v>1940177.3800000001</v>
      </c>
      <c r="I230" s="38">
        <f>SUM(I216:I229)</f>
        <v>366421.43</v>
      </c>
      <c r="J230" s="38">
        <f>SUM(J216:J229)</f>
        <v>79170.31</v>
      </c>
      <c r="K230" s="38">
        <f t="shared" si="3"/>
        <v>13187.880000000001</v>
      </c>
      <c r="L230" s="38">
        <f t="shared" si="3"/>
        <v>10497237.009999998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2984160.94</f>
        <v>2984160.94</v>
      </c>
      <c r="G234" s="18">
        <f>1747647.69+0.02</f>
        <v>1747647.71</v>
      </c>
      <c r="H234" s="18">
        <f>5230.46</f>
        <v>5230.46</v>
      </c>
      <c r="I234" s="18">
        <f>140180.03</f>
        <v>140180.03</v>
      </c>
      <c r="J234" s="18">
        <f>72718.38</f>
        <v>72718.38</v>
      </c>
      <c r="K234" s="18">
        <f>1979</f>
        <v>1979</v>
      </c>
      <c r="L234" s="13">
        <f>SUM(F234:K234)</f>
        <v>4951916.5200000005</v>
      </c>
      <c r="M234" s="8"/>
      <c r="N234" s="164"/>
    </row>
    <row r="235" spans="1:14" s="3" customFormat="1" ht="12.2" customHeight="1" x14ac:dyDescent="0.15">
      <c r="A235" s="1" t="s">
        <v>439</v>
      </c>
      <c r="B235" s="2" t="s">
        <v>350</v>
      </c>
      <c r="C235" s="2" t="s">
        <v>291</v>
      </c>
      <c r="D235" s="2" t="s">
        <v>431</v>
      </c>
      <c r="E235" s="6">
        <v>1200</v>
      </c>
      <c r="F235" s="18">
        <f>449656.54+581225.67</f>
        <v>1030882.21</v>
      </c>
      <c r="G235" s="18">
        <f>597879.47</f>
        <v>597879.47</v>
      </c>
      <c r="H235" s="18">
        <f>715344.27+96641.18</f>
        <v>811985.45</v>
      </c>
      <c r="I235" s="18">
        <f>943.25+221.4</f>
        <v>1164.6500000000001</v>
      </c>
      <c r="J235" s="18"/>
      <c r="K235" s="18"/>
      <c r="L235" s="13">
        <f>SUM(F235:K235)</f>
        <v>2441911.7799999998</v>
      </c>
      <c r="M235" s="8"/>
      <c r="N235" s="164"/>
    </row>
    <row r="236" spans="1:14" s="3" customFormat="1" ht="12.2" customHeight="1" x14ac:dyDescent="0.15">
      <c r="A236" s="1" t="s">
        <v>440</v>
      </c>
      <c r="B236" s="2" t="s">
        <v>350</v>
      </c>
      <c r="C236" s="2" t="s">
        <v>292</v>
      </c>
      <c r="D236" s="2" t="s">
        <v>431</v>
      </c>
      <c r="E236" s="6">
        <v>1300</v>
      </c>
      <c r="F236" s="18">
        <f>874817.5</f>
        <v>874817.5</v>
      </c>
      <c r="G236" s="18">
        <f>551888.74</f>
        <v>551888.74</v>
      </c>
      <c r="H236" s="18">
        <f>38970.5</f>
        <v>38970.5</v>
      </c>
      <c r="I236" s="18">
        <f>68512.94</f>
        <v>68512.94</v>
      </c>
      <c r="J236" s="18">
        <f>11651.44</f>
        <v>11651.44</v>
      </c>
      <c r="K236" s="18">
        <f>5733.87</f>
        <v>5733.87</v>
      </c>
      <c r="L236" s="13">
        <f>SUM(F236:K236)</f>
        <v>1551574.99</v>
      </c>
      <c r="M236" s="8"/>
      <c r="N236" s="164"/>
    </row>
    <row r="237" spans="1:14" s="3" customFormat="1" ht="12.2" customHeight="1" x14ac:dyDescent="0.15">
      <c r="A237" s="1" t="s">
        <v>441</v>
      </c>
      <c r="B237" s="2" t="s">
        <v>350</v>
      </c>
      <c r="C237" s="2" t="s">
        <v>293</v>
      </c>
      <c r="D237" s="2" t="s">
        <v>431</v>
      </c>
      <c r="E237" s="6">
        <v>1400</v>
      </c>
      <c r="F237" s="18">
        <f>279509.7+709.5</f>
        <v>280219.2</v>
      </c>
      <c r="G237" s="18">
        <f>183962.91</f>
        <v>183962.91</v>
      </c>
      <c r="H237" s="18">
        <f>50722.22</f>
        <v>50722.22</v>
      </c>
      <c r="I237" s="18">
        <f>26649.2</f>
        <v>26649.200000000001</v>
      </c>
      <c r="J237" s="18">
        <f>3994.47</f>
        <v>3994.47</v>
      </c>
      <c r="K237" s="18">
        <f>14034.4</f>
        <v>14034.4</v>
      </c>
      <c r="L237" s="13">
        <f>SUM(F237:K237)</f>
        <v>559582.39999999991</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594174.83+96580.02</f>
        <v>690754.85</v>
      </c>
      <c r="G239" s="18">
        <f>413916.56</f>
        <v>413916.56</v>
      </c>
      <c r="H239" s="18">
        <f>8199.49+156058.56</f>
        <v>164258.04999999999</v>
      </c>
      <c r="I239" s="18">
        <f>9162.05+2555.69</f>
        <v>11717.74</v>
      </c>
      <c r="J239" s="18">
        <f>207.21+3497.43</f>
        <v>3704.64</v>
      </c>
      <c r="K239" s="18">
        <f>835.31</f>
        <v>835.31</v>
      </c>
      <c r="L239" s="13">
        <f t="shared" ref="L239:L245" si="4">SUM(F239:K239)</f>
        <v>1285187.1499999999</v>
      </c>
      <c r="M239" s="8"/>
      <c r="N239" s="164"/>
    </row>
    <row r="240" spans="1:14" s="3" customFormat="1" ht="12.2" customHeight="1" x14ac:dyDescent="0.15">
      <c r="A240" s="1" t="s">
        <v>443</v>
      </c>
      <c r="B240" s="2" t="s">
        <v>350</v>
      </c>
      <c r="C240" s="2" t="s">
        <v>295</v>
      </c>
      <c r="D240" s="2" t="s">
        <v>431</v>
      </c>
      <c r="E240" s="6">
        <v>2200</v>
      </c>
      <c r="F240" s="18">
        <f>113748.3+3352.49</f>
        <v>117100.79000000001</v>
      </c>
      <c r="G240" s="18">
        <f>91981.46</f>
        <v>91981.46</v>
      </c>
      <c r="H240" s="18">
        <f>9757.91+18571.4</f>
        <v>28329.31</v>
      </c>
      <c r="I240" s="18">
        <f>28195.25+31658.07</f>
        <v>59853.32</v>
      </c>
      <c r="J240" s="18">
        <f>20933.4</f>
        <v>20933.400000000001</v>
      </c>
      <c r="K240" s="18"/>
      <c r="L240" s="13">
        <f t="shared" si="4"/>
        <v>318198.28000000003</v>
      </c>
      <c r="M240" s="8"/>
      <c r="N240" s="164"/>
    </row>
    <row r="241" spans="1:14" s="3" customFormat="1" ht="12.2" customHeight="1" x14ac:dyDescent="0.15">
      <c r="A241" s="1" t="s">
        <v>444</v>
      </c>
      <c r="B241" s="2" t="s">
        <v>350</v>
      </c>
      <c r="C241" s="2" t="s">
        <v>296</v>
      </c>
      <c r="D241" s="2" t="s">
        <v>431</v>
      </c>
      <c r="E241" s="6">
        <v>2300</v>
      </c>
      <c r="F241" s="18">
        <f>370056.37</f>
        <v>370056.37</v>
      </c>
      <c r="G241" s="18">
        <f>229953.64</f>
        <v>229953.64</v>
      </c>
      <c r="H241" s="18">
        <f>65245.26</f>
        <v>65245.26</v>
      </c>
      <c r="I241" s="18">
        <f>6574.83</f>
        <v>6574.83</v>
      </c>
      <c r="J241" s="18">
        <f>931.49</f>
        <v>931.49</v>
      </c>
      <c r="K241" s="18">
        <f>5435.1</f>
        <v>5435.1</v>
      </c>
      <c r="L241" s="13">
        <f t="shared" si="4"/>
        <v>678196.69</v>
      </c>
      <c r="M241" s="8"/>
      <c r="N241" s="164"/>
    </row>
    <row r="242" spans="1:14" s="3" customFormat="1" ht="12.2" customHeight="1" x14ac:dyDescent="0.15">
      <c r="A242" s="1" t="s">
        <v>445</v>
      </c>
      <c r="B242" s="2" t="s">
        <v>350</v>
      </c>
      <c r="C242" s="2" t="s">
        <v>297</v>
      </c>
      <c r="D242" s="2" t="s">
        <v>431</v>
      </c>
      <c r="E242" s="6">
        <v>2400</v>
      </c>
      <c r="F242" s="18">
        <f>425381.58</f>
        <v>425381.58</v>
      </c>
      <c r="G242" s="18">
        <f>275944.37</f>
        <v>275944.37</v>
      </c>
      <c r="H242" s="18">
        <f>5929.09</f>
        <v>5929.09</v>
      </c>
      <c r="I242" s="18">
        <f>11500.39</f>
        <v>11500.39</v>
      </c>
      <c r="J242" s="18"/>
      <c r="K242" s="18">
        <f>26495.02-2463.7</f>
        <v>24031.32</v>
      </c>
      <c r="L242" s="13">
        <f t="shared" si="4"/>
        <v>742786.74999999988</v>
      </c>
      <c r="M242" s="8"/>
      <c r="N242" s="164"/>
    </row>
    <row r="243" spans="1:14" s="3" customFormat="1" ht="12.2" customHeight="1" x14ac:dyDescent="0.15">
      <c r="A243" s="1" t="s">
        <v>446</v>
      </c>
      <c r="B243" s="2" t="s">
        <v>350</v>
      </c>
      <c r="C243" s="2" t="s">
        <v>298</v>
      </c>
      <c r="D243" s="2" t="s">
        <v>431</v>
      </c>
      <c r="E243" s="6">
        <v>2500</v>
      </c>
      <c r="F243" s="18">
        <f>143284.95</f>
        <v>143284.95000000001</v>
      </c>
      <c r="G243" s="18">
        <f>91981.46</f>
        <v>91981.46</v>
      </c>
      <c r="H243" s="18">
        <f>308.62</f>
        <v>308.62</v>
      </c>
      <c r="I243" s="18">
        <f>32434.51</f>
        <v>32434.51</v>
      </c>
      <c r="J243" s="18"/>
      <c r="K243" s="18">
        <f>1737.66</f>
        <v>1737.66</v>
      </c>
      <c r="L243" s="13">
        <f t="shared" si="4"/>
        <v>269747.20000000001</v>
      </c>
      <c r="M243" s="8"/>
      <c r="N243" s="164"/>
    </row>
    <row r="244" spans="1:14" s="3" customFormat="1" ht="12.2" customHeight="1" x14ac:dyDescent="0.15">
      <c r="A244" s="1" t="s">
        <v>447</v>
      </c>
      <c r="B244" s="2" t="s">
        <v>350</v>
      </c>
      <c r="C244" s="2" t="s">
        <v>299</v>
      </c>
      <c r="D244" s="2" t="s">
        <v>431</v>
      </c>
      <c r="E244" s="6">
        <v>2600</v>
      </c>
      <c r="F244" s="18">
        <f>229770.71+115975.18</f>
        <v>345745.89</v>
      </c>
      <c r="G244" s="18">
        <f>229953.64</f>
        <v>229953.64</v>
      </c>
      <c r="H244" s="18">
        <f>145798.63+330634.9</f>
        <v>476433.53</v>
      </c>
      <c r="I244" s="18">
        <f>238049.84+90195.1</f>
        <v>328244.94</v>
      </c>
      <c r="J244" s="18">
        <f>10924.75</f>
        <v>10924.75</v>
      </c>
      <c r="K244" s="18"/>
      <c r="L244" s="13">
        <f t="shared" si="4"/>
        <v>1391302.75</v>
      </c>
      <c r="M244" s="8"/>
      <c r="N244" s="164"/>
    </row>
    <row r="245" spans="1:14" s="3" customFormat="1" ht="12.2" customHeight="1" x14ac:dyDescent="0.15">
      <c r="A245" s="1" t="s">
        <v>448</v>
      </c>
      <c r="B245" s="2" t="s">
        <v>350</v>
      </c>
      <c r="C245" s="2" t="s">
        <v>300</v>
      </c>
      <c r="D245" s="2" t="s">
        <v>431</v>
      </c>
      <c r="E245" s="6">
        <v>2700</v>
      </c>
      <c r="F245" s="18"/>
      <c r="G245" s="18"/>
      <c r="H245" s="18">
        <f>739734.92+100231.3</f>
        <v>839966.22000000009</v>
      </c>
      <c r="I245" s="18"/>
      <c r="J245" s="18"/>
      <c r="K245" s="18"/>
      <c r="L245" s="13">
        <f t="shared" si="4"/>
        <v>839966.22000000009</v>
      </c>
      <c r="M245" s="8"/>
      <c r="N245" s="164"/>
    </row>
    <row r="246" spans="1:14" s="3" customFormat="1" ht="12.2" customHeight="1" x14ac:dyDescent="0.15">
      <c r="A246" s="1" t="s">
        <v>449</v>
      </c>
      <c r="B246" s="2" t="s">
        <v>350</v>
      </c>
      <c r="C246" s="2" t="s">
        <v>343</v>
      </c>
      <c r="D246" s="2" t="s">
        <v>431</v>
      </c>
      <c r="E246" s="6">
        <v>2800</v>
      </c>
      <c r="F246" s="18">
        <f>325784.54</f>
        <v>325784.53999999998</v>
      </c>
      <c r="G246" s="18">
        <f>183962.91</f>
        <v>183962.91</v>
      </c>
      <c r="H246" s="18">
        <f>54040.24</f>
        <v>54040.24</v>
      </c>
      <c r="I246" s="18">
        <f>41894.03</f>
        <v>41894.03</v>
      </c>
      <c r="J246" s="18">
        <f>56213.78</f>
        <v>56213.78</v>
      </c>
      <c r="K246" s="18"/>
      <c r="L246" s="13">
        <f>SUM(F246:K246)</f>
        <v>661895.5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7588188.8200000003</v>
      </c>
      <c r="G248" s="38">
        <f t="shared" si="5"/>
        <v>4599072.87</v>
      </c>
      <c r="H248" s="38">
        <f t="shared" si="5"/>
        <v>2541418.9500000007</v>
      </c>
      <c r="I248" s="38">
        <f t="shared" si="5"/>
        <v>728726.58000000007</v>
      </c>
      <c r="J248" s="38">
        <f t="shared" si="5"/>
        <v>181072.35000000003</v>
      </c>
      <c r="K248" s="38">
        <f t="shared" si="5"/>
        <v>53786.66</v>
      </c>
      <c r="L248" s="38">
        <f t="shared" si="5"/>
        <v>15692266.23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21241972.890000001</v>
      </c>
      <c r="G258" s="38">
        <f t="shared" si="8"/>
        <v>12199132.289999999</v>
      </c>
      <c r="H258" s="38">
        <f t="shared" si="8"/>
        <v>6962567.9400000013</v>
      </c>
      <c r="I258" s="38">
        <f t="shared" si="8"/>
        <v>1775399.51</v>
      </c>
      <c r="J258" s="38">
        <f t="shared" si="8"/>
        <v>374595.57000000007</v>
      </c>
      <c r="K258" s="38">
        <f t="shared" si="8"/>
        <v>81175.170000000013</v>
      </c>
      <c r="L258" s="38">
        <f t="shared" si="8"/>
        <v>42634843.370000005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615000</f>
        <v>615000</v>
      </c>
      <c r="L261" s="13">
        <f>SUM(F261:K261)</f>
        <v>615000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97031.63</f>
        <v>97031.63</v>
      </c>
      <c r="L262" s="13">
        <f>SUM(F262:K262)</f>
        <v>97031.63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2463.7</f>
        <v>2463.6999999999998</v>
      </c>
      <c r="L264" s="13">
        <f>SUM(F264:K264)</f>
        <v>2463.6999999999998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81000</v>
      </c>
      <c r="L267" s="13">
        <f t="shared" si="9"/>
        <v>81000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795495.33</v>
      </c>
      <c r="L271" s="38">
        <f t="shared" si="9"/>
        <v>795495.33</v>
      </c>
      <c r="M271" s="8"/>
      <c r="N271" s="164"/>
    </row>
    <row r="272" spans="1:14" s="33" customFormat="1" ht="12.2" customHeight="1" thickTop="1" x14ac:dyDescent="0.2">
      <c r="A272" s="40" t="s">
        <v>464</v>
      </c>
      <c r="B272" s="37">
        <v>10</v>
      </c>
      <c r="C272" s="37">
        <v>18</v>
      </c>
      <c r="D272" s="36" t="s">
        <v>431</v>
      </c>
      <c r="E272" s="37"/>
      <c r="F272" s="39">
        <f t="shared" ref="F272:L272" si="11">F258+F271</f>
        <v>21241972.890000001</v>
      </c>
      <c r="G272" s="39">
        <f t="shared" si="11"/>
        <v>12199132.289999999</v>
      </c>
      <c r="H272" s="39">
        <f t="shared" si="11"/>
        <v>6962567.9400000013</v>
      </c>
      <c r="I272" s="39">
        <f t="shared" si="11"/>
        <v>1775399.51</v>
      </c>
      <c r="J272" s="39">
        <f t="shared" si="11"/>
        <v>374595.57000000007</v>
      </c>
      <c r="K272" s="39">
        <f t="shared" si="11"/>
        <v>876670.5</v>
      </c>
      <c r="L272" s="39">
        <f t="shared" si="11"/>
        <v>43430338.700000003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154979.31+84811.24-0.03</f>
        <v>239790.52</v>
      </c>
      <c r="G277" s="18">
        <f>11769.76+19139.75</f>
        <v>30909.510000000002</v>
      </c>
      <c r="H277" s="18">
        <f>1753.05</f>
        <v>1753.05</v>
      </c>
      <c r="I277" s="18">
        <f>4923.61+21568.24</f>
        <v>26491.850000000002</v>
      </c>
      <c r="J277" s="18">
        <f>109946.48</f>
        <v>109946.48</v>
      </c>
      <c r="K277" s="18">
        <f>620.1</f>
        <v>620.1</v>
      </c>
      <c r="L277" s="13">
        <f>SUM(F277:K277)</f>
        <v>409511.50999999989</v>
      </c>
      <c r="M277" s="8"/>
      <c r="N277" s="164"/>
    </row>
    <row r="278" spans="1:14" s="3" customFormat="1" ht="12.2" customHeight="1" x14ac:dyDescent="0.15">
      <c r="A278" s="1" t="s">
        <v>439</v>
      </c>
      <c r="B278" s="2" t="s">
        <v>357</v>
      </c>
      <c r="C278" s="2" t="s">
        <v>291</v>
      </c>
      <c r="D278" s="2" t="s">
        <v>431</v>
      </c>
      <c r="E278" s="6">
        <v>1200</v>
      </c>
      <c r="F278" s="18">
        <f>137076.57</f>
        <v>137076.57</v>
      </c>
      <c r="G278" s="18">
        <f>94678.69</f>
        <v>94678.69</v>
      </c>
      <c r="H278" s="18">
        <f>2905.5</f>
        <v>2905.5</v>
      </c>
      <c r="I278" s="18">
        <f>3173.77</f>
        <v>3173.77</v>
      </c>
      <c r="J278" s="18">
        <f>3022.49</f>
        <v>3022.49</v>
      </c>
      <c r="K278" s="18"/>
      <c r="L278" s="13">
        <f>SUM(F278:K278)</f>
        <v>240857.02</v>
      </c>
      <c r="M278" s="8"/>
      <c r="N278" s="164"/>
    </row>
    <row r="279" spans="1:14" s="3" customFormat="1" ht="12.2" customHeight="1" x14ac:dyDescent="0.15">
      <c r="A279" s="1" t="s">
        <v>440</v>
      </c>
      <c r="B279" s="2" t="s">
        <v>357</v>
      </c>
      <c r="C279" s="2" t="s">
        <v>292</v>
      </c>
      <c r="D279" s="2" t="s">
        <v>431</v>
      </c>
      <c r="E279" s="6">
        <v>1300</v>
      </c>
      <c r="F279" s="18">
        <f>18664.62</f>
        <v>18664.62</v>
      </c>
      <c r="G279" s="18">
        <f>14859.36</f>
        <v>14859.36</v>
      </c>
      <c r="H279" s="18"/>
      <c r="I279" s="18">
        <f>38177.68</f>
        <v>38177.68</v>
      </c>
      <c r="J279" s="18"/>
      <c r="K279" s="18">
        <f>810.79</f>
        <v>810.79</v>
      </c>
      <c r="L279" s="13">
        <f>SUM(F279:K279)</f>
        <v>72512.45</v>
      </c>
      <c r="M279" s="8"/>
      <c r="N279" s="164"/>
    </row>
    <row r="280" spans="1:14" s="3" customFormat="1" ht="12.2" customHeight="1" x14ac:dyDescent="0.15">
      <c r="A280" s="1" t="s">
        <v>441</v>
      </c>
      <c r="B280" s="2" t="s">
        <v>357</v>
      </c>
      <c r="C280" s="2" t="s">
        <v>293</v>
      </c>
      <c r="D280" s="2" t="s">
        <v>431</v>
      </c>
      <c r="E280" s="6">
        <v>1400</v>
      </c>
      <c r="F280" s="18">
        <f>18600</f>
        <v>18600</v>
      </c>
      <c r="G280" s="18">
        <f>3317.93+979.07</f>
        <v>4297</v>
      </c>
      <c r="H280" s="18"/>
      <c r="I280" s="18">
        <f>15856.1</f>
        <v>15856.1</v>
      </c>
      <c r="J280" s="18"/>
      <c r="K280" s="18">
        <f>2287.36</f>
        <v>2287.36</v>
      </c>
      <c r="L280" s="13">
        <f>SUM(F280:K280)</f>
        <v>41040.46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3733.96+6685+2430.26+1720</f>
        <v>14569.22</v>
      </c>
      <c r="G282" s="18">
        <f>820.32+469.38</f>
        <v>1289.7</v>
      </c>
      <c r="H282" s="18">
        <f>50853.39+7547.67+2879.86</f>
        <v>61280.92</v>
      </c>
      <c r="I282" s="18">
        <f>180+381.55</f>
        <v>561.54999999999995</v>
      </c>
      <c r="J282" s="18"/>
      <c r="K282" s="18"/>
      <c r="L282" s="13">
        <f t="shared" ref="L282:L288" si="12">SUM(F282:K282)</f>
        <v>77701.39</v>
      </c>
      <c r="M282" s="8"/>
      <c r="N282" s="164"/>
    </row>
    <row r="283" spans="1:14" s="3" customFormat="1" ht="12.2" customHeight="1" x14ac:dyDescent="0.15">
      <c r="A283" s="1" t="s">
        <v>443</v>
      </c>
      <c r="B283" s="2" t="s">
        <v>357</v>
      </c>
      <c r="C283" s="2" t="s">
        <v>295</v>
      </c>
      <c r="D283" s="2" t="s">
        <v>431</v>
      </c>
      <c r="E283" s="6">
        <v>2200</v>
      </c>
      <c r="F283" s="18">
        <f>17561.9</f>
        <v>17561.900000000001</v>
      </c>
      <c r="G283" s="18">
        <f>4684.63</f>
        <v>4684.63</v>
      </c>
      <c r="H283" s="18">
        <f>67042.71</f>
        <v>67042.710000000006</v>
      </c>
      <c r="I283" s="18">
        <f>8312.08</f>
        <v>8312.08</v>
      </c>
      <c r="J283" s="18"/>
      <c r="K283" s="18">
        <f>296.4</f>
        <v>296.39999999999998</v>
      </c>
      <c r="L283" s="13">
        <f t="shared" si="12"/>
        <v>97897.72</v>
      </c>
      <c r="M283" s="8"/>
      <c r="N283" s="164"/>
    </row>
    <row r="284" spans="1:14" s="3" customFormat="1" ht="12.2" customHeight="1" x14ac:dyDescent="0.15">
      <c r="A284" s="1" t="s">
        <v>444</v>
      </c>
      <c r="B284" s="2" t="s">
        <v>357</v>
      </c>
      <c r="C284" s="2" t="s">
        <v>296</v>
      </c>
      <c r="D284" s="2" t="s">
        <v>431</v>
      </c>
      <c r="E284" s="6">
        <v>2300</v>
      </c>
      <c r="F284" s="18">
        <f>81507.19</f>
        <v>81507.19</v>
      </c>
      <c r="G284" s="18">
        <f>22229.33</f>
        <v>22229.33</v>
      </c>
      <c r="H284" s="18"/>
      <c r="I284" s="18"/>
      <c r="J284" s="18"/>
      <c r="K284" s="18"/>
      <c r="L284" s="13">
        <f t="shared" si="12"/>
        <v>103736.52</v>
      </c>
      <c r="M284" s="8"/>
      <c r="N284" s="164"/>
    </row>
    <row r="285" spans="1:14" s="3" customFormat="1" ht="12.2" customHeight="1" x14ac:dyDescent="0.15">
      <c r="A285" s="1" t="s">
        <v>445</v>
      </c>
      <c r="B285" s="2" t="s">
        <v>357</v>
      </c>
      <c r="C285" s="2" t="s">
        <v>297</v>
      </c>
      <c r="D285" s="2" t="s">
        <v>431</v>
      </c>
      <c r="E285" s="6">
        <v>2400</v>
      </c>
      <c r="F285" s="18"/>
      <c r="G285" s="18"/>
      <c r="H285" s="18">
        <f>44220.59</f>
        <v>44220.59</v>
      </c>
      <c r="I285" s="18"/>
      <c r="J285" s="18"/>
      <c r="K285" s="18"/>
      <c r="L285" s="13">
        <f t="shared" si="12"/>
        <v>44220.59</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f>12391.04</f>
        <v>12391.04</v>
      </c>
      <c r="J287" s="18">
        <f>13888</f>
        <v>13888</v>
      </c>
      <c r="K287" s="18"/>
      <c r="L287" s="13">
        <f t="shared" si="12"/>
        <v>26279.040000000001</v>
      </c>
      <c r="M287" s="8"/>
      <c r="N287" s="164"/>
    </row>
    <row r="288" spans="1:14" s="3" customFormat="1" ht="12.2" customHeight="1" x14ac:dyDescent="0.15">
      <c r="A288" s="1" t="s">
        <v>448</v>
      </c>
      <c r="B288" s="2" t="s">
        <v>357</v>
      </c>
      <c r="C288" s="2" t="s">
        <v>300</v>
      </c>
      <c r="D288" s="2" t="s">
        <v>431</v>
      </c>
      <c r="E288" s="6">
        <v>2700</v>
      </c>
      <c r="F288" s="18"/>
      <c r="G288" s="18"/>
      <c r="H288" s="18">
        <f>5040+936</f>
        <v>5976</v>
      </c>
      <c r="I288" s="18"/>
      <c r="J288" s="18"/>
      <c r="K288" s="18"/>
      <c r="L288" s="13">
        <f t="shared" si="12"/>
        <v>5976</v>
      </c>
      <c r="M288" s="8"/>
      <c r="N288" s="164"/>
    </row>
    <row r="289" spans="1:14" s="3" customFormat="1" ht="12.2" customHeight="1" x14ac:dyDescent="0.15">
      <c r="A289" s="1" t="s">
        <v>449</v>
      </c>
      <c r="B289" s="2" t="s">
        <v>357</v>
      </c>
      <c r="C289" s="2" t="s">
        <v>343</v>
      </c>
      <c r="D289" s="2" t="s">
        <v>431</v>
      </c>
      <c r="E289" s="6">
        <v>2800</v>
      </c>
      <c r="F289" s="18"/>
      <c r="G289" s="18"/>
      <c r="H289" s="18"/>
      <c r="I289" s="18">
        <f>5620.64</f>
        <v>5620.64</v>
      </c>
      <c r="J289" s="18">
        <f>1024.53</f>
        <v>1024.53</v>
      </c>
      <c r="K289" s="18"/>
      <c r="L289" s="13">
        <f>SUM(F289:K289)</f>
        <v>6645.17</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527770.02</v>
      </c>
      <c r="G291" s="39">
        <f t="shared" si="13"/>
        <v>172948.22000000003</v>
      </c>
      <c r="H291" s="39">
        <f t="shared" si="13"/>
        <v>183178.77</v>
      </c>
      <c r="I291" s="39">
        <f t="shared" si="13"/>
        <v>110584.71</v>
      </c>
      <c r="J291" s="39">
        <f t="shared" si="13"/>
        <v>127881.5</v>
      </c>
      <c r="K291" s="39">
        <f t="shared" si="13"/>
        <v>4014.65</v>
      </c>
      <c r="L291" s="38">
        <f t="shared" si="13"/>
        <v>1126377.8699999999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60890.12</f>
        <v>60890.12</v>
      </c>
      <c r="G296" s="18">
        <f>13741.36</f>
        <v>13741.36</v>
      </c>
      <c r="H296" s="18">
        <f>1258.6</f>
        <v>1258.5999999999999</v>
      </c>
      <c r="I296" s="18">
        <f>15484.89</f>
        <v>15484.89</v>
      </c>
      <c r="J296" s="18">
        <f>78935.93</f>
        <v>78935.929999999993</v>
      </c>
      <c r="K296" s="18">
        <f>445.2</f>
        <v>445.2</v>
      </c>
      <c r="L296" s="13">
        <f>SUM(F296:K296)</f>
        <v>170756.10000000003</v>
      </c>
      <c r="M296" s="8"/>
      <c r="N296" s="164"/>
    </row>
    <row r="297" spans="1:14" s="3" customFormat="1" ht="12.2" customHeight="1" x14ac:dyDescent="0.15">
      <c r="A297" s="1" t="s">
        <v>439</v>
      </c>
      <c r="B297" s="2" t="s">
        <v>358</v>
      </c>
      <c r="C297" s="2" t="s">
        <v>291</v>
      </c>
      <c r="D297" s="2" t="s">
        <v>431</v>
      </c>
      <c r="E297" s="6">
        <v>1200</v>
      </c>
      <c r="F297" s="18">
        <f>98413.95</f>
        <v>98413.95</v>
      </c>
      <c r="G297" s="18">
        <f>67974.44</f>
        <v>67974.44</v>
      </c>
      <c r="H297" s="18">
        <f>2086</f>
        <v>2086</v>
      </c>
      <c r="I297" s="18">
        <f>2278.6</f>
        <v>2278.6</v>
      </c>
      <c r="J297" s="18">
        <f>2169.99</f>
        <v>2169.9899999999998</v>
      </c>
      <c r="K297" s="18"/>
      <c r="L297" s="13">
        <f>SUM(F297:K297)</f>
        <v>172922.98</v>
      </c>
      <c r="M297" s="8"/>
      <c r="N297" s="164"/>
    </row>
    <row r="298" spans="1:14" s="3" customFormat="1" ht="12.2" customHeight="1" x14ac:dyDescent="0.15">
      <c r="A298" s="1" t="s">
        <v>440</v>
      </c>
      <c r="B298" s="2" t="s">
        <v>358</v>
      </c>
      <c r="C298" s="2" t="s">
        <v>292</v>
      </c>
      <c r="D298" s="2" t="s">
        <v>431</v>
      </c>
      <c r="E298" s="6">
        <v>1300</v>
      </c>
      <c r="F298" s="18">
        <f>13400.24</f>
        <v>13400.24</v>
      </c>
      <c r="G298" s="18">
        <f>10668.26</f>
        <v>10668.26</v>
      </c>
      <c r="H298" s="18"/>
      <c r="I298" s="18">
        <f>27409.61</f>
        <v>27409.61</v>
      </c>
      <c r="J298" s="18"/>
      <c r="K298" s="18">
        <f>582.11</f>
        <v>582.11</v>
      </c>
      <c r="L298" s="13">
        <f>SUM(F298:K298)</f>
        <v>52060.22</v>
      </c>
      <c r="M298" s="8"/>
      <c r="N298" s="164"/>
    </row>
    <row r="299" spans="1:14" s="3" customFormat="1" ht="12.2" customHeight="1" x14ac:dyDescent="0.15">
      <c r="A299" s="1" t="s">
        <v>441</v>
      </c>
      <c r="B299" s="2" t="s">
        <v>358</v>
      </c>
      <c r="C299" s="2" t="s">
        <v>293</v>
      </c>
      <c r="D299" s="2" t="s">
        <v>431</v>
      </c>
      <c r="E299" s="6">
        <v>1400</v>
      </c>
      <c r="F299" s="18">
        <f>10456</f>
        <v>10456</v>
      </c>
      <c r="G299" s="18">
        <f>702.92</f>
        <v>702.92</v>
      </c>
      <c r="H299" s="18"/>
      <c r="I299" s="18">
        <f>216.5</f>
        <v>216.5</v>
      </c>
      <c r="J299" s="18"/>
      <c r="K299" s="18"/>
      <c r="L299" s="13">
        <f>SUM(F299:K299)</f>
        <v>11375.42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1744.8</f>
        <v>1744.8</v>
      </c>
      <c r="G301" s="18"/>
      <c r="H301" s="18">
        <f>5418.84+2879.86</f>
        <v>8298.7000000000007</v>
      </c>
      <c r="I301" s="18">
        <f>381.55</f>
        <v>381.55</v>
      </c>
      <c r="J301" s="18"/>
      <c r="K301" s="18"/>
      <c r="L301" s="13">
        <f t="shared" ref="L301:L307" si="14">SUM(F301:K301)</f>
        <v>10425.049999999999</v>
      </c>
      <c r="M301" s="8"/>
      <c r="N301" s="164"/>
    </row>
    <row r="302" spans="1:14" s="3" customFormat="1" ht="12.2" customHeight="1" x14ac:dyDescent="0.15">
      <c r="A302" s="1" t="s">
        <v>443</v>
      </c>
      <c r="B302" s="2" t="s">
        <v>358</v>
      </c>
      <c r="C302" s="2" t="s">
        <v>295</v>
      </c>
      <c r="D302" s="2" t="s">
        <v>431</v>
      </c>
      <c r="E302" s="6">
        <v>2200</v>
      </c>
      <c r="F302" s="18">
        <f>12608.54</f>
        <v>12608.54</v>
      </c>
      <c r="G302" s="18">
        <f>3363.32</f>
        <v>3363.32</v>
      </c>
      <c r="H302" s="18">
        <f>48133.23</f>
        <v>48133.23</v>
      </c>
      <c r="I302" s="18">
        <f>5967.65</f>
        <v>5967.65</v>
      </c>
      <c r="J302" s="18"/>
      <c r="K302" s="18">
        <f>212.8</f>
        <v>212.8</v>
      </c>
      <c r="L302" s="13">
        <f t="shared" si="14"/>
        <v>70285.540000000008</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f>26814.93</f>
        <v>26814.93</v>
      </c>
      <c r="I304" s="18"/>
      <c r="J304" s="18"/>
      <c r="K304" s="18"/>
      <c r="L304" s="13">
        <f t="shared" si="14"/>
        <v>26814.93</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f>12391.04</f>
        <v>12391.04</v>
      </c>
      <c r="J306" s="18">
        <f>69771</f>
        <v>69771</v>
      </c>
      <c r="K306" s="18"/>
      <c r="L306" s="13">
        <f t="shared" si="14"/>
        <v>82162.040000000008</v>
      </c>
      <c r="M306" s="8"/>
      <c r="N306" s="164"/>
    </row>
    <row r="307" spans="1:14" s="3" customFormat="1" ht="12.2" customHeight="1" x14ac:dyDescent="0.15">
      <c r="A307" s="1" t="s">
        <v>448</v>
      </c>
      <c r="B307" s="2" t="s">
        <v>358</v>
      </c>
      <c r="C307" s="2" t="s">
        <v>300</v>
      </c>
      <c r="D307" s="2" t="s">
        <v>431</v>
      </c>
      <c r="E307" s="6">
        <v>2700</v>
      </c>
      <c r="F307" s="18"/>
      <c r="G307" s="18"/>
      <c r="H307" s="18">
        <f>672</f>
        <v>672</v>
      </c>
      <c r="I307" s="18"/>
      <c r="J307" s="18"/>
      <c r="K307" s="18"/>
      <c r="L307" s="13">
        <f t="shared" si="14"/>
        <v>672</v>
      </c>
      <c r="M307" s="8"/>
      <c r="N307" s="164"/>
    </row>
    <row r="308" spans="1:14" s="3" customFormat="1" ht="12.2" customHeight="1" x14ac:dyDescent="0.15">
      <c r="A308" s="1" t="s">
        <v>449</v>
      </c>
      <c r="B308" s="2" t="s">
        <v>358</v>
      </c>
      <c r="C308" s="2" t="s">
        <v>343</v>
      </c>
      <c r="D308" s="2" t="s">
        <v>431</v>
      </c>
      <c r="E308" s="6">
        <v>2800</v>
      </c>
      <c r="F308" s="18"/>
      <c r="G308" s="18"/>
      <c r="H308" s="18"/>
      <c r="I308" s="18">
        <f>4035.33</f>
        <v>4035.33</v>
      </c>
      <c r="J308" s="18">
        <f>735.56</f>
        <v>735.56</v>
      </c>
      <c r="K308" s="18"/>
      <c r="L308" s="13">
        <f>SUM(F308:K308)</f>
        <v>4770.8899999999994</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197513.65</v>
      </c>
      <c r="G310" s="39">
        <f t="shared" si="15"/>
        <v>96450.3</v>
      </c>
      <c r="H310" s="39">
        <f t="shared" si="15"/>
        <v>87263.46</v>
      </c>
      <c r="I310" s="39">
        <f t="shared" si="15"/>
        <v>68165.17</v>
      </c>
      <c r="J310" s="39">
        <f t="shared" si="15"/>
        <v>151612.47999999998</v>
      </c>
      <c r="K310" s="39">
        <f t="shared" si="15"/>
        <v>1240.1099999999999</v>
      </c>
      <c r="L310" s="38">
        <f t="shared" si="15"/>
        <v>602245.17000000004</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71763.36+69095.81</f>
        <v>140859.16999999998</v>
      </c>
      <c r="G315" s="18">
        <f>16195.17+17641.13</f>
        <v>33836.300000000003</v>
      </c>
      <c r="H315" s="18">
        <f>1483.35</f>
        <v>1483.35</v>
      </c>
      <c r="I315" s="18">
        <f>18250.05+2933.35</f>
        <v>21183.399999999998</v>
      </c>
      <c r="J315" s="18">
        <f>93031.63</f>
        <v>93031.63</v>
      </c>
      <c r="K315" s="18">
        <f>524.7</f>
        <v>524.70000000000005</v>
      </c>
      <c r="L315" s="13">
        <f>SUM(F315:K315)</f>
        <v>290918.55</v>
      </c>
      <c r="M315" s="8"/>
      <c r="N315" s="164"/>
    </row>
    <row r="316" spans="1:14" s="3" customFormat="1" ht="12.2" customHeight="1" x14ac:dyDescent="0.15">
      <c r="A316" s="1" t="s">
        <v>439</v>
      </c>
      <c r="B316" s="2" t="s">
        <v>359</v>
      </c>
      <c r="C316" s="2" t="s">
        <v>291</v>
      </c>
      <c r="D316" s="2" t="s">
        <v>431</v>
      </c>
      <c r="E316" s="6">
        <v>1200</v>
      </c>
      <c r="F316" s="18">
        <f>115987.87</f>
        <v>115987.87</v>
      </c>
      <c r="G316" s="18">
        <f>80112.74</f>
        <v>80112.740000000005</v>
      </c>
      <c r="H316" s="18">
        <f>2458.5</f>
        <v>2458.5</v>
      </c>
      <c r="I316" s="18">
        <f>2685.49</f>
        <v>2685.49</v>
      </c>
      <c r="J316" s="18">
        <f>2557.49</f>
        <v>2557.4899999999998</v>
      </c>
      <c r="K316" s="18"/>
      <c r="L316" s="13">
        <f>SUM(F316:K316)</f>
        <v>203802.08999999997</v>
      </c>
      <c r="M316" s="8"/>
      <c r="N316" s="164"/>
    </row>
    <row r="317" spans="1:14" s="3" customFormat="1" ht="12.2" customHeight="1" x14ac:dyDescent="0.15">
      <c r="A317" s="1" t="s">
        <v>440</v>
      </c>
      <c r="B317" s="2" t="s">
        <v>359</v>
      </c>
      <c r="C317" s="2" t="s">
        <v>292</v>
      </c>
      <c r="D317" s="2" t="s">
        <v>431</v>
      </c>
      <c r="E317" s="6">
        <v>1300</v>
      </c>
      <c r="F317" s="18">
        <f>15793.14</f>
        <v>15793.14</v>
      </c>
      <c r="G317" s="18">
        <f>12573.3</f>
        <v>12573.3</v>
      </c>
      <c r="H317" s="18"/>
      <c r="I317" s="18">
        <f>32304.19+7543.24</f>
        <v>39847.43</v>
      </c>
      <c r="J317" s="18"/>
      <c r="K317" s="18">
        <f>686.05</f>
        <v>686.05</v>
      </c>
      <c r="L317" s="13">
        <f>SUM(F317:K317)</f>
        <v>68899.92</v>
      </c>
      <c r="M317" s="8"/>
      <c r="N317" s="164"/>
    </row>
    <row r="318" spans="1:14" s="3" customFormat="1" ht="12.2" customHeight="1" x14ac:dyDescent="0.15">
      <c r="A318" s="1" t="s">
        <v>441</v>
      </c>
      <c r="B318" s="2" t="s">
        <v>359</v>
      </c>
      <c r="C318" s="2" t="s">
        <v>293</v>
      </c>
      <c r="D318" s="2" t="s">
        <v>431</v>
      </c>
      <c r="E318" s="6">
        <v>1400</v>
      </c>
      <c r="F318" s="18"/>
      <c r="G318" s="18">
        <f>828.44</f>
        <v>828.44</v>
      </c>
      <c r="H318" s="18"/>
      <c r="I318" s="18"/>
      <c r="J318" s="18"/>
      <c r="K318" s="18"/>
      <c r="L318" s="13">
        <f>SUM(F318:K318)</f>
        <v>828.44</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2056.38</f>
        <v>2056.38</v>
      </c>
      <c r="G320" s="18"/>
      <c r="H320" s="18">
        <f>6386.49+5879.85</f>
        <v>12266.34</v>
      </c>
      <c r="I320" s="18">
        <f>381.56</f>
        <v>381.56</v>
      </c>
      <c r="J320" s="18"/>
      <c r="K320" s="18"/>
      <c r="L320" s="13">
        <f t="shared" ref="L320:L326" si="16">SUM(F320:K320)</f>
        <v>14704.28</v>
      </c>
      <c r="M320" s="8"/>
      <c r="N320" s="164"/>
    </row>
    <row r="321" spans="1:14" s="3" customFormat="1" ht="12.2" customHeight="1" x14ac:dyDescent="0.15">
      <c r="A321" s="1" t="s">
        <v>443</v>
      </c>
      <c r="B321" s="2" t="s">
        <v>359</v>
      </c>
      <c r="C321" s="2" t="s">
        <v>295</v>
      </c>
      <c r="D321" s="2" t="s">
        <v>431</v>
      </c>
      <c r="E321" s="6">
        <v>2200</v>
      </c>
      <c r="F321" s="18">
        <f>14860.07</f>
        <v>14860.07</v>
      </c>
      <c r="G321" s="18">
        <f>3963.92</f>
        <v>3963.92</v>
      </c>
      <c r="H321" s="18">
        <f>2350+2657.95+56728.45</f>
        <v>61736.399999999994</v>
      </c>
      <c r="I321" s="18">
        <f>7033.3</f>
        <v>7033.3</v>
      </c>
      <c r="J321" s="18"/>
      <c r="K321" s="18">
        <f>3961.36+250.8</f>
        <v>4212.16</v>
      </c>
      <c r="L321" s="13">
        <f t="shared" si="16"/>
        <v>91805.849999999991</v>
      </c>
      <c r="M321" s="8"/>
      <c r="N321" s="164"/>
    </row>
    <row r="322" spans="1:14" s="3" customFormat="1" ht="12.2" customHeight="1" x14ac:dyDescent="0.15">
      <c r="A322" s="1" t="s">
        <v>444</v>
      </c>
      <c r="B322" s="2" t="s">
        <v>359</v>
      </c>
      <c r="C322" s="2" t="s">
        <v>296</v>
      </c>
      <c r="D322" s="2" t="s">
        <v>431</v>
      </c>
      <c r="E322" s="6">
        <v>2300</v>
      </c>
      <c r="F322" s="18">
        <f>24849.75</f>
        <v>24849.75</v>
      </c>
      <c r="G322" s="18">
        <f>3417.56</f>
        <v>3417.56</v>
      </c>
      <c r="H322" s="18">
        <f>4302+11162.45</f>
        <v>15464.45</v>
      </c>
      <c r="I322" s="18">
        <f>6067.18</f>
        <v>6067.18</v>
      </c>
      <c r="J322" s="18">
        <f>9229.07</f>
        <v>9229.07</v>
      </c>
      <c r="K322" s="18">
        <f>3760</f>
        <v>3760</v>
      </c>
      <c r="L322" s="13">
        <f t="shared" si="16"/>
        <v>62788.01</v>
      </c>
      <c r="M322" s="8"/>
      <c r="N322" s="164"/>
    </row>
    <row r="323" spans="1:14" s="3" customFormat="1" ht="12.2" customHeight="1" x14ac:dyDescent="0.15">
      <c r="A323" s="1" t="s">
        <v>445</v>
      </c>
      <c r="B323" s="2" t="s">
        <v>359</v>
      </c>
      <c r="C323" s="2" t="s">
        <v>297</v>
      </c>
      <c r="D323" s="2" t="s">
        <v>431</v>
      </c>
      <c r="E323" s="6">
        <v>2400</v>
      </c>
      <c r="F323" s="18"/>
      <c r="G323" s="18"/>
      <c r="H323" s="18">
        <f>315353.84</f>
        <v>315353.84000000003</v>
      </c>
      <c r="I323" s="18"/>
      <c r="J323" s="18"/>
      <c r="K323" s="18"/>
      <c r="L323" s="13">
        <f t="shared" si="16"/>
        <v>315353.84000000003</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f>12391.05</f>
        <v>12391.05</v>
      </c>
      <c r="J325" s="18">
        <f>95213.32</f>
        <v>95213.32</v>
      </c>
      <c r="K325" s="18"/>
      <c r="L325" s="13">
        <f t="shared" si="16"/>
        <v>107604.37000000001</v>
      </c>
      <c r="M325" s="8"/>
      <c r="N325" s="164"/>
    </row>
    <row r="326" spans="1:14" s="3" customFormat="1" ht="12.2" customHeight="1" x14ac:dyDescent="0.15">
      <c r="A326" s="1" t="s">
        <v>448</v>
      </c>
      <c r="B326" s="2" t="s">
        <v>359</v>
      </c>
      <c r="C326" s="2" t="s">
        <v>300</v>
      </c>
      <c r="D326" s="2" t="s">
        <v>431</v>
      </c>
      <c r="E326" s="6">
        <v>2700</v>
      </c>
      <c r="F326" s="18"/>
      <c r="G326" s="18"/>
      <c r="H326" s="18">
        <f>792+5100.26</f>
        <v>5892.26</v>
      </c>
      <c r="I326" s="18">
        <f>4070.49</f>
        <v>4070.49</v>
      </c>
      <c r="J326" s="18"/>
      <c r="K326" s="18">
        <f>2623.88</f>
        <v>2623.88</v>
      </c>
      <c r="L326" s="13">
        <f t="shared" si="16"/>
        <v>12586.630000000001</v>
      </c>
      <c r="M326" s="8"/>
      <c r="N326" s="164"/>
    </row>
    <row r="327" spans="1:14" s="3" customFormat="1" ht="12.2" customHeight="1" x14ac:dyDescent="0.15">
      <c r="A327" s="1" t="s">
        <v>449</v>
      </c>
      <c r="B327" s="2" t="s">
        <v>359</v>
      </c>
      <c r="C327" s="2" t="s">
        <v>343</v>
      </c>
      <c r="D327" s="2" t="s">
        <v>431</v>
      </c>
      <c r="E327" s="6">
        <v>2800</v>
      </c>
      <c r="F327" s="18"/>
      <c r="G327" s="18"/>
      <c r="H327" s="18"/>
      <c r="I327" s="18">
        <f>4755.93</f>
        <v>4755.93</v>
      </c>
      <c r="J327" s="18">
        <f>866.91</f>
        <v>866.91</v>
      </c>
      <c r="K327" s="18"/>
      <c r="L327" s="13">
        <f>SUM(F327:K327)</f>
        <v>5622.84</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314406.38</v>
      </c>
      <c r="G329" s="39">
        <f t="shared" si="17"/>
        <v>134732.26</v>
      </c>
      <c r="H329" s="39">
        <f t="shared" si="17"/>
        <v>414655.14</v>
      </c>
      <c r="I329" s="39">
        <f t="shared" si="17"/>
        <v>98415.829999999987</v>
      </c>
      <c r="J329" s="39">
        <f t="shared" si="17"/>
        <v>200898.42</v>
      </c>
      <c r="K329" s="39">
        <f t="shared" si="17"/>
        <v>11806.79</v>
      </c>
      <c r="L329" s="38">
        <f t="shared" si="17"/>
        <v>1174914.82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1039690.05</v>
      </c>
      <c r="G339" s="38">
        <f t="shared" si="20"/>
        <v>404130.78</v>
      </c>
      <c r="H339" s="38">
        <f t="shared" si="20"/>
        <v>685097.37</v>
      </c>
      <c r="I339" s="38">
        <f t="shared" si="20"/>
        <v>277165.70999999996</v>
      </c>
      <c r="J339" s="38">
        <f t="shared" si="20"/>
        <v>480392.4</v>
      </c>
      <c r="K339" s="38">
        <f t="shared" si="20"/>
        <v>17061.550000000003</v>
      </c>
      <c r="L339" s="38">
        <f t="shared" si="20"/>
        <v>2903537.8600000003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1039690.05</v>
      </c>
      <c r="G353" s="38">
        <f>G339</f>
        <v>404130.78</v>
      </c>
      <c r="H353" s="38">
        <f>H339</f>
        <v>685097.37</v>
      </c>
      <c r="I353" s="38">
        <f>I339</f>
        <v>277165.70999999996</v>
      </c>
      <c r="J353" s="38">
        <f>J339</f>
        <v>480392.4</v>
      </c>
      <c r="K353" s="38">
        <f>K339+K352</f>
        <v>17061.550000000003</v>
      </c>
      <c r="L353" s="38">
        <f>L339+L352</f>
        <v>2903537.8600000003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89607.15+9065.73</f>
        <v>98672.87999999999</v>
      </c>
      <c r="G359" s="18">
        <f>28082.29</f>
        <v>28082.29</v>
      </c>
      <c r="H359" s="18">
        <f>49012.83</f>
        <v>49012.83</v>
      </c>
      <c r="I359" s="18">
        <f>89554.7+35368.03</f>
        <v>124922.73</v>
      </c>
      <c r="J359" s="18">
        <f>3020.72</f>
        <v>3020.72</v>
      </c>
      <c r="K359" s="18">
        <f>3813.51</f>
        <v>3813.51</v>
      </c>
      <c r="L359" s="13">
        <f>SUM(F359:K359)</f>
        <v>307524.95999999996</v>
      </c>
      <c r="M359" s="8"/>
      <c r="N359" s="164"/>
    </row>
    <row r="360" spans="1:22" s="3" customFormat="1" ht="12.2" customHeight="1" x14ac:dyDescent="0.15">
      <c r="A360" s="1" t="s">
        <v>542</v>
      </c>
      <c r="B360" s="2" t="s">
        <v>366</v>
      </c>
      <c r="C360" s="6">
        <v>2</v>
      </c>
      <c r="D360" s="2" t="s">
        <v>431</v>
      </c>
      <c r="E360" s="6"/>
      <c r="F360" s="18">
        <f>101729.92+9065.73</f>
        <v>110795.65</v>
      </c>
      <c r="G360" s="18">
        <f>28082.29</f>
        <v>28082.29</v>
      </c>
      <c r="H360" s="18">
        <f>3648.33</f>
        <v>3648.33</v>
      </c>
      <c r="I360" s="18">
        <f>42612.01+35368.03</f>
        <v>77980.040000000008</v>
      </c>
      <c r="J360" s="18">
        <f>13348.12</f>
        <v>13348.12</v>
      </c>
      <c r="K360" s="18">
        <f>3813.51</f>
        <v>3813.51</v>
      </c>
      <c r="L360" s="13">
        <f>SUM(F360:K360)</f>
        <v>237667.94</v>
      </c>
      <c r="M360" s="8"/>
      <c r="N360" s="164"/>
    </row>
    <row r="361" spans="1:22" s="3" customFormat="1" ht="12.2" customHeight="1" x14ac:dyDescent="0.15">
      <c r="A361" s="3" t="s">
        <v>543</v>
      </c>
      <c r="B361" s="2" t="s">
        <v>366</v>
      </c>
      <c r="C361" s="6">
        <v>3</v>
      </c>
      <c r="D361" s="2" t="s">
        <v>431</v>
      </c>
      <c r="E361" s="6"/>
      <c r="F361" s="18">
        <f>125580.22+9065.74</f>
        <v>134645.96</v>
      </c>
      <c r="G361" s="18">
        <f>28082.3</f>
        <v>28082.3</v>
      </c>
      <c r="H361" s="18">
        <f>29634.58</f>
        <v>29634.58</v>
      </c>
      <c r="I361" s="18">
        <f>55549.77+35368.04</f>
        <v>90917.81</v>
      </c>
      <c r="J361" s="18">
        <f>6835.64</f>
        <v>6835.64</v>
      </c>
      <c r="K361" s="18">
        <f>3813.52</f>
        <v>3813.52</v>
      </c>
      <c r="L361" s="13">
        <f>SUM(F361:K361)</f>
        <v>293929.81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344114.49</v>
      </c>
      <c r="G363" s="38">
        <f t="shared" si="22"/>
        <v>84246.88</v>
      </c>
      <c r="H363" s="38">
        <f t="shared" si="22"/>
        <v>82295.740000000005</v>
      </c>
      <c r="I363" s="38">
        <f t="shared" si="22"/>
        <v>293820.58</v>
      </c>
      <c r="J363" s="38">
        <f t="shared" si="22"/>
        <v>23204.48</v>
      </c>
      <c r="K363" s="38">
        <f t="shared" si="22"/>
        <v>11440.54</v>
      </c>
      <c r="L363" s="38">
        <f t="shared" si="22"/>
        <v>839122.71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77181.49+31848.64</f>
        <v>109030.13</v>
      </c>
      <c r="G368" s="18">
        <f>35510+31848.64</f>
        <v>67358.64</v>
      </c>
      <c r="H368" s="18">
        <f>45704.32+31848.65</f>
        <v>77552.97</v>
      </c>
      <c r="I368" s="13">
        <f>SUM(F368:H368)</f>
        <v>253941.74000000002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12373.21+3519.39</f>
        <v>15892.599999999999</v>
      </c>
      <c r="G369" s="53">
        <f>7102.01+3519.39</f>
        <v>10621.4</v>
      </c>
      <c r="H369" s="53">
        <f>9845.45+3519.39</f>
        <v>13364.84</v>
      </c>
      <c r="I369" s="13">
        <f>SUM(F369:H369)</f>
        <v>39878.839999999997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124922.73000000001</v>
      </c>
      <c r="G370" s="38">
        <f>SUM(G368:G369)</f>
        <v>77980.039999999994</v>
      </c>
      <c r="H370" s="38">
        <f>SUM(H368:H369)</f>
        <v>90917.81</v>
      </c>
      <c r="I370" s="38">
        <f>SUM(I368:I369)</f>
        <v>293820.58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31000</f>
        <v>31000</v>
      </c>
      <c r="H397" s="18">
        <f>28861.31</f>
        <v>28861.31</v>
      </c>
      <c r="I397" s="18"/>
      <c r="J397" s="23" t="s">
        <v>288</v>
      </c>
      <c r="K397" s="23" t="s">
        <v>288</v>
      </c>
      <c r="L397" s="13">
        <f t="shared" si="26"/>
        <v>59861.31</v>
      </c>
      <c r="M397" s="8"/>
      <c r="N397" s="164"/>
    </row>
    <row r="398" spans="1:14" s="3" customFormat="1" ht="12.2" customHeight="1" x14ac:dyDescent="0.15">
      <c r="A398" s="62" t="s">
        <v>515</v>
      </c>
      <c r="B398" s="2" t="s">
        <v>381</v>
      </c>
      <c r="C398" s="6">
        <v>10</v>
      </c>
      <c r="D398" s="2" t="s">
        <v>432</v>
      </c>
      <c r="E398" s="6"/>
      <c r="F398" s="18"/>
      <c r="G398" s="18">
        <f>50000</f>
        <v>50000</v>
      </c>
      <c r="H398" s="18">
        <f>18402.57</f>
        <v>18402.57</v>
      </c>
      <c r="I398" s="18"/>
      <c r="J398" s="23" t="s">
        <v>288</v>
      </c>
      <c r="K398" s="23" t="s">
        <v>288</v>
      </c>
      <c r="L398" s="13">
        <f t="shared" si="26"/>
        <v>68402.570000000007</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f>6580.09</f>
        <v>6580.09</v>
      </c>
      <c r="I401" s="18"/>
      <c r="J401" s="23" t="s">
        <v>288</v>
      </c>
      <c r="K401" s="23" t="s">
        <v>288</v>
      </c>
      <c r="L401" s="13">
        <f t="shared" si="26"/>
        <v>6580.09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81000</v>
      </c>
      <c r="H402" s="38">
        <f>SUM(H396:H401)</f>
        <v>53843.97</v>
      </c>
      <c r="I402" s="38">
        <f>SUM(I396:I401)</f>
        <v>0</v>
      </c>
      <c r="J402" s="42" t="s">
        <v>288</v>
      </c>
      <c r="K402" s="42" t="s">
        <v>288</v>
      </c>
      <c r="L402" s="38">
        <f>SUM(L396:L401)</f>
        <v>134843.97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81000</v>
      </c>
      <c r="H409" s="38">
        <f>H394+H402+H408</f>
        <v>53843.97</v>
      </c>
      <c r="I409" s="38">
        <f>I394+I402+I408</f>
        <v>0</v>
      </c>
      <c r="J409" s="23" t="s">
        <v>288</v>
      </c>
      <c r="K409" s="23" t="s">
        <v>288</v>
      </c>
      <c r="L409" s="38">
        <f>L394+L402+L408</f>
        <v>134843.97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f>29993.76</f>
        <v>29993.759999999998</v>
      </c>
      <c r="K423" s="18"/>
      <c r="L423" s="13">
        <f t="shared" si="29"/>
        <v>29993.759999999998</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29993.759999999998</v>
      </c>
      <c r="K428" s="38">
        <f t="shared" si="30"/>
        <v>0</v>
      </c>
      <c r="L428" s="38">
        <f t="shared" si="30"/>
        <v>29993.759999999998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29993.759999999998</v>
      </c>
      <c r="K435" s="38">
        <f t="shared" si="32"/>
        <v>0</v>
      </c>
      <c r="L435" s="38">
        <f t="shared" si="32"/>
        <v>29993.759999999998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f>1008133.8</f>
        <v>1008133.8</v>
      </c>
      <c r="H443" s="18"/>
      <c r="I443" s="13">
        <f t="shared" si="33"/>
        <v>1008133.8</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1008133.8</v>
      </c>
      <c r="H447" s="13">
        <f>SUM(H440:H446)</f>
        <v>0</v>
      </c>
      <c r="I447" s="13">
        <f>SUM(I440:I446)</f>
        <v>1008133.8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f>932297.7</f>
        <v>932297.7</v>
      </c>
      <c r="H458" s="18"/>
      <c r="I458" s="13">
        <f t="shared" si="34"/>
        <v>932297.7</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f>75836.1</f>
        <v>75836.100000000006</v>
      </c>
      <c r="H459" s="18"/>
      <c r="I459" s="13">
        <f t="shared" si="34"/>
        <v>75836.100000000006</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1008133.7999999999</v>
      </c>
      <c r="H461" s="65">
        <f>SUM(H455:H460)</f>
        <v>0</v>
      </c>
      <c r="I461" s="65">
        <f>SUM(I455:I460)</f>
        <v>1008133.7999999999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1008133.7999999999</v>
      </c>
      <c r="H462" s="39">
        <f>H453+H461</f>
        <v>0</v>
      </c>
      <c r="I462" s="39">
        <f>I453+I461</f>
        <v>1008133.7999999999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2101795.04</f>
        <v>2101795.04</v>
      </c>
      <c r="G466" s="18">
        <f>358554.1</f>
        <v>358554.1</v>
      </c>
      <c r="H466" s="18">
        <f>445323.86</f>
        <v>445323.86</v>
      </c>
      <c r="I466" s="18"/>
      <c r="J466" s="18">
        <f>903283.59</f>
        <v>903283.59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43075823.72</f>
        <v>43075823.719999999</v>
      </c>
      <c r="G469" s="18">
        <f>702703.3</f>
        <v>702703.3</v>
      </c>
      <c r="H469" s="18">
        <f>2355993.6+59633.19+106530+412670.17</f>
        <v>2934826.96</v>
      </c>
      <c r="I469" s="18"/>
      <c r="J469" s="18">
        <f>53843.97+81000</f>
        <v>134843.97</v>
      </c>
      <c r="K469" s="23" t="s">
        <v>288</v>
      </c>
      <c r="L469" s="23" t="s">
        <v>288</v>
      </c>
      <c r="N469" s="130"/>
    </row>
    <row r="470" spans="1:14" ht="12.2" customHeight="1" x14ac:dyDescent="0.2">
      <c r="A470" s="71" t="s">
        <v>611</v>
      </c>
      <c r="B470" s="22">
        <v>19</v>
      </c>
      <c r="C470" s="31">
        <v>3</v>
      </c>
      <c r="D470" s="2" t="s">
        <v>432</v>
      </c>
      <c r="E470" s="31"/>
      <c r="F470" s="18">
        <v>47650</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43123473.719999999</v>
      </c>
      <c r="G471" s="19">
        <f>SUM(G469:G470)</f>
        <v>702703.3</v>
      </c>
      <c r="H471" s="19">
        <f>SUM(H469:H470)</f>
        <v>2934826.96</v>
      </c>
      <c r="I471" s="19">
        <f>SUM(I469:I470)</f>
        <v>0</v>
      </c>
      <c r="J471" s="19">
        <f>SUM(J469:J470)</f>
        <v>134843.97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43430338.7</f>
        <v>43430338.700000003</v>
      </c>
      <c r="G473" s="18">
        <f>839122.71</f>
        <v>839122.71</v>
      </c>
      <c r="H473" s="18">
        <f>2355993.6+59689.98+101464.92+386389.36</f>
        <v>2903537.86</v>
      </c>
      <c r="I473" s="18"/>
      <c r="J473" s="18">
        <f>29993.76</f>
        <v>29993.759999999998</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43430338.700000003</v>
      </c>
      <c r="G475" s="19">
        <f>SUM(G473:G474)</f>
        <v>839122.71</v>
      </c>
      <c r="H475" s="19">
        <f>SUM(H473:H474)</f>
        <v>2903537.86</v>
      </c>
      <c r="I475" s="19">
        <f>SUM(I473:I474)</f>
        <v>0</v>
      </c>
      <c r="J475" s="19">
        <f>SUM(J473:J474)</f>
        <v>29993.759999999998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1794930.0599999949</v>
      </c>
      <c r="G477" s="19">
        <f>(G466+G471)- G475</f>
        <v>222134.68999999994</v>
      </c>
      <c r="H477" s="19">
        <f>(H466+H471)- H475</f>
        <v>476612.95999999996</v>
      </c>
      <c r="I477" s="19">
        <f>(I466+I471)- I475</f>
        <v>0</v>
      </c>
      <c r="J477" s="19">
        <f>(J466+J471)- J475</f>
        <v>1008133.7999999999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1840</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10</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c r="I493" s="111"/>
      <c r="J493" s="111"/>
      <c r="K493" s="23" t="s">
        <v>288</v>
      </c>
      <c r="L493" s="23" t="s">
        <v>288</v>
      </c>
      <c r="N493" s="130"/>
    </row>
    <row r="494" spans="1:14" ht="12.2" customHeight="1" x14ac:dyDescent="0.2">
      <c r="A494" s="21" t="s">
        <v>617</v>
      </c>
      <c r="B494" s="22">
        <v>20</v>
      </c>
      <c r="C494" s="22">
        <v>4</v>
      </c>
      <c r="D494" s="2" t="s">
        <v>432</v>
      </c>
      <c r="E494" s="22"/>
      <c r="F494" s="18">
        <v>4393500</v>
      </c>
      <c r="G494" s="18">
        <v>2553500</v>
      </c>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v>1095000</v>
      </c>
      <c r="G496" s="18">
        <v>1275000</v>
      </c>
      <c r="H496" s="18"/>
      <c r="I496" s="18"/>
      <c r="J496" s="18"/>
      <c r="K496" s="19">
        <f>SUM(F496:J496)</f>
        <v>2370000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220000</v>
      </c>
      <c r="G498" s="18">
        <v>255000</v>
      </c>
      <c r="H498" s="18"/>
      <c r="I498" s="18"/>
      <c r="J498" s="18"/>
      <c r="K498" s="19">
        <f t="shared" si="35"/>
        <v>475000</v>
      </c>
      <c r="L498" s="23" t="s">
        <v>288</v>
      </c>
      <c r="N498" s="130"/>
    </row>
    <row r="499" spans="1:14" ht="12.2" customHeight="1" x14ac:dyDescent="0.2">
      <c r="A499" s="143" t="s">
        <v>622</v>
      </c>
      <c r="B499" s="144">
        <v>20</v>
      </c>
      <c r="C499" s="144">
        <v>9</v>
      </c>
      <c r="D499" s="145" t="s">
        <v>432</v>
      </c>
      <c r="E499" s="144"/>
      <c r="F499" s="146">
        <v>875000</v>
      </c>
      <c r="G499" s="146">
        <v>1020000</v>
      </c>
      <c r="H499" s="146"/>
      <c r="I499" s="146"/>
      <c r="J499" s="146"/>
      <c r="K499" s="147">
        <f t="shared" si="35"/>
        <v>1895000</v>
      </c>
      <c r="L499" s="148" t="s">
        <v>288</v>
      </c>
      <c r="N499" s="130"/>
    </row>
    <row r="500" spans="1:14" ht="12.2" customHeight="1" thickBot="1" x14ac:dyDescent="0.25">
      <c r="A500" s="21" t="s">
        <v>623</v>
      </c>
      <c r="B500" s="22">
        <v>20</v>
      </c>
      <c r="C500" s="22">
        <v>10</v>
      </c>
      <c r="D500" s="2" t="s">
        <v>432</v>
      </c>
      <c r="E500" s="22"/>
      <c r="F500" s="18">
        <v>68088.039999999994</v>
      </c>
      <c r="G500" s="18">
        <v>104040</v>
      </c>
      <c r="H500" s="18"/>
      <c r="I500" s="18"/>
      <c r="J500" s="18"/>
      <c r="K500" s="19">
        <f t="shared" si="35"/>
        <v>172128.03999999998</v>
      </c>
      <c r="L500" s="23" t="s">
        <v>288</v>
      </c>
      <c r="N500" s="130"/>
    </row>
    <row r="501" spans="1:14" ht="12.2" customHeight="1" thickTop="1" x14ac:dyDescent="0.2">
      <c r="A501" s="97" t="s">
        <v>624</v>
      </c>
      <c r="B501" s="41">
        <v>20</v>
      </c>
      <c r="C501" s="41">
        <v>11</v>
      </c>
      <c r="D501" s="36" t="s">
        <v>432</v>
      </c>
      <c r="E501" s="41"/>
      <c r="F501" s="39">
        <f>SUM(F499:F500)</f>
        <v>943088.04</v>
      </c>
      <c r="G501" s="39">
        <f>SUM(G499:G500)</f>
        <v>1124040</v>
      </c>
      <c r="H501" s="39">
        <f>SUM(H499:H500)</f>
        <v>0</v>
      </c>
      <c r="I501" s="39">
        <f>SUM(I499:I500)</f>
        <v>0</v>
      </c>
      <c r="J501" s="39">
        <f>SUM(J499:J500)</f>
        <v>0</v>
      </c>
      <c r="K501" s="39">
        <f t="shared" si="35"/>
        <v>2067128.04</v>
      </c>
      <c r="L501" s="42" t="s">
        <v>288</v>
      </c>
      <c r="N501" s="130"/>
    </row>
    <row r="502" spans="1:14" ht="12.2" customHeight="1" x14ac:dyDescent="0.2">
      <c r="A502" s="143" t="s">
        <v>651</v>
      </c>
      <c r="B502" s="144">
        <v>20</v>
      </c>
      <c r="C502" s="144">
        <v>12</v>
      </c>
      <c r="D502" s="145" t="s">
        <v>432</v>
      </c>
      <c r="E502" s="144"/>
      <c r="F502" s="146">
        <v>220000</v>
      </c>
      <c r="G502" s="146">
        <v>255000</v>
      </c>
      <c r="H502" s="146"/>
      <c r="I502" s="146"/>
      <c r="J502" s="146"/>
      <c r="K502" s="147">
        <f t="shared" si="35"/>
        <v>475000</v>
      </c>
      <c r="L502" s="148" t="s">
        <v>288</v>
      </c>
      <c r="N502" s="130"/>
    </row>
    <row r="503" spans="1:14" ht="12.2" customHeight="1" thickBot="1" x14ac:dyDescent="0.25">
      <c r="A503" s="21" t="s">
        <v>625</v>
      </c>
      <c r="B503" s="22">
        <v>20</v>
      </c>
      <c r="C503" s="22">
        <v>13</v>
      </c>
      <c r="D503" s="2" t="s">
        <v>432</v>
      </c>
      <c r="E503" s="22"/>
      <c r="F503" s="18">
        <v>25456.26</v>
      </c>
      <c r="G503" s="18">
        <v>45517.5</v>
      </c>
      <c r="H503" s="18"/>
      <c r="I503" s="18"/>
      <c r="J503" s="18"/>
      <c r="K503" s="19">
        <f t="shared" si="35"/>
        <v>70973.759999999995</v>
      </c>
      <c r="L503" s="23" t="s">
        <v>288</v>
      </c>
      <c r="N503" s="130"/>
    </row>
    <row r="504" spans="1:14" ht="12.2" customHeight="1" thickTop="1" x14ac:dyDescent="0.2">
      <c r="A504" s="97" t="s">
        <v>626</v>
      </c>
      <c r="B504" s="41">
        <v>20</v>
      </c>
      <c r="C504" s="41">
        <v>14</v>
      </c>
      <c r="D504" s="36" t="s">
        <v>432</v>
      </c>
      <c r="E504" s="41"/>
      <c r="F504" s="39">
        <f>SUM(F502:F503)</f>
        <v>245456.26</v>
      </c>
      <c r="G504" s="39">
        <f>SUM(G502:G503)</f>
        <v>300517.5</v>
      </c>
      <c r="H504" s="39">
        <f>SUM(H502:H503)</f>
        <v>0</v>
      </c>
      <c r="I504" s="39">
        <f>SUM(I502:I503)</f>
        <v>0</v>
      </c>
      <c r="J504" s="39">
        <f>SUM(J502:J503)</f>
        <v>0</v>
      </c>
      <c r="K504" s="39">
        <f t="shared" si="35"/>
        <v>545973.76000000001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697751.25+791455.46+141778.85</f>
        <v>1630985.56</v>
      </c>
      <c r="G522" s="18">
        <f>855744.73+99058.63</f>
        <v>954803.36</v>
      </c>
      <c r="H522" s="18">
        <f>115160.73+167263.58+3352.5</f>
        <v>285776.81</v>
      </c>
      <c r="I522" s="18">
        <f>9898.85+150.95+3662.04</f>
        <v>13711.84</v>
      </c>
      <c r="J522" s="18">
        <f>3487.49</f>
        <v>3487.49</v>
      </c>
      <c r="K522" s="18"/>
      <c r="L522" s="69">
        <f>SUM(F522:K522)</f>
        <v>2888765.06</v>
      </c>
      <c r="N522" s="130"/>
    </row>
    <row r="523" spans="1:14" ht="12.2" customHeight="1" x14ac:dyDescent="0.2">
      <c r="A523" s="21" t="s">
        <v>634</v>
      </c>
      <c r="B523" s="22">
        <v>21</v>
      </c>
      <c r="C523" s="22">
        <v>2</v>
      </c>
      <c r="D523" s="2" t="s">
        <v>432</v>
      </c>
      <c r="E523" s="22"/>
      <c r="F523" s="18">
        <f>284931.72+510049.08+91368.59</f>
        <v>886349.39</v>
      </c>
      <c r="G523" s="18">
        <f>457321.07+63837.78</f>
        <v>521158.85</v>
      </c>
      <c r="H523" s="18">
        <f>453633.04+107792.09+2160.5</f>
        <v>563585.63</v>
      </c>
      <c r="I523" s="18">
        <f>567.01+97.28+2359.98</f>
        <v>3024.27</v>
      </c>
      <c r="J523" s="18">
        <f>2247.49</f>
        <v>2247.4899999999998</v>
      </c>
      <c r="K523" s="18"/>
      <c r="L523" s="69">
        <f>SUM(F523:K523)</f>
        <v>1976365.6300000001</v>
      </c>
      <c r="N523" s="130"/>
    </row>
    <row r="524" spans="1:14" ht="12.2" customHeight="1" thickBot="1" x14ac:dyDescent="0.25">
      <c r="A524" s="21" t="s">
        <v>635</v>
      </c>
      <c r="B524" s="22">
        <v>21</v>
      </c>
      <c r="C524" s="22">
        <v>3</v>
      </c>
      <c r="D524" s="2" t="s">
        <v>432</v>
      </c>
      <c r="E524" s="22"/>
      <c r="F524" s="18">
        <f>449656.54+457285.38+81916.67</f>
        <v>988858.59</v>
      </c>
      <c r="G524" s="18">
        <f>519683.04+57233.88</f>
        <v>576916.91999999993</v>
      </c>
      <c r="H524" s="18">
        <f>715344.27+96641.18+1937</f>
        <v>813922.45</v>
      </c>
      <c r="I524" s="18">
        <f>943.25+87.22+2115.84</f>
        <v>3146.3100000000004</v>
      </c>
      <c r="J524" s="18">
        <f>2014.99</f>
        <v>2014.99</v>
      </c>
      <c r="K524" s="18"/>
      <c r="L524" s="69">
        <f>SUM(F524:K524)</f>
        <v>2384859.2600000002</v>
      </c>
      <c r="N524" s="130"/>
    </row>
    <row r="525" spans="1:14" ht="12.2" customHeight="1" thickTop="1" x14ac:dyDescent="0.2">
      <c r="A525" s="97" t="s">
        <v>63</v>
      </c>
      <c r="B525" s="41">
        <v>21</v>
      </c>
      <c r="C525" s="41">
        <v>4</v>
      </c>
      <c r="D525" s="115" t="s">
        <v>432</v>
      </c>
      <c r="E525" s="41"/>
      <c r="F525" s="81">
        <f>SUM(F522:F524)</f>
        <v>3506193.54</v>
      </c>
      <c r="G525" s="81">
        <f t="shared" ref="G525:L525" si="36">SUM(G522:G524)</f>
        <v>2052879.13</v>
      </c>
      <c r="H525" s="81">
        <f t="shared" si="36"/>
        <v>1663284.89</v>
      </c>
      <c r="I525" s="81">
        <f t="shared" si="36"/>
        <v>19882.420000000002</v>
      </c>
      <c r="J525" s="81">
        <f t="shared" si="36"/>
        <v>7749.9699999999993</v>
      </c>
      <c r="K525" s="81">
        <f t="shared" si="36"/>
        <v>0</v>
      </c>
      <c r="L525" s="70">
        <f t="shared" si="36"/>
        <v>7249989.9500000011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542156.76+418667.01</f>
        <v>960823.77</v>
      </c>
      <c r="G527" s="18">
        <f>550864.02</f>
        <v>550864.02</v>
      </c>
      <c r="H527" s="18">
        <f>163597.45+188725.78</f>
        <v>352323.23</v>
      </c>
      <c r="I527" s="18">
        <f>3133.93+4916.61</f>
        <v>8050.5399999999991</v>
      </c>
      <c r="J527" s="18">
        <f>3414.12+7252.53</f>
        <v>10666.65</v>
      </c>
      <c r="K527" s="18"/>
      <c r="L527" s="69">
        <f>SUM(F527:K527)</f>
        <v>1882728.21</v>
      </c>
      <c r="M527" s="8"/>
      <c r="N527" s="164"/>
    </row>
    <row r="528" spans="1:14" s="3" customFormat="1" ht="12.2" customHeight="1" x14ac:dyDescent="0.15">
      <c r="A528" s="21" t="s">
        <v>634</v>
      </c>
      <c r="B528" s="22">
        <v>21</v>
      </c>
      <c r="C528" s="22">
        <v>6</v>
      </c>
      <c r="D528" s="2" t="s">
        <v>432</v>
      </c>
      <c r="E528" s="22"/>
      <c r="F528" s="18">
        <f>297832.65+269807.63</f>
        <v>567640.28</v>
      </c>
      <c r="G528" s="18">
        <f>325668.04</f>
        <v>325668.03999999998</v>
      </c>
      <c r="H528" s="18">
        <f>75+121623.28</f>
        <v>121698.28</v>
      </c>
      <c r="I528" s="18">
        <f>1643.9+3168.48</f>
        <v>4812.38</v>
      </c>
      <c r="J528" s="18">
        <f>440.59+4673.85</f>
        <v>5114.4400000000005</v>
      </c>
      <c r="K528" s="18"/>
      <c r="L528" s="69">
        <f>SUM(F528:K528)</f>
        <v>1024933.42</v>
      </c>
      <c r="M528" s="8"/>
      <c r="N528" s="164"/>
    </row>
    <row r="529" spans="1:14" s="3" customFormat="1" ht="12.2" customHeight="1" thickBot="1" x14ac:dyDescent="0.2">
      <c r="A529" s="21" t="s">
        <v>635</v>
      </c>
      <c r="B529" s="22">
        <v>21</v>
      </c>
      <c r="C529" s="22">
        <v>7</v>
      </c>
      <c r="D529" s="2" t="s">
        <v>432</v>
      </c>
      <c r="E529" s="22"/>
      <c r="F529" s="18">
        <f>594174.83+241896.49</f>
        <v>836071.32</v>
      </c>
      <c r="G529" s="18">
        <f>481572.95</f>
        <v>481572.95</v>
      </c>
      <c r="H529" s="18">
        <f>8199.49+109041.56</f>
        <v>117241.05</v>
      </c>
      <c r="I529" s="18">
        <f>9162.05+2840.71</f>
        <v>12002.759999999998</v>
      </c>
      <c r="J529" s="18">
        <f>207.21+4190.35</f>
        <v>4397.5600000000004</v>
      </c>
      <c r="K529" s="18">
        <f>835.31</f>
        <v>835.31</v>
      </c>
      <c r="L529" s="69">
        <f>SUM(F529:K529)</f>
        <v>1452120.9500000002</v>
      </c>
      <c r="M529" s="8"/>
      <c r="N529" s="164"/>
    </row>
    <row r="530" spans="1:14" s="3" customFormat="1" ht="12.2" customHeight="1" thickTop="1" x14ac:dyDescent="0.15">
      <c r="A530" s="97" t="s">
        <v>65</v>
      </c>
      <c r="B530" s="41">
        <v>21</v>
      </c>
      <c r="C530" s="41">
        <v>8</v>
      </c>
      <c r="D530" s="115" t="s">
        <v>432</v>
      </c>
      <c r="E530" s="41"/>
      <c r="F530" s="70">
        <f>SUM(F527:F529)</f>
        <v>2364535.37</v>
      </c>
      <c r="G530" s="70">
        <f t="shared" ref="G530:L530" si="37">SUM(G527:G529)</f>
        <v>1358105.01</v>
      </c>
      <c r="H530" s="70">
        <f t="shared" si="37"/>
        <v>591262.56000000006</v>
      </c>
      <c r="I530" s="70">
        <f t="shared" si="37"/>
        <v>24865.679999999997</v>
      </c>
      <c r="J530" s="70">
        <f t="shared" si="37"/>
        <v>20178.650000000001</v>
      </c>
      <c r="K530" s="70">
        <f t="shared" si="37"/>
        <v>835.31</v>
      </c>
      <c r="L530" s="70">
        <f t="shared" si="37"/>
        <v>4359782.58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213949.33</f>
        <v>213949.33</v>
      </c>
      <c r="G532" s="18">
        <f>121259.37</f>
        <v>121259.37</v>
      </c>
      <c r="H532" s="18">
        <f>2066.11</f>
        <v>2066.11</v>
      </c>
      <c r="I532" s="18">
        <f>1776.64</f>
        <v>1776.64</v>
      </c>
      <c r="J532" s="18"/>
      <c r="K532" s="18">
        <f>1069.02</f>
        <v>1069.02</v>
      </c>
      <c r="L532" s="69">
        <f>SUM(F532:K532)</f>
        <v>340120.47</v>
      </c>
      <c r="M532" s="8"/>
      <c r="N532" s="164"/>
    </row>
    <row r="533" spans="1:14" s="3" customFormat="1" ht="12.2" customHeight="1" x14ac:dyDescent="0.15">
      <c r="A533" s="21" t="s">
        <v>634</v>
      </c>
      <c r="B533" s="22">
        <v>21</v>
      </c>
      <c r="C533" s="22">
        <v>10</v>
      </c>
      <c r="D533" s="2" t="s">
        <v>432</v>
      </c>
      <c r="E533" s="22"/>
      <c r="F533" s="18">
        <f>137878.46</f>
        <v>137878.46</v>
      </c>
      <c r="G533" s="18">
        <f>79684.73</f>
        <v>79684.73</v>
      </c>
      <c r="H533" s="18">
        <f>1331.49</f>
        <v>1331.49</v>
      </c>
      <c r="I533" s="18">
        <f>1144.95</f>
        <v>1144.95</v>
      </c>
      <c r="J533" s="18"/>
      <c r="K533" s="18">
        <f>688.92</f>
        <v>688.92</v>
      </c>
      <c r="L533" s="69">
        <f>SUM(F533:K533)</f>
        <v>220728.55000000002</v>
      </c>
      <c r="M533" s="8"/>
      <c r="N533" s="164"/>
    </row>
    <row r="534" spans="1:14" s="3" customFormat="1" ht="12.2" customHeight="1" thickBot="1" x14ac:dyDescent="0.2">
      <c r="A534" s="21" t="s">
        <v>635</v>
      </c>
      <c r="B534" s="22">
        <v>21</v>
      </c>
      <c r="C534" s="22">
        <v>11</v>
      </c>
      <c r="D534" s="2" t="s">
        <v>432</v>
      </c>
      <c r="E534" s="22"/>
      <c r="F534" s="18">
        <f>123615.17</f>
        <v>123615.17</v>
      </c>
      <c r="G534" s="18">
        <f>72755.62</f>
        <v>72755.62</v>
      </c>
      <c r="H534" s="18">
        <f>1193.75</f>
        <v>1193.75</v>
      </c>
      <c r="I534" s="18">
        <f>1026.5</f>
        <v>1026.5</v>
      </c>
      <c r="J534" s="18"/>
      <c r="K534" s="18">
        <f>617.66</f>
        <v>617.66</v>
      </c>
      <c r="L534" s="69">
        <f>SUM(F534:K534)</f>
        <v>199208.69999999998</v>
      </c>
      <c r="M534" s="8"/>
      <c r="N534" s="164"/>
    </row>
    <row r="535" spans="1:14" s="3" customFormat="1" ht="12.2" customHeight="1" thickTop="1" x14ac:dyDescent="0.15">
      <c r="A535" s="97" t="s">
        <v>67</v>
      </c>
      <c r="B535" s="41">
        <v>21</v>
      </c>
      <c r="C535" s="41">
        <v>12</v>
      </c>
      <c r="D535" s="115" t="s">
        <v>432</v>
      </c>
      <c r="E535" s="41"/>
      <c r="F535" s="70">
        <f>SUM(F532:F534)</f>
        <v>475442.95999999996</v>
      </c>
      <c r="G535" s="70">
        <f t="shared" ref="G535:L535" si="38">SUM(G532:G534)</f>
        <v>273699.71999999997</v>
      </c>
      <c r="H535" s="70">
        <f t="shared" si="38"/>
        <v>4591.3500000000004</v>
      </c>
      <c r="I535" s="70">
        <f t="shared" si="38"/>
        <v>3948.09</v>
      </c>
      <c r="J535" s="70">
        <f t="shared" si="38"/>
        <v>0</v>
      </c>
      <c r="K535" s="70">
        <f t="shared" si="38"/>
        <v>2375.6</v>
      </c>
      <c r="L535" s="70">
        <f t="shared" si="38"/>
        <v>760057.72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5103.31</f>
        <v>5103.3100000000004</v>
      </c>
      <c r="I537" s="18"/>
      <c r="J537" s="18"/>
      <c r="K537" s="18"/>
      <c r="L537" s="69">
        <f>SUM(F537:K537)</f>
        <v>5103.3100000000004</v>
      </c>
      <c r="M537" s="8"/>
      <c r="N537" s="164"/>
    </row>
    <row r="538" spans="1:14" s="3" customFormat="1" ht="12.2" customHeight="1" x14ac:dyDescent="0.15">
      <c r="A538" s="21" t="s">
        <v>634</v>
      </c>
      <c r="B538" s="22">
        <v>21</v>
      </c>
      <c r="C538" s="22">
        <v>14</v>
      </c>
      <c r="D538" s="2" t="s">
        <v>432</v>
      </c>
      <c r="E538" s="22"/>
      <c r="F538" s="18"/>
      <c r="G538" s="18"/>
      <c r="H538" s="18">
        <f>3288.6</f>
        <v>3288.6</v>
      </c>
      <c r="I538" s="18"/>
      <c r="J538" s="18"/>
      <c r="K538" s="18"/>
      <c r="L538" s="69">
        <f>SUM(F538:K538)</f>
        <v>3288.6</v>
      </c>
      <c r="M538" s="8"/>
      <c r="N538" s="164"/>
    </row>
    <row r="539" spans="1:14" s="3" customFormat="1" ht="12.2" customHeight="1" thickBot="1" x14ac:dyDescent="0.2">
      <c r="A539" s="21" t="s">
        <v>635</v>
      </c>
      <c r="B539" s="22">
        <v>21</v>
      </c>
      <c r="C539" s="22">
        <v>15</v>
      </c>
      <c r="D539" s="2" t="s">
        <v>432</v>
      </c>
      <c r="E539" s="22"/>
      <c r="F539" s="18"/>
      <c r="G539" s="18"/>
      <c r="H539" s="18">
        <f>2948.59</f>
        <v>2948.59</v>
      </c>
      <c r="I539" s="18"/>
      <c r="J539" s="18"/>
      <c r="K539" s="18"/>
      <c r="L539" s="69">
        <f>SUM(F539:K539)</f>
        <v>2948.59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11340.5</v>
      </c>
      <c r="I540" s="70">
        <f t="shared" si="39"/>
        <v>0</v>
      </c>
      <c r="J540" s="70">
        <f t="shared" si="39"/>
        <v>0</v>
      </c>
      <c r="K540" s="70">
        <f t="shared" si="39"/>
        <v>0</v>
      </c>
      <c r="L540" s="70">
        <f t="shared" si="39"/>
        <v>11340.5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542593.87</f>
        <v>542593.87</v>
      </c>
      <c r="I542" s="18"/>
      <c r="J542" s="18"/>
      <c r="K542" s="18"/>
      <c r="L542" s="69">
        <f>SUM(F542:K542)</f>
        <v>542593.87</v>
      </c>
      <c r="M542" s="8"/>
      <c r="N542" s="164"/>
    </row>
    <row r="543" spans="1:14" s="3" customFormat="1" ht="12.2" customHeight="1" x14ac:dyDescent="0.15">
      <c r="A543" s="21" t="s">
        <v>634</v>
      </c>
      <c r="B543" s="22">
        <v>21</v>
      </c>
      <c r="C543" s="22">
        <v>18</v>
      </c>
      <c r="D543" s="2" t="s">
        <v>432</v>
      </c>
      <c r="E543" s="22"/>
      <c r="F543" s="18"/>
      <c r="G543" s="18"/>
      <c r="H543" s="18">
        <f>243256.28</f>
        <v>243256.28</v>
      </c>
      <c r="I543" s="18"/>
      <c r="J543" s="18"/>
      <c r="K543" s="18"/>
      <c r="L543" s="69">
        <f>SUM(F543:K543)</f>
        <v>243256.28</v>
      </c>
      <c r="M543" s="8"/>
      <c r="N543" s="164"/>
    </row>
    <row r="544" spans="1:14" s="3" customFormat="1" ht="12.2" customHeight="1" thickBot="1" x14ac:dyDescent="0.2">
      <c r="A544" s="21" t="s">
        <v>635</v>
      </c>
      <c r="B544" s="22">
        <v>21</v>
      </c>
      <c r="C544" s="22">
        <v>19</v>
      </c>
      <c r="D544" s="2" t="s">
        <v>432</v>
      </c>
      <c r="E544" s="22"/>
      <c r="F544" s="18"/>
      <c r="G544" s="18"/>
      <c r="H544" s="18">
        <f>465042.05</f>
        <v>465042.05</v>
      </c>
      <c r="I544" s="18"/>
      <c r="J544" s="18"/>
      <c r="K544" s="18"/>
      <c r="L544" s="69">
        <f>SUM(F544:K544)</f>
        <v>465042.05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1250892.2</v>
      </c>
      <c r="I545" s="140">
        <f t="shared" si="40"/>
        <v>0</v>
      </c>
      <c r="J545" s="140">
        <f t="shared" si="40"/>
        <v>0</v>
      </c>
      <c r="K545" s="140">
        <f t="shared" si="40"/>
        <v>0</v>
      </c>
      <c r="L545" s="140">
        <f t="shared" si="40"/>
        <v>1250892.2</v>
      </c>
      <c r="M545" s="8"/>
      <c r="N545" s="164"/>
    </row>
    <row r="546" spans="1:14" s="3" customFormat="1" ht="12.2" customHeight="1" thickTop="1" x14ac:dyDescent="0.15">
      <c r="A546" s="75" t="s">
        <v>72</v>
      </c>
      <c r="B546" s="41">
        <v>21</v>
      </c>
      <c r="C546" s="41">
        <v>21</v>
      </c>
      <c r="D546" s="115" t="s">
        <v>432</v>
      </c>
      <c r="E546" s="41"/>
      <c r="F546" s="70">
        <f>F525+F530+F535+F540+F545</f>
        <v>6346171.8700000001</v>
      </c>
      <c r="G546" s="70">
        <f t="shared" ref="G546:L546" si="41">G525+G530+G535+G540+G545</f>
        <v>3684683.8599999994</v>
      </c>
      <c r="H546" s="70">
        <f t="shared" si="41"/>
        <v>3521371.5</v>
      </c>
      <c r="I546" s="70">
        <f t="shared" si="41"/>
        <v>48696.19</v>
      </c>
      <c r="J546" s="70">
        <f t="shared" si="41"/>
        <v>27928.620000000003</v>
      </c>
      <c r="K546" s="70">
        <f t="shared" si="41"/>
        <v>3210.91</v>
      </c>
      <c r="L546" s="70">
        <f t="shared" si="41"/>
        <v>13632062.950000001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2888765.06</v>
      </c>
      <c r="G550" s="69">
        <f>L527</f>
        <v>1882728.21</v>
      </c>
      <c r="H550" s="69">
        <f>L532</f>
        <v>340120.47</v>
      </c>
      <c r="I550" s="69">
        <f>L537</f>
        <v>5103.3100000000004</v>
      </c>
      <c r="J550" s="69">
        <f>L542</f>
        <v>542593.87</v>
      </c>
      <c r="K550" s="69">
        <f>SUM(F550:J550)</f>
        <v>5659310.919999999</v>
      </c>
      <c r="L550" s="23" t="s">
        <v>288</v>
      </c>
      <c r="M550" s="8"/>
      <c r="N550" s="164"/>
    </row>
    <row r="551" spans="1:14" s="3" customFormat="1" ht="12.2" customHeight="1" x14ac:dyDescent="0.15">
      <c r="A551" s="21" t="s">
        <v>634</v>
      </c>
      <c r="B551" s="22">
        <v>21</v>
      </c>
      <c r="C551" s="22">
        <v>23</v>
      </c>
      <c r="D551" s="2" t="s">
        <v>432</v>
      </c>
      <c r="E551" s="22"/>
      <c r="F551" s="69">
        <f>L523</f>
        <v>1976365.6300000001</v>
      </c>
      <c r="G551" s="69">
        <f>L528</f>
        <v>1024933.42</v>
      </c>
      <c r="H551" s="69">
        <f>L533</f>
        <v>220728.55000000002</v>
      </c>
      <c r="I551" s="69">
        <f>L538</f>
        <v>3288.6</v>
      </c>
      <c r="J551" s="69">
        <f>L543</f>
        <v>243256.28</v>
      </c>
      <c r="K551" s="69">
        <f>SUM(F551:J551)</f>
        <v>3468572.48</v>
      </c>
      <c r="L551" s="23" t="s">
        <v>288</v>
      </c>
      <c r="M551" s="8"/>
      <c r="N551" s="164"/>
    </row>
    <row r="552" spans="1:14" s="3" customFormat="1" ht="12.2" customHeight="1" thickBot="1" x14ac:dyDescent="0.2">
      <c r="A552" s="21" t="s">
        <v>635</v>
      </c>
      <c r="B552" s="22">
        <v>21</v>
      </c>
      <c r="C552" s="22">
        <v>24</v>
      </c>
      <c r="D552" s="2" t="s">
        <v>432</v>
      </c>
      <c r="E552" s="22"/>
      <c r="F552" s="69">
        <f>L524</f>
        <v>2384859.2600000002</v>
      </c>
      <c r="G552" s="69">
        <f>L529</f>
        <v>1452120.9500000002</v>
      </c>
      <c r="H552" s="69">
        <f>L534</f>
        <v>199208.69999999998</v>
      </c>
      <c r="I552" s="69">
        <f>L539</f>
        <v>2948.59</v>
      </c>
      <c r="J552" s="69">
        <f>L544</f>
        <v>465042.05</v>
      </c>
      <c r="K552" s="69">
        <f>SUM(F552:J552)</f>
        <v>4504179.5500000007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7249989.9500000011</v>
      </c>
      <c r="G553" s="70">
        <f t="shared" si="42"/>
        <v>4359782.58</v>
      </c>
      <c r="H553" s="70">
        <f t="shared" si="42"/>
        <v>760057.72</v>
      </c>
      <c r="I553" s="70">
        <f t="shared" si="42"/>
        <v>11340.5</v>
      </c>
      <c r="J553" s="70">
        <f t="shared" si="42"/>
        <v>1250892.2</v>
      </c>
      <c r="K553" s="70">
        <f t="shared" si="42"/>
        <v>13632062.949999999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f>265505.46</f>
        <v>265505.46000000002</v>
      </c>
      <c r="G558" s="18">
        <f>38137.34</f>
        <v>38137.339999999997</v>
      </c>
      <c r="H558" s="18">
        <f>55893.39</f>
        <v>55893.39</v>
      </c>
      <c r="I558" s="18">
        <f>16488.09</f>
        <v>16488.09</v>
      </c>
      <c r="J558" s="18"/>
      <c r="K558" s="18"/>
      <c r="L558" s="69">
        <f>SUM(F558:K558)</f>
        <v>376024.28000000009</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265505.46000000002</v>
      </c>
      <c r="G561" s="81">
        <f t="shared" si="43"/>
        <v>38137.339999999997</v>
      </c>
      <c r="H561" s="81">
        <f t="shared" si="43"/>
        <v>55893.39</v>
      </c>
      <c r="I561" s="81">
        <f t="shared" si="43"/>
        <v>16488.09</v>
      </c>
      <c r="J561" s="81">
        <f t="shared" si="43"/>
        <v>0</v>
      </c>
      <c r="K561" s="81">
        <f t="shared" si="43"/>
        <v>0</v>
      </c>
      <c r="L561" s="70">
        <f t="shared" si="43"/>
        <v>376024.28000000009</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63025.45+1470.3</f>
        <v>64495.75</v>
      </c>
      <c r="G563" s="18">
        <f>39627.47+401.25</f>
        <v>40028.720000000001</v>
      </c>
      <c r="H563" s="18">
        <f>733.84+310.83</f>
        <v>1044.67</v>
      </c>
      <c r="I563" s="18">
        <f>2062.15</f>
        <v>2062.15</v>
      </c>
      <c r="J563" s="18"/>
      <c r="K563" s="18">
        <f>296.4</f>
        <v>296.39999999999998</v>
      </c>
      <c r="L563" s="69">
        <f>SUM(F563:K563)</f>
        <v>107927.68999999999</v>
      </c>
      <c r="M563" s="8"/>
      <c r="N563" s="164"/>
    </row>
    <row r="564" spans="1:14" s="3" customFormat="1" ht="12.2" customHeight="1" x14ac:dyDescent="0.15">
      <c r="A564" s="21" t="s">
        <v>634</v>
      </c>
      <c r="B564" s="22">
        <v>22</v>
      </c>
      <c r="C564" s="22">
        <v>6</v>
      </c>
      <c r="D564" s="2" t="s">
        <v>432</v>
      </c>
      <c r="E564" s="22"/>
      <c r="F564" s="18">
        <f>45249.04+1055.6</f>
        <v>46304.639999999999</v>
      </c>
      <c r="G564" s="18">
        <f>28450.49+288.08</f>
        <v>28738.570000000003</v>
      </c>
      <c r="H564" s="18">
        <f>526.86+223.16</f>
        <v>750.02</v>
      </c>
      <c r="I564" s="18">
        <f>1480.52</f>
        <v>1480.52</v>
      </c>
      <c r="J564" s="18"/>
      <c r="K564" s="18">
        <f>212.8</f>
        <v>212.8</v>
      </c>
      <c r="L564" s="69">
        <f>SUM(F564:K564)</f>
        <v>77486.550000000017</v>
      </c>
      <c r="M564" s="8"/>
      <c r="N564" s="164"/>
    </row>
    <row r="565" spans="1:14" s="3" customFormat="1" ht="12.2" customHeight="1" thickBot="1" x14ac:dyDescent="0.2">
      <c r="A565" s="21" t="s">
        <v>635</v>
      </c>
      <c r="B565" s="22">
        <v>22</v>
      </c>
      <c r="C565" s="22">
        <v>7</v>
      </c>
      <c r="D565" s="2" t="s">
        <v>432</v>
      </c>
      <c r="E565" s="22"/>
      <c r="F565" s="18">
        <f>53329.22+1244.1</f>
        <v>54573.32</v>
      </c>
      <c r="G565" s="18">
        <f>33530.94+339.52</f>
        <v>33870.46</v>
      </c>
      <c r="H565" s="18">
        <f>620.94+263.01</f>
        <v>883.95</v>
      </c>
      <c r="I565" s="18">
        <f>1744.89</f>
        <v>1744.89</v>
      </c>
      <c r="J565" s="18"/>
      <c r="K565" s="18">
        <f>250.8</f>
        <v>250.8</v>
      </c>
      <c r="L565" s="69">
        <f>SUM(F565:K565)</f>
        <v>91323.42</v>
      </c>
      <c r="M565" s="8"/>
      <c r="N565" s="164"/>
    </row>
    <row r="566" spans="1:14" s="3" customFormat="1" ht="12.2" customHeight="1" thickTop="1" x14ac:dyDescent="0.15">
      <c r="A566" s="97" t="s">
        <v>65</v>
      </c>
      <c r="B566" s="41">
        <v>22</v>
      </c>
      <c r="C566" s="41">
        <v>8</v>
      </c>
      <c r="D566" s="115" t="s">
        <v>432</v>
      </c>
      <c r="E566" s="41"/>
      <c r="F566" s="70">
        <f t="shared" ref="F566:L566" si="44">SUM(F563:F565)</f>
        <v>165373.71</v>
      </c>
      <c r="G566" s="70">
        <f t="shared" si="44"/>
        <v>102637.75</v>
      </c>
      <c r="H566" s="70">
        <f t="shared" si="44"/>
        <v>2678.6400000000003</v>
      </c>
      <c r="I566" s="70">
        <f t="shared" si="44"/>
        <v>5287.56</v>
      </c>
      <c r="J566" s="70">
        <f t="shared" si="44"/>
        <v>0</v>
      </c>
      <c r="K566" s="70">
        <f t="shared" si="44"/>
        <v>760</v>
      </c>
      <c r="L566" s="70">
        <f t="shared" si="44"/>
        <v>276737.65999999997</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f>67033</f>
        <v>67033</v>
      </c>
      <c r="G568" s="18">
        <f>50433.81</f>
        <v>50433.81</v>
      </c>
      <c r="H568" s="18"/>
      <c r="I568" s="18"/>
      <c r="J568" s="18"/>
      <c r="K568" s="18"/>
      <c r="L568" s="69">
        <f>SUM(F568:K568)</f>
        <v>117466.81</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67033</v>
      </c>
      <c r="G571" s="140">
        <f t="shared" ref="G571:L571" si="45">SUM(G568:G570)</f>
        <v>50433.81</v>
      </c>
      <c r="H571" s="140">
        <f t="shared" si="45"/>
        <v>0</v>
      </c>
      <c r="I571" s="140">
        <f t="shared" si="45"/>
        <v>0</v>
      </c>
      <c r="J571" s="140">
        <f t="shared" si="45"/>
        <v>0</v>
      </c>
      <c r="K571" s="140">
        <f t="shared" si="45"/>
        <v>0</v>
      </c>
      <c r="L571" s="140">
        <f t="shared" si="45"/>
        <v>117466.81</v>
      </c>
      <c r="M571" s="8"/>
      <c r="N571" s="164"/>
    </row>
    <row r="572" spans="1:14" s="3" customFormat="1" ht="12.2" customHeight="1" thickTop="1" x14ac:dyDescent="0.15">
      <c r="A572" s="75" t="s">
        <v>88</v>
      </c>
      <c r="B572" s="41">
        <v>22</v>
      </c>
      <c r="C572" s="41">
        <v>13</v>
      </c>
      <c r="D572" s="115" t="s">
        <v>432</v>
      </c>
      <c r="E572" s="41"/>
      <c r="F572" s="70">
        <f>F561+F566+F571</f>
        <v>497912.17000000004</v>
      </c>
      <c r="G572" s="70">
        <f t="shared" ref="G572:L572" si="46">G561+G566+G571</f>
        <v>191208.9</v>
      </c>
      <c r="H572" s="70">
        <f t="shared" si="46"/>
        <v>58572.03</v>
      </c>
      <c r="I572" s="70">
        <f t="shared" si="46"/>
        <v>21775.65</v>
      </c>
      <c r="J572" s="70">
        <f t="shared" si="46"/>
        <v>0</v>
      </c>
      <c r="K572" s="70">
        <f t="shared" si="46"/>
        <v>760</v>
      </c>
      <c r="L572" s="70">
        <f t="shared" si="46"/>
        <v>770228.75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f>115160.73</f>
        <v>115160.73</v>
      </c>
      <c r="G583" s="18">
        <f>453633.04</f>
        <v>453633.04</v>
      </c>
      <c r="H583" s="18">
        <f>715344.27</f>
        <v>715344.27</v>
      </c>
      <c r="I583" s="69">
        <f t="shared" si="47"/>
        <v>1284138.04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34502.11</v>
      </c>
      <c r="I585" s="69">
        <f t="shared" si="47"/>
        <v>34502.11</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115160.73</v>
      </c>
      <c r="G589" s="79">
        <f t="shared" ref="G589:I589" si="48">SUM(G576:G588)</f>
        <v>453633.04</v>
      </c>
      <c r="H589" s="79">
        <f t="shared" si="48"/>
        <v>749846.38</v>
      </c>
      <c r="I589" s="79">
        <f t="shared" si="48"/>
        <v>1318640.1500000001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510268.46</f>
        <v>510268.46</v>
      </c>
      <c r="I592" s="18">
        <f>300693.91</f>
        <v>300693.90999999997</v>
      </c>
      <c r="J592" s="18">
        <f>100231.3</f>
        <v>100231.3</v>
      </c>
      <c r="K592" s="80">
        <f t="shared" ref="K592:K598" si="49">SUM(H592:J592)</f>
        <v>911193.67</v>
      </c>
      <c r="L592" s="23" t="s">
        <v>288</v>
      </c>
      <c r="M592" s="8"/>
      <c r="N592" s="164"/>
    </row>
    <row r="593" spans="1:14" s="3" customFormat="1" ht="12.2" customHeight="1" x14ac:dyDescent="0.15">
      <c r="A593" s="3" t="s">
        <v>638</v>
      </c>
      <c r="B593" s="22">
        <v>23</v>
      </c>
      <c r="C593" s="22">
        <v>2</v>
      </c>
      <c r="D593" s="2" t="s">
        <v>432</v>
      </c>
      <c r="E593" s="22"/>
      <c r="F593" s="78">
        <v>2722</v>
      </c>
      <c r="G593" s="79" t="s">
        <v>97</v>
      </c>
      <c r="H593" s="18">
        <f>542593.87</f>
        <v>542593.87</v>
      </c>
      <c r="I593" s="18">
        <f>243256.28</f>
        <v>243256.28</v>
      </c>
      <c r="J593" s="18">
        <f>465042.05</f>
        <v>465042.05</v>
      </c>
      <c r="K593" s="80">
        <f t="shared" si="49"/>
        <v>1250892.2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147067.5</f>
        <v>147067.5</v>
      </c>
      <c r="K594" s="80">
        <f t="shared" si="49"/>
        <v>147067.5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29571.67</f>
        <v>29571.67</v>
      </c>
      <c r="J595" s="18">
        <f>127625.37</f>
        <v>127625.37</v>
      </c>
      <c r="K595" s="80">
        <f t="shared" si="49"/>
        <v>157197.03999999998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1052862.33</v>
      </c>
      <c r="I599" s="81">
        <f>SUM(I592:I598)</f>
        <v>573521.86</v>
      </c>
      <c r="J599" s="81">
        <f>SUM(J592:J598)</f>
        <v>839966.22</v>
      </c>
      <c r="K599" s="81">
        <f>SUM(K592:K598)</f>
        <v>2466350.41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38895.31+215756.87</f>
        <v>254652.18</v>
      </c>
      <c r="I605" s="18">
        <f>88438.54+123289.64</f>
        <v>211728.18</v>
      </c>
      <c r="J605" s="18">
        <f>213947.29+174660.32</f>
        <v>388607.61</v>
      </c>
      <c r="K605" s="80">
        <f>SUM(H605:J605)</f>
        <v>854987.97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254652.18</v>
      </c>
      <c r="I606" s="81">
        <f>SUM(I603:I605)</f>
        <v>211728.18</v>
      </c>
      <c r="J606" s="81">
        <f>SUM(J603:J605)</f>
        <v>388607.61</v>
      </c>
      <c r="K606" s="81">
        <f>SUM(K603:K605)</f>
        <v>854987.97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62236.9</f>
        <v>62236.9</v>
      </c>
      <c r="G612" s="18">
        <f>4761.12+2353.5</f>
        <v>7114.62</v>
      </c>
      <c r="H612" s="18"/>
      <c r="I612" s="18">
        <f>11384.48</f>
        <v>11384.48</v>
      </c>
      <c r="J612" s="18"/>
      <c r="K612" s="18"/>
      <c r="L612" s="69">
        <f>SUM(F612:K612)</f>
        <v>80736</v>
      </c>
      <c r="M612" s="8"/>
      <c r="N612" s="164"/>
    </row>
    <row r="613" spans="1:14" s="3" customFormat="1" ht="12.2" customHeight="1" x14ac:dyDescent="0.15">
      <c r="A613" s="21" t="s">
        <v>634</v>
      </c>
      <c r="B613" s="22">
        <v>23</v>
      </c>
      <c r="C613" s="22">
        <v>14</v>
      </c>
      <c r="D613" s="2" t="s">
        <v>432</v>
      </c>
      <c r="E613" s="22"/>
      <c r="F613" s="18">
        <f>38577.56</f>
        <v>38577.56</v>
      </c>
      <c r="G613" s="18">
        <f>2951.18+570.18</f>
        <v>3521.3599999999997</v>
      </c>
      <c r="H613" s="18"/>
      <c r="I613" s="18">
        <f>216.5</f>
        <v>216.5</v>
      </c>
      <c r="J613" s="18"/>
      <c r="K613" s="18"/>
      <c r="L613" s="69">
        <f>SUM(F613:K613)</f>
        <v>42315.42</v>
      </c>
      <c r="M613" s="8"/>
      <c r="N613" s="164"/>
    </row>
    <row r="614" spans="1:14" s="3" customFormat="1" ht="12.2" customHeight="1" thickBot="1" x14ac:dyDescent="0.2">
      <c r="A614" s="21" t="s">
        <v>645</v>
      </c>
      <c r="B614" s="22">
        <v>23</v>
      </c>
      <c r="C614" s="22">
        <v>15</v>
      </c>
      <c r="D614" s="2" t="s">
        <v>432</v>
      </c>
      <c r="E614" s="22"/>
      <c r="F614" s="18">
        <f>38438.43</f>
        <v>38438.43</v>
      </c>
      <c r="G614" s="18">
        <f>2940.54+570.19</f>
        <v>3510.73</v>
      </c>
      <c r="H614" s="18"/>
      <c r="I614" s="18"/>
      <c r="J614" s="18"/>
      <c r="K614" s="18"/>
      <c r="L614" s="69">
        <f>SUM(F614:K614)</f>
        <v>41949.16</v>
      </c>
      <c r="M614" s="8"/>
      <c r="N614" s="164"/>
    </row>
    <row r="615" spans="1:14" s="3" customFormat="1" ht="12.2" customHeight="1" thickTop="1" x14ac:dyDescent="0.15">
      <c r="A615" s="75" t="s">
        <v>340</v>
      </c>
      <c r="B615" s="41">
        <v>23</v>
      </c>
      <c r="C615" s="41">
        <v>16</v>
      </c>
      <c r="D615" s="36" t="s">
        <v>432</v>
      </c>
      <c r="E615" s="41"/>
      <c r="F615" s="81">
        <f t="shared" ref="F615:L615" si="50">SUM(F612:F614)</f>
        <v>139252.88999999998</v>
      </c>
      <c r="G615" s="81">
        <f t="shared" si="50"/>
        <v>14146.71</v>
      </c>
      <c r="H615" s="81">
        <f t="shared" si="50"/>
        <v>0</v>
      </c>
      <c r="I615" s="81">
        <f t="shared" si="50"/>
        <v>11600.98</v>
      </c>
      <c r="J615" s="81">
        <f t="shared" si="50"/>
        <v>0</v>
      </c>
      <c r="K615" s="81">
        <f t="shared" si="50"/>
        <v>0</v>
      </c>
      <c r="L615" s="70">
        <f t="shared" si="50"/>
        <v>165000.58000000002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2371431.06</v>
      </c>
      <c r="H618" s="80">
        <f>SUM(F52)</f>
        <v>2371431.06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247658.97</v>
      </c>
      <c r="H619" s="80">
        <f>SUM(G52)</f>
        <v>247658.97</v>
      </c>
      <c r="I619" s="87" t="s">
        <v>872</v>
      </c>
      <c r="J619" s="80">
        <f>G619-H619</f>
        <v>0</v>
      </c>
      <c r="K619" s="80"/>
      <c r="L619" s="80"/>
      <c r="M619" s="8"/>
    </row>
    <row r="620" spans="1:14" s="3" customFormat="1" ht="12.2" customHeight="1" x14ac:dyDescent="0.15">
      <c r="A620" s="74"/>
      <c r="B620" s="22"/>
      <c r="C620" s="22"/>
      <c r="D620" s="22"/>
      <c r="E620" s="22"/>
      <c r="F620" s="87" t="s">
        <v>685</v>
      </c>
      <c r="G620" s="80">
        <f>SUM(H19)</f>
        <v>806690.4</v>
      </c>
      <c r="H620" s="80">
        <f>SUM(H52)</f>
        <v>806690.4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1008133.8</v>
      </c>
      <c r="H622" s="80">
        <f>SUM(J52)</f>
        <v>1008133.7999999999</v>
      </c>
      <c r="I622" s="87" t="s">
        <v>875</v>
      </c>
      <c r="J622" s="80">
        <f>G622-H622</f>
        <v>0</v>
      </c>
      <c r="K622" s="80"/>
      <c r="L622" s="80"/>
      <c r="M622" s="8"/>
    </row>
    <row r="623" spans="1:14" s="3" customFormat="1" ht="12.2" customHeight="1" x14ac:dyDescent="0.15">
      <c r="A623" s="74"/>
      <c r="B623" s="22"/>
      <c r="C623" s="22"/>
      <c r="D623" s="22"/>
      <c r="E623" s="22"/>
      <c r="F623" s="87" t="s">
        <v>861</v>
      </c>
      <c r="G623" s="80">
        <f>F51</f>
        <v>1794930.06</v>
      </c>
      <c r="H623" s="80">
        <f>F477</f>
        <v>1794930.0599999949</v>
      </c>
      <c r="I623" s="87" t="s">
        <v>101</v>
      </c>
      <c r="J623" s="80">
        <f t="shared" ref="J623:J656" si="51">G623-H623</f>
        <v>5.1222741603851318E-9</v>
      </c>
      <c r="K623" s="80"/>
      <c r="L623" s="80"/>
      <c r="M623" s="8"/>
    </row>
    <row r="624" spans="1:14" s="3" customFormat="1" ht="12.2" customHeight="1" x14ac:dyDescent="0.15">
      <c r="A624" s="74"/>
      <c r="B624" s="22"/>
      <c r="C624" s="85"/>
      <c r="D624" s="85"/>
      <c r="E624" s="85"/>
      <c r="F624" s="85" t="s">
        <v>862</v>
      </c>
      <c r="G624" s="80">
        <f>G51</f>
        <v>222134.69</v>
      </c>
      <c r="H624" s="80">
        <f>G477</f>
        <v>222134.68999999994</v>
      </c>
      <c r="I624" s="87" t="s">
        <v>102</v>
      </c>
      <c r="J624" s="80">
        <f t="shared" si="51"/>
        <v>0</v>
      </c>
      <c r="K624" s="80"/>
      <c r="L624" s="80"/>
      <c r="M624" s="8"/>
    </row>
    <row r="625" spans="1:13" s="3" customFormat="1" ht="12.2" customHeight="1" x14ac:dyDescent="0.15">
      <c r="A625" s="74"/>
      <c r="B625" s="22"/>
      <c r="C625" s="22"/>
      <c r="D625" s="22"/>
      <c r="E625" s="22"/>
      <c r="F625" s="86" t="s">
        <v>863</v>
      </c>
      <c r="G625" s="80">
        <f>H51</f>
        <v>476612.96</v>
      </c>
      <c r="H625" s="80">
        <f>H477</f>
        <v>476612.95999999996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1008133.7999999999</v>
      </c>
      <c r="H627" s="80">
        <f>J477</f>
        <v>1008133.7999999999</v>
      </c>
      <c r="I627" s="87" t="s">
        <v>105</v>
      </c>
      <c r="J627" s="80">
        <f t="shared" si="51"/>
        <v>0</v>
      </c>
      <c r="K627" s="67"/>
      <c r="L627" s="69"/>
      <c r="M627" s="8"/>
    </row>
    <row r="628" spans="1:13" s="3" customFormat="1" ht="12.2" customHeight="1" x14ac:dyDescent="0.15">
      <c r="A628" s="21"/>
      <c r="B628" s="22"/>
      <c r="C628" s="22"/>
      <c r="D628" s="22"/>
      <c r="E628" s="22"/>
      <c r="F628" s="86" t="s">
        <v>658</v>
      </c>
      <c r="G628" s="80">
        <f>F194</f>
        <v>43075823.719999999</v>
      </c>
      <c r="H628" s="80">
        <f>SUM(F469)</f>
        <v>43075823.719999999</v>
      </c>
      <c r="I628" s="87" t="s">
        <v>106</v>
      </c>
      <c r="J628" s="80">
        <f>G628-H628</f>
        <v>0</v>
      </c>
      <c r="K628" s="67"/>
      <c r="L628" s="69"/>
      <c r="M628" s="8"/>
    </row>
    <row r="629" spans="1:13" s="3" customFormat="1" ht="12.2" customHeight="1" x14ac:dyDescent="0.15">
      <c r="A629" s="21"/>
      <c r="B629" s="22"/>
      <c r="C629" s="22"/>
      <c r="D629" s="22"/>
      <c r="E629" s="22"/>
      <c r="F629" s="86" t="s">
        <v>659</v>
      </c>
      <c r="G629" s="80">
        <f>G194</f>
        <v>702703.29999999993</v>
      </c>
      <c r="H629" s="80">
        <f>SUM(G469)</f>
        <v>702703.3</v>
      </c>
      <c r="I629" s="87" t="s">
        <v>107</v>
      </c>
      <c r="J629" s="80">
        <f>G629-H629</f>
        <v>0</v>
      </c>
      <c r="K629" s="67"/>
      <c r="L629" s="69"/>
      <c r="M629" s="8"/>
    </row>
    <row r="630" spans="1:13" s="3" customFormat="1" ht="12.2" customHeight="1" x14ac:dyDescent="0.15">
      <c r="A630" s="21"/>
      <c r="B630" s="22"/>
      <c r="C630" s="22"/>
      <c r="D630" s="22"/>
      <c r="E630" s="22"/>
      <c r="F630" s="86" t="s">
        <v>660</v>
      </c>
      <c r="G630" s="80">
        <f>H194</f>
        <v>2934826.96</v>
      </c>
      <c r="H630" s="80">
        <f>SUM(H469)</f>
        <v>2934826.96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134843.97</v>
      </c>
      <c r="H632" s="80">
        <f>SUM(J469)</f>
        <v>134843.97</v>
      </c>
      <c r="I632" s="87" t="s">
        <v>110</v>
      </c>
      <c r="J632" s="80">
        <f>G632-H632</f>
        <v>0</v>
      </c>
      <c r="K632" s="67"/>
      <c r="L632" s="69"/>
      <c r="M632" s="8"/>
    </row>
    <row r="633" spans="1:13" s="3" customFormat="1" ht="12.2" customHeight="1" x14ac:dyDescent="0.15">
      <c r="A633" s="21"/>
      <c r="B633" s="22"/>
      <c r="C633" s="22"/>
      <c r="D633" s="22"/>
      <c r="E633" s="22"/>
      <c r="F633" s="86" t="s">
        <v>394</v>
      </c>
      <c r="G633" s="80">
        <f>SUM(L272)</f>
        <v>43430338.700000003</v>
      </c>
      <c r="H633" s="80">
        <f>SUM(F473)</f>
        <v>43430338.700000003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2903537.8600000003</v>
      </c>
      <c r="H634" s="80">
        <f>SUM(H473)</f>
        <v>2903537.86</v>
      </c>
      <c r="I634" s="87" t="s">
        <v>112</v>
      </c>
      <c r="J634" s="80">
        <f>G634-H634</f>
        <v>0</v>
      </c>
      <c r="K634" s="67"/>
      <c r="L634" s="69"/>
      <c r="M634" s="8"/>
    </row>
    <row r="635" spans="1:13" s="124" customFormat="1" ht="12.2" customHeight="1" x14ac:dyDescent="0.15">
      <c r="A635" s="21"/>
      <c r="B635" s="22"/>
      <c r="C635" s="22"/>
      <c r="D635" s="22"/>
      <c r="E635" s="22"/>
      <c r="F635" s="99" t="s">
        <v>247</v>
      </c>
      <c r="G635" s="80">
        <f>I363</f>
        <v>293820.58</v>
      </c>
      <c r="H635" s="80">
        <f>I370</f>
        <v>293820.58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839122.71</v>
      </c>
      <c r="H636" s="80">
        <f>SUM(G473)</f>
        <v>839122.71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134843.97</v>
      </c>
      <c r="H638" s="108">
        <f>SUM(J469)</f>
        <v>134843.97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29993.759999999998</v>
      </c>
      <c r="H639" s="108">
        <f>SUM(J473)</f>
        <v>29993.759999999998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1008133.8</v>
      </c>
      <c r="H641" s="80">
        <f>SUM(G462)</f>
        <v>1008133.7999999999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1008133.8</v>
      </c>
      <c r="H643" s="80">
        <f>SUM(I462)</f>
        <v>1008133.7999999999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53843.97</v>
      </c>
      <c r="H645" s="80">
        <f>H409</f>
        <v>53843.97</v>
      </c>
      <c r="I645" s="87" t="s">
        <v>480</v>
      </c>
      <c r="J645" s="80">
        <f t="shared" si="51"/>
        <v>0</v>
      </c>
      <c r="K645" s="67"/>
      <c r="L645" s="69"/>
      <c r="M645" s="8"/>
    </row>
    <row r="646" spans="1:13" s="3" customFormat="1" ht="12.2" customHeight="1" x14ac:dyDescent="0.15">
      <c r="A646" s="21"/>
      <c r="B646" s="22"/>
      <c r="C646" s="22"/>
      <c r="D646" s="22"/>
      <c r="E646" s="22"/>
      <c r="F646" s="86" t="s">
        <v>664</v>
      </c>
      <c r="G646" s="80">
        <f>J184</f>
        <v>81000</v>
      </c>
      <c r="H646" s="80">
        <f>G409</f>
        <v>81000</v>
      </c>
      <c r="I646" s="87" t="s">
        <v>481</v>
      </c>
      <c r="J646" s="80">
        <f t="shared" si="51"/>
        <v>0</v>
      </c>
      <c r="K646" s="67"/>
      <c r="L646" s="69"/>
      <c r="M646" s="8"/>
    </row>
    <row r="647" spans="1:13" s="3" customFormat="1" ht="12.2" customHeight="1" x14ac:dyDescent="0.15">
      <c r="A647" s="21"/>
      <c r="B647" s="22"/>
      <c r="C647" s="22"/>
      <c r="D647" s="22"/>
      <c r="E647" s="22"/>
      <c r="F647" s="86" t="s">
        <v>662</v>
      </c>
      <c r="G647" s="80">
        <f>J194</f>
        <v>134843.97</v>
      </c>
      <c r="H647" s="80">
        <f>L409</f>
        <v>134843.97</v>
      </c>
      <c r="I647" s="87" t="s">
        <v>477</v>
      </c>
      <c r="J647" s="80">
        <f t="shared" si="51"/>
        <v>0</v>
      </c>
      <c r="K647" s="67"/>
      <c r="L647" s="69"/>
      <c r="M647" s="8"/>
    </row>
    <row r="648" spans="1:13" s="3" customFormat="1" ht="12.2" customHeight="1" x14ac:dyDescent="0.15">
      <c r="A648" s="21"/>
      <c r="B648" s="22"/>
      <c r="C648" s="22"/>
      <c r="D648" s="22"/>
      <c r="E648" s="22"/>
      <c r="F648" s="86" t="s">
        <v>51</v>
      </c>
      <c r="G648" s="80">
        <f>K599</f>
        <v>2466350.41</v>
      </c>
      <c r="H648" s="80">
        <f>L209+L227+L245</f>
        <v>2466350.41</v>
      </c>
      <c r="I648" s="87" t="s">
        <v>396</v>
      </c>
      <c r="J648" s="80">
        <f t="shared" si="51"/>
        <v>0</v>
      </c>
      <c r="K648" s="67"/>
      <c r="L648" s="69"/>
      <c r="M648" s="8"/>
    </row>
    <row r="649" spans="1:13" s="3" customFormat="1" ht="12.2" customHeight="1" x14ac:dyDescent="0.15">
      <c r="A649" s="21"/>
      <c r="B649" s="22"/>
      <c r="C649" s="22"/>
      <c r="D649" s="22"/>
      <c r="E649" s="22"/>
      <c r="F649" s="86" t="s">
        <v>52</v>
      </c>
      <c r="G649" s="80">
        <f>K606</f>
        <v>854987.97</v>
      </c>
      <c r="H649" s="80">
        <f>(J258+J339)-(J256+J337)</f>
        <v>854987.97000000009</v>
      </c>
      <c r="I649" s="87" t="s">
        <v>699</v>
      </c>
      <c r="J649" s="80">
        <f t="shared" si="51"/>
        <v>0</v>
      </c>
      <c r="K649" s="67"/>
      <c r="L649" s="69"/>
      <c r="M649" s="8"/>
    </row>
    <row r="650" spans="1:13" s="3" customFormat="1" ht="12.2" customHeight="1" x14ac:dyDescent="0.15">
      <c r="A650" s="21"/>
      <c r="B650" s="22"/>
      <c r="C650" s="22"/>
      <c r="D650" s="22"/>
      <c r="E650" s="22"/>
      <c r="F650" s="86" t="s">
        <v>387</v>
      </c>
      <c r="G650" s="80">
        <f>L209</f>
        <v>1052862.33</v>
      </c>
      <c r="H650" s="80">
        <f>H599</f>
        <v>1052862.33</v>
      </c>
      <c r="I650" s="87" t="s">
        <v>388</v>
      </c>
      <c r="J650" s="80">
        <f t="shared" si="51"/>
        <v>0</v>
      </c>
      <c r="K650" s="67"/>
      <c r="L650" s="69"/>
      <c r="M650" s="8"/>
    </row>
    <row r="651" spans="1:13" s="3" customFormat="1" ht="12.2" customHeight="1" x14ac:dyDescent="0.15">
      <c r="A651" s="21"/>
      <c r="B651" s="22"/>
      <c r="C651" s="22"/>
      <c r="D651" s="22"/>
      <c r="E651" s="22"/>
      <c r="F651" s="86" t="s">
        <v>392</v>
      </c>
      <c r="G651" s="80">
        <f>L227</f>
        <v>573521.86</v>
      </c>
      <c r="H651" s="80">
        <f>I599</f>
        <v>573521.86</v>
      </c>
      <c r="I651" s="87" t="s">
        <v>389</v>
      </c>
      <c r="J651" s="80">
        <f t="shared" si="51"/>
        <v>0</v>
      </c>
      <c r="K651" s="67"/>
      <c r="L651" s="69"/>
      <c r="M651" s="8"/>
    </row>
    <row r="652" spans="1:13" s="3" customFormat="1" ht="12.2" customHeight="1" x14ac:dyDescent="0.15">
      <c r="A652" s="21"/>
      <c r="B652" s="22"/>
      <c r="C652" s="22"/>
      <c r="D652" s="22"/>
      <c r="E652" s="22"/>
      <c r="F652" s="86" t="s">
        <v>393</v>
      </c>
      <c r="G652" s="80">
        <f>L245</f>
        <v>839966.22000000009</v>
      </c>
      <c r="H652" s="80">
        <f>J599</f>
        <v>839966.22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2463.6999999999998</v>
      </c>
      <c r="H653" s="80">
        <f>K264+K346</f>
        <v>2463.6999999999998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81000</v>
      </c>
      <c r="H656" s="80">
        <f>K267+K348</f>
        <v>81000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17879242.960000001</v>
      </c>
      <c r="G661" s="13">
        <f>(L230+L310+L360)</f>
        <v>11337150.119999997</v>
      </c>
      <c r="H661" s="13">
        <f>(L248+L329+L361)</f>
        <v>17161110.859999999</v>
      </c>
      <c r="I661" s="13">
        <f>SUM(F661:H661)</f>
        <v>46377503.939999998</v>
      </c>
      <c r="J661" s="13"/>
      <c r="K661" s="13"/>
      <c r="L661" s="13"/>
      <c r="M661" s="9"/>
    </row>
    <row r="662" spans="1:13" s="3" customFormat="1" ht="12.2" customHeight="1" x14ac:dyDescent="0.2">
      <c r="A662" s="1" t="s">
        <v>127</v>
      </c>
      <c r="F662" s="13">
        <f>(L359/IF(SUM(L359:L361)=0,1,SUM(L359:L361))*(SUM(G97:G110)))</f>
        <v>176677.26857434714</v>
      </c>
      <c r="G662" s="13">
        <f>(L360/IF(SUM(L359:L361)=0,1,SUM(L359:L361))*(SUM(G97:G110)))</f>
        <v>136543.46127511672</v>
      </c>
      <c r="H662" s="13">
        <f>(L361/IF(SUM(L359:L361)=0,1,SUM(L359:L361))*(SUM(G97:G110)))</f>
        <v>168866.67015053617</v>
      </c>
      <c r="I662" s="13">
        <f>SUM(F662:H662)</f>
        <v>482087.4</v>
      </c>
      <c r="J662"/>
      <c r="K662" s="13"/>
      <c r="L662" s="13"/>
      <c r="M662" s="8"/>
    </row>
    <row r="663" spans="1:13" s="3" customFormat="1" ht="12.2" customHeight="1" x14ac:dyDescent="0.2">
      <c r="A663" s="1" t="s">
        <v>128</v>
      </c>
      <c r="F663" s="13">
        <f>(L209+L288)-(J209+J288)</f>
        <v>1058838.33</v>
      </c>
      <c r="G663" s="13">
        <f>(L227+L307)-(J227+J307)</f>
        <v>574193.86</v>
      </c>
      <c r="H663" s="13">
        <f>(L245+L326)-(J245+J326)</f>
        <v>852552.85000000009</v>
      </c>
      <c r="I663" s="13">
        <f>SUM(F663:H663)</f>
        <v>2485585.04</v>
      </c>
      <c r="J663"/>
      <c r="K663" s="13"/>
      <c r="L663" s="13"/>
      <c r="M663" s="9"/>
    </row>
    <row r="664" spans="1:13" s="3" customFormat="1" ht="12.2" customHeight="1" x14ac:dyDescent="0.15">
      <c r="A664" s="141" t="s">
        <v>129</v>
      </c>
      <c r="B664" s="124"/>
      <c r="C664" s="124"/>
      <c r="D664" s="124"/>
      <c r="E664" s="124"/>
      <c r="F664" s="142">
        <f>SUM(F576:F588)+SUM(H603:H605)+SUM(L612)</f>
        <v>450548.91</v>
      </c>
      <c r="G664" s="142">
        <f>SUM(G576:G588)+SUM(I603:I605)+L613</f>
        <v>707676.64</v>
      </c>
      <c r="H664" s="142">
        <f>SUM(H576:H588)+SUM(J603:J605)+L614</f>
        <v>1180403.1499999999</v>
      </c>
      <c r="I664" s="13">
        <f>SUM(F664:H664)</f>
        <v>2338628.7000000002</v>
      </c>
      <c r="J664" s="13"/>
      <c r="K664" s="13"/>
      <c r="L664" s="13"/>
      <c r="M664" s="9"/>
    </row>
    <row r="665" spans="1:13" s="3" customFormat="1" ht="12.2" customHeight="1" x14ac:dyDescent="0.15">
      <c r="A665" s="1" t="s">
        <v>130</v>
      </c>
      <c r="F665" s="13">
        <f>F661-SUM(F662:F664)</f>
        <v>16193178.451425653</v>
      </c>
      <c r="G665" s="13">
        <f>G661-SUM(G662:G664)</f>
        <v>9918736.1587248817</v>
      </c>
      <c r="H665" s="13">
        <f>H661-SUM(H662:H664)</f>
        <v>14959288.189849462</v>
      </c>
      <c r="I665" s="13">
        <f>I661-SUM(I662:I664)</f>
        <v>41071202.799999997</v>
      </c>
      <c r="J665" s="13"/>
      <c r="K665" s="13"/>
      <c r="L665" s="13"/>
      <c r="M665" s="8"/>
    </row>
    <row r="666" spans="1:13" s="3" customFormat="1" ht="12.2" customHeight="1" x14ac:dyDescent="0.2">
      <c r="A666" s="1" t="s">
        <v>131</v>
      </c>
      <c r="F666" s="182">
        <v>858.15</v>
      </c>
      <c r="G666" s="183">
        <v>449.21</v>
      </c>
      <c r="H666" s="183">
        <v>670.81</v>
      </c>
      <c r="I666" s="13">
        <f>SUM(F666:H666)</f>
        <v>1978.1699999999998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18869.87</v>
      </c>
      <c r="G668" s="13">
        <f>ROUND(G665/G666,2)</f>
        <v>22080.400000000001</v>
      </c>
      <c r="H668" s="13">
        <f>ROUND(H665/H666,2)</f>
        <v>22300.34</v>
      </c>
      <c r="I668" s="13">
        <f>ROUND(I665/I666,2)</f>
        <v>20762.22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-0.28000000000000003</v>
      </c>
      <c r="I671" s="13">
        <f>SUM(F671:H671)</f>
        <v>-0.28000000000000003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18869.87</v>
      </c>
      <c r="G673" s="13">
        <f>ROUND((G665+G670)/(G666+G671),2)</f>
        <v>22080.400000000001</v>
      </c>
      <c r="H673" s="13">
        <f>ROUND((H665+H670)/(H666+H671),2)</f>
        <v>22309.65</v>
      </c>
      <c r="I673" s="13">
        <f>ROUND((I665+I670)/(I666+I671),2)</f>
        <v>20765.16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159554.85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87947.92</v>
      </c>
      <c r="F9" s="271" t="s">
        <v>1612</v>
      </c>
    </row>
    <row r="10" spans="2:8" x14ac:dyDescent="0.25">
      <c r="B10" s="270"/>
      <c r="C10" s="270"/>
      <c r="D10" s="270"/>
      <c r="E10" s="270"/>
      <c r="F10" s="270"/>
    </row>
    <row r="11" spans="2:8" x14ac:dyDescent="0.25">
      <c r="B11" s="270"/>
      <c r="C11" s="274" t="s">
        <v>1616</v>
      </c>
      <c r="D11" s="271" t="s">
        <v>1619</v>
      </c>
      <c r="E11" s="259">
        <v>11643.4</v>
      </c>
      <c r="F11" s="271" t="s">
        <v>1613</v>
      </c>
    </row>
    <row r="12" spans="2:8" x14ac:dyDescent="0.25">
      <c r="B12" s="270"/>
      <c r="C12" s="270"/>
      <c r="D12" s="271"/>
      <c r="E12" s="270"/>
      <c r="F12" s="270"/>
    </row>
    <row r="13" spans="2:8" x14ac:dyDescent="0.25">
      <c r="B13" s="270"/>
      <c r="C13" s="271" t="s">
        <v>1606</v>
      </c>
      <c r="D13" s="271" t="s">
        <v>1620</v>
      </c>
      <c r="E13" s="259">
        <v>59963.53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Milford</v>
      </c>
      <c r="C5" s="321"/>
      <c r="D5" s="321"/>
      <c r="E5" s="321"/>
      <c r="F5" s="321"/>
    </row>
    <row r="8" spans="1:9" ht="18" x14ac:dyDescent="0.25">
      <c r="A8" s="239" t="s">
        <v>1548</v>
      </c>
      <c r="F8" s="246" t="s">
        <v>1566</v>
      </c>
    </row>
    <row r="9" spans="1:9" ht="15" x14ac:dyDescent="0.2">
      <c r="A9" s="237" t="s">
        <v>1549</v>
      </c>
      <c r="B9" s="240">
        <f>'DOE25'!G97</f>
        <v>430212.5</v>
      </c>
      <c r="F9" s="237" t="s">
        <v>1562</v>
      </c>
    </row>
    <row r="10" spans="1:9" ht="15" x14ac:dyDescent="0.2">
      <c r="A10" s="237" t="s">
        <v>1550</v>
      </c>
      <c r="B10" s="240">
        <f>'DOE25'!G112-'DOE25'!G97</f>
        <v>51874.900000000023</v>
      </c>
      <c r="F10" s="237" t="s">
        <v>1563</v>
      </c>
    </row>
    <row r="11" spans="1:9" ht="15" x14ac:dyDescent="0.2">
      <c r="A11" s="237" t="s">
        <v>1551</v>
      </c>
      <c r="B11" s="240">
        <f>'DOE25'!G140</f>
        <v>10743.05</v>
      </c>
      <c r="F11" s="237" t="s">
        <v>1564</v>
      </c>
    </row>
    <row r="12" spans="1:9" ht="15" x14ac:dyDescent="0.2">
      <c r="A12" s="237" t="s">
        <v>1552</v>
      </c>
      <c r="B12" s="240">
        <f>'DOE25'!G170</f>
        <v>207409.15</v>
      </c>
      <c r="F12" s="237" t="s">
        <v>1565</v>
      </c>
    </row>
    <row r="13" spans="1:9" ht="15" x14ac:dyDescent="0.2">
      <c r="A13" s="237" t="s">
        <v>1553</v>
      </c>
      <c r="B13" s="240">
        <f>'DOE25'!G193-'DOE25'!G180</f>
        <v>0</v>
      </c>
      <c r="F13" s="237" t="s">
        <v>1575</v>
      </c>
    </row>
    <row r="14" spans="1:9" ht="18" x14ac:dyDescent="0.25">
      <c r="A14" s="239" t="s">
        <v>732</v>
      </c>
      <c r="B14" s="241">
        <f>SUM(B9:B13)</f>
        <v>700239.6</v>
      </c>
    </row>
    <row r="16" spans="1:9" ht="18" x14ac:dyDescent="0.25">
      <c r="A16" s="239" t="s">
        <v>783</v>
      </c>
      <c r="F16" s="246" t="s">
        <v>1567</v>
      </c>
    </row>
    <row r="17" spans="1:6" ht="15" x14ac:dyDescent="0.2">
      <c r="A17" s="237" t="s">
        <v>1554</v>
      </c>
      <c r="B17" s="240">
        <f>'DOE25'!L363-'DOE25'!L362</f>
        <v>839122.71</v>
      </c>
      <c r="F17" s="237" t="s">
        <v>1568</v>
      </c>
    </row>
    <row r="18" spans="1:6" ht="15" x14ac:dyDescent="0.2">
      <c r="A18" s="237" t="s">
        <v>1555</v>
      </c>
      <c r="B18" s="250"/>
      <c r="F18" s="246" t="s">
        <v>1592</v>
      </c>
    </row>
    <row r="19" spans="1:6" ht="18" x14ac:dyDescent="0.25">
      <c r="A19" s="239" t="s">
        <v>725</v>
      </c>
      <c r="B19" s="241">
        <f>SUM(B17:B18)</f>
        <v>839122.71</v>
      </c>
    </row>
    <row r="21" spans="1:6" ht="18.75" thickBot="1" x14ac:dyDescent="0.3">
      <c r="A21" s="239" t="s">
        <v>1556</v>
      </c>
    </row>
    <row r="22" spans="1:6" ht="18.75" thickTop="1" x14ac:dyDescent="0.25">
      <c r="A22" s="239" t="s">
        <v>1557</v>
      </c>
      <c r="B22" s="245">
        <f>B14-B19</f>
        <v>-138883.10999999999</v>
      </c>
      <c r="F22" s="237" t="s">
        <v>1569</v>
      </c>
    </row>
    <row r="26" spans="1:6" ht="18" x14ac:dyDescent="0.25">
      <c r="A26" s="239" t="s">
        <v>186</v>
      </c>
    </row>
    <row r="27" spans="1:6" ht="15" x14ac:dyDescent="0.2">
      <c r="A27" s="237" t="s">
        <v>1558</v>
      </c>
      <c r="B27" s="240">
        <f>'DOE25'!G180</f>
        <v>2463.6999999999998</v>
      </c>
      <c r="F27" s="237" t="s">
        <v>1570</v>
      </c>
    </row>
    <row r="28" spans="1:6" ht="15" x14ac:dyDescent="0.2">
      <c r="A28" s="237" t="s">
        <v>1560</v>
      </c>
      <c r="B28" s="240">
        <f>'DOE25'!L362</f>
        <v>0</v>
      </c>
      <c r="F28" s="237" t="s">
        <v>1571</v>
      </c>
    </row>
    <row r="31" spans="1:6" ht="15" x14ac:dyDescent="0.2">
      <c r="A31" s="237" t="s">
        <v>1789</v>
      </c>
      <c r="B31" s="240">
        <f>'DOE25'!G466</f>
        <v>358554.1</v>
      </c>
      <c r="F31" s="237" t="s">
        <v>1572</v>
      </c>
    </row>
    <row r="33" spans="1:6" ht="15" x14ac:dyDescent="0.2">
      <c r="A33" s="237" t="s">
        <v>1790</v>
      </c>
      <c r="B33" s="240">
        <f>'DOE25'!G477</f>
        <v>222134.68999999994</v>
      </c>
      <c r="F33" s="237" t="s">
        <v>1573</v>
      </c>
    </row>
    <row r="36" spans="1:6" ht="15" x14ac:dyDescent="0.2">
      <c r="A36" s="237" t="s">
        <v>1559</v>
      </c>
      <c r="B36" s="251">
        <v>62415.519999999997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2" zoomScale="135" zoomScaleNormal="135" workbookViewId="0">
      <selection activeCell="A20" sqref="A20:XFD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Milford</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9782543.7199999988</v>
      </c>
      <c r="C9" s="166">
        <f>'DOE25'!G198+'DOE25'!G216+'DOE25'!G234+'DOE25'!G277+'DOE25'!G296+'DOE25'!G315</f>
        <v>5380718.0399999991</v>
      </c>
    </row>
    <row r="10" spans="1:3" x14ac:dyDescent="0.2">
      <c r="A10" t="s">
        <v>772</v>
      </c>
      <c r="B10" s="176">
        <v>9248864.3599999994</v>
      </c>
      <c r="C10" s="176">
        <v>5087177.1900000004</v>
      </c>
    </row>
    <row r="11" spans="1:3" x14ac:dyDescent="0.2">
      <c r="A11" t="s">
        <v>773</v>
      </c>
      <c r="B11" s="176">
        <v>275654.34999999998</v>
      </c>
      <c r="C11" s="176">
        <v>151618.70000000001</v>
      </c>
    </row>
    <row r="12" spans="1:3" x14ac:dyDescent="0.2">
      <c r="A12" t="s">
        <v>774</v>
      </c>
      <c r="B12" s="176">
        <v>258025.01</v>
      </c>
      <c r="C12" s="176">
        <v>141922.15</v>
      </c>
    </row>
    <row r="13" spans="1:3" x14ac:dyDescent="0.2">
      <c r="A13" t="str">
        <f>IF(B9=B13,IF(C9=C13,"Check Total OK","Check Total Error"),"Check Total Error")</f>
        <v>Check Total OK</v>
      </c>
      <c r="B13" s="168">
        <f>SUM(B10:B12)</f>
        <v>9782543.7199999988</v>
      </c>
      <c r="C13" s="168">
        <f>SUM(C10:C12)</f>
        <v>5380718.040000001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3542607.82</v>
      </c>
      <c r="C18" s="166">
        <f>'DOE25'!G199+'DOE25'!G217+'DOE25'!G235+'DOE25'!G278+'DOE25'!G297+'DOE25'!G316</f>
        <v>2027376.9299999997</v>
      </c>
    </row>
    <row r="19" spans="1:3" x14ac:dyDescent="0.2">
      <c r="A19" t="s">
        <v>772</v>
      </c>
      <c r="B19" s="176">
        <v>2092784.95</v>
      </c>
      <c r="C19" s="176">
        <v>1197666.81</v>
      </c>
    </row>
    <row r="20" spans="1:3" x14ac:dyDescent="0.2">
      <c r="A20" t="s">
        <v>773</v>
      </c>
      <c r="B20" s="176">
        <v>1407157.68</v>
      </c>
      <c r="C20" s="176">
        <v>805293.63</v>
      </c>
    </row>
    <row r="21" spans="1:3" x14ac:dyDescent="0.2">
      <c r="A21" t="s">
        <v>774</v>
      </c>
      <c r="B21" s="176">
        <v>42665.19</v>
      </c>
      <c r="C21" s="176">
        <v>24416.49</v>
      </c>
    </row>
    <row r="22" spans="1:3" x14ac:dyDescent="0.2">
      <c r="A22" t="str">
        <f>IF(B18=B22,IF(C18=C22,"Check Total OK","Check Total Error"),"Check Total Error")</f>
        <v>Check Total OK</v>
      </c>
      <c r="B22" s="168">
        <f>SUM(B19:B21)</f>
        <v>3542607.82</v>
      </c>
      <c r="C22" s="168">
        <f>SUM(C19:C21)</f>
        <v>2027376.93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922675.5</v>
      </c>
      <c r="C27" s="171">
        <f>'DOE25'!G200+'DOE25'!G218+'DOE25'!G236+'DOE25'!G279+'DOE25'!G298+'DOE25'!G317</f>
        <v>589989.66</v>
      </c>
    </row>
    <row r="28" spans="1:3" x14ac:dyDescent="0.2">
      <c r="A28" t="s">
        <v>772</v>
      </c>
      <c r="B28" s="176">
        <v>920309.57</v>
      </c>
      <c r="C28" s="176">
        <v>589989.66</v>
      </c>
    </row>
    <row r="29" spans="1:3" x14ac:dyDescent="0.2">
      <c r="A29" t="s">
        <v>773</v>
      </c>
      <c r="B29" s="176"/>
      <c r="C29" s="176"/>
    </row>
    <row r="30" spans="1:3" x14ac:dyDescent="0.2">
      <c r="A30" t="s">
        <v>774</v>
      </c>
      <c r="B30" s="176">
        <v>2365.9299999999998</v>
      </c>
      <c r="C30" s="176"/>
    </row>
    <row r="31" spans="1:3" x14ac:dyDescent="0.2">
      <c r="A31" t="str">
        <f>IF(B27=B31,IF(C27=C31,"Check Total OK","Check Total Error"),"Check Total Error")</f>
        <v>Check Total OK</v>
      </c>
      <c r="B31" s="168">
        <f>SUM(B28:B30)</f>
        <v>922675.5</v>
      </c>
      <c r="C31" s="168">
        <f>SUM(C28:C30)</f>
        <v>589989.66</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367302.56</v>
      </c>
      <c r="C36" s="172">
        <f>'DOE25'!G201+'DOE25'!G219+'DOE25'!G237+'DOE25'!G280+'DOE25'!G299+'DOE25'!G318</f>
        <v>219069.19000000003</v>
      </c>
    </row>
    <row r="37" spans="1:3" x14ac:dyDescent="0.2">
      <c r="A37" t="s">
        <v>772</v>
      </c>
      <c r="B37" s="176">
        <v>237857.26</v>
      </c>
      <c r="C37" s="176">
        <v>141864.51</v>
      </c>
    </row>
    <row r="38" spans="1:3" x14ac:dyDescent="0.2">
      <c r="A38" t="s">
        <v>773</v>
      </c>
      <c r="B38" s="176">
        <v>2576</v>
      </c>
      <c r="C38" s="176"/>
    </row>
    <row r="39" spans="1:3" x14ac:dyDescent="0.2">
      <c r="A39" t="s">
        <v>774</v>
      </c>
      <c r="B39" s="176">
        <v>126869.3</v>
      </c>
      <c r="C39" s="176">
        <v>77204.679999999993</v>
      </c>
    </row>
    <row r="40" spans="1:3" x14ac:dyDescent="0.2">
      <c r="A40" t="str">
        <f>IF(B36=B40,IF(C36=C40,"Check Total OK","Check Total Error"),"Check Total Error")</f>
        <v>Check Total OK</v>
      </c>
      <c r="B40" s="168">
        <f>SUM(B37:B39)</f>
        <v>367302.56</v>
      </c>
      <c r="C40" s="168">
        <f>SUM(C37:C39)</f>
        <v>219069.19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E9" sqref="E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Milford</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24020925.240000002</v>
      </c>
      <c r="D5" s="19">
        <f>SUM('DOE25'!L198:L201)+SUM('DOE25'!L216:L219)+SUM('DOE25'!L234:L237)-F5-G5-H5</f>
        <v>23869636.580000002</v>
      </c>
      <c r="E5" s="179"/>
      <c r="F5" s="180">
        <v>0</v>
      </c>
      <c r="G5" s="19">
        <f>SUM('DOE25'!J198:J201)+SUM('DOE25'!J216:J219)+SUM('DOE25'!J234:J237)</f>
        <v>120415.69</v>
      </c>
      <c r="H5" s="19">
        <f>SUM('DOE25'!K198:K201)+SUM('DOE25'!K216:K219)+SUM('DOE25'!K234:K237)</f>
        <v>30872.97</v>
      </c>
      <c r="I5" s="191"/>
    </row>
    <row r="6" spans="1:9" x14ac:dyDescent="0.2">
      <c r="A6" s="31">
        <v>2100</v>
      </c>
      <c r="B6" t="s">
        <v>793</v>
      </c>
      <c r="C6" s="205">
        <f t="shared" si="0"/>
        <v>4333212.8699999992</v>
      </c>
      <c r="D6" s="19">
        <f>'DOE25'!L203+'DOE25'!L221+'DOE25'!L239-F6-G6-H6</f>
        <v>4243718.9099999992</v>
      </c>
      <c r="E6" s="179"/>
      <c r="F6" s="180">
        <v>68480</v>
      </c>
      <c r="G6" s="19">
        <f>'DOE25'!J203+'DOE25'!J221+'DOE25'!J239</f>
        <v>20178.650000000001</v>
      </c>
      <c r="H6" s="19">
        <f>'DOE25'!K203+'DOE25'!K221+'DOE25'!K239</f>
        <v>835.31</v>
      </c>
      <c r="I6" s="191"/>
    </row>
    <row r="7" spans="1:9" x14ac:dyDescent="0.2">
      <c r="A7" s="31">
        <v>2200</v>
      </c>
      <c r="B7" t="s">
        <v>817</v>
      </c>
      <c r="C7" s="205">
        <f t="shared" si="0"/>
        <v>842294.24</v>
      </c>
      <c r="D7" s="19">
        <f>'DOE25'!L204+'DOE25'!L222+'DOE25'!L240-F7-G7-H7</f>
        <v>815389.76</v>
      </c>
      <c r="E7" s="179"/>
      <c r="F7" s="180">
        <v>0</v>
      </c>
      <c r="G7" s="19">
        <f>'DOE25'!J204+'DOE25'!J222+'DOE25'!J240</f>
        <v>26904.480000000003</v>
      </c>
      <c r="H7" s="19">
        <f>'DOE25'!K204+'DOE25'!K222+'DOE25'!K240</f>
        <v>0</v>
      </c>
      <c r="I7" s="191"/>
    </row>
    <row r="8" spans="1:9" x14ac:dyDescent="0.2">
      <c r="A8" s="31">
        <v>2300</v>
      </c>
      <c r="B8" t="s">
        <v>794</v>
      </c>
      <c r="C8" s="205">
        <f t="shared" si="0"/>
        <v>1870994.39</v>
      </c>
      <c r="D8" s="179"/>
      <c r="E8" s="19">
        <f>'DOE25'!L205+'DOE25'!L223+'DOE25'!L241-F8-G8-H8-D9-D11</f>
        <v>1851197.77</v>
      </c>
      <c r="F8" s="180">
        <v>0</v>
      </c>
      <c r="G8" s="19">
        <f>'DOE25'!J205+'DOE25'!J223+'DOE25'!J241</f>
        <v>2822.6899999999996</v>
      </c>
      <c r="H8" s="19">
        <f>'DOE25'!K205+'DOE25'!K223+'DOE25'!K241</f>
        <v>16973.93</v>
      </c>
      <c r="I8" s="191"/>
    </row>
    <row r="9" spans="1:9" ht="14.25" x14ac:dyDescent="0.2">
      <c r="A9" s="31">
        <v>2310</v>
      </c>
      <c r="B9" s="71" t="s">
        <v>884</v>
      </c>
      <c r="C9" s="205">
        <f t="shared" si="0"/>
        <v>187029.93</v>
      </c>
      <c r="D9" s="180">
        <f>187029.93</f>
        <v>187029.93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2078624.3399999999</v>
      </c>
      <c r="D12" s="19">
        <f>'DOE25'!L206+'DOE25'!L224+'DOE25'!L242-F12-G12-H12</f>
        <v>2049599.3599999999</v>
      </c>
      <c r="E12" s="179"/>
      <c r="F12" s="180">
        <v>0</v>
      </c>
      <c r="G12" s="19">
        <f>'DOE25'!J206+'DOE25'!J224+'DOE25'!J242</f>
        <v>1797.66</v>
      </c>
      <c r="H12" s="19">
        <f>'DOE25'!K206+'DOE25'!K224+'DOE25'!K242</f>
        <v>27227.32</v>
      </c>
      <c r="I12" s="191"/>
    </row>
    <row r="13" spans="1:9" x14ac:dyDescent="0.2">
      <c r="A13" s="31">
        <v>2500</v>
      </c>
      <c r="B13" t="s">
        <v>795</v>
      </c>
      <c r="C13" s="205">
        <f t="shared" si="0"/>
        <v>782666.72</v>
      </c>
      <c r="D13" s="179"/>
      <c r="E13" s="19">
        <f>'DOE25'!L207+'DOE25'!L225+'DOE25'!L243-F13-G13-H13</f>
        <v>777401.08</v>
      </c>
      <c r="F13" s="180">
        <v>0</v>
      </c>
      <c r="G13" s="19">
        <f>'DOE25'!J207+'DOE25'!J225+'DOE25'!J243</f>
        <v>0</v>
      </c>
      <c r="H13" s="19">
        <f>'DOE25'!K207+'DOE25'!K225+'DOE25'!K243</f>
        <v>5265.64</v>
      </c>
      <c r="I13" s="191"/>
    </row>
    <row r="14" spans="1:9" x14ac:dyDescent="0.2">
      <c r="A14" s="31">
        <v>2600</v>
      </c>
      <c r="B14" t="s">
        <v>815</v>
      </c>
      <c r="C14" s="205">
        <f t="shared" si="0"/>
        <v>4040498.7799999993</v>
      </c>
      <c r="D14" s="19">
        <f>'DOE25'!L208+'DOE25'!L226+'DOE25'!L244-F14-G14-H14</f>
        <v>3714101.3599999994</v>
      </c>
      <c r="E14" s="179"/>
      <c r="F14" s="180">
        <v>294265.8</v>
      </c>
      <c r="G14" s="19">
        <f>'DOE25'!J208+'DOE25'!J226+'DOE25'!J244</f>
        <v>32131.620000000003</v>
      </c>
      <c r="H14" s="19">
        <f>'DOE25'!K208+'DOE25'!K226+'DOE25'!K244</f>
        <v>0</v>
      </c>
      <c r="I14" s="191"/>
    </row>
    <row r="15" spans="1:9" x14ac:dyDescent="0.2">
      <c r="A15" s="31">
        <v>2700</v>
      </c>
      <c r="B15" t="s">
        <v>796</v>
      </c>
      <c r="C15" s="205">
        <f t="shared" si="0"/>
        <v>2466350.41</v>
      </c>
      <c r="D15" s="19">
        <f>'DOE25'!L209+'DOE25'!L227+'DOE25'!L245-F15-G15-H15</f>
        <v>182197.03000000026</v>
      </c>
      <c r="E15" s="179"/>
      <c r="F15" s="180">
        <v>2284153.38</v>
      </c>
      <c r="G15" s="19">
        <f>'DOE25'!J209+'DOE25'!J227+'DOE25'!J245</f>
        <v>0</v>
      </c>
      <c r="H15" s="19">
        <f>'DOE25'!K209+'DOE25'!K227+'DOE25'!K245</f>
        <v>0</v>
      </c>
      <c r="I15" s="191"/>
    </row>
    <row r="16" spans="1:9" x14ac:dyDescent="0.2">
      <c r="A16" s="31">
        <v>2800</v>
      </c>
      <c r="B16" t="s">
        <v>797</v>
      </c>
      <c r="C16" s="205">
        <f t="shared" si="0"/>
        <v>2012246.45</v>
      </c>
      <c r="D16" s="179"/>
      <c r="E16" s="19">
        <f>'DOE25'!L210+'DOE25'!L228+'DOE25'!L246-F16-G16-H16</f>
        <v>1841901.67</v>
      </c>
      <c r="F16" s="180">
        <v>0</v>
      </c>
      <c r="G16" s="19">
        <f>'DOE25'!J210+'DOE25'!J228+'DOE25'!J246</f>
        <v>170344.78</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712031.63</v>
      </c>
      <c r="D25" s="179"/>
      <c r="E25" s="179"/>
      <c r="F25" s="190"/>
      <c r="G25" s="179"/>
      <c r="H25" s="179"/>
      <c r="I25" s="189">
        <f>'DOE25'!L261+'DOE25'!L262+'DOE25'!L342+'DOE25'!L343</f>
        <v>712031.63</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585180.97</v>
      </c>
      <c r="D29" s="211">
        <f>'DOE25'!L359+'DOE25'!L360+'DOE25'!L361-'DOE25'!I368-F29-G29-H29-F39</f>
        <v>550535.94999999995</v>
      </c>
      <c r="E29" s="179"/>
      <c r="F29" s="179"/>
      <c r="G29" s="19">
        <f>'DOE25'!J359+'DOE25'!J360+'DOE25'!J361</f>
        <v>23204.48</v>
      </c>
      <c r="H29" s="19">
        <f>'DOE25'!K359+'DOE25'!K360+'DOE25'!K361</f>
        <v>11440.54</v>
      </c>
      <c r="I29" s="191"/>
    </row>
    <row r="30" spans="1:9" x14ac:dyDescent="0.2">
      <c r="A30" s="31"/>
      <c r="C30" s="206"/>
      <c r="D30" s="19"/>
      <c r="F30" s="200"/>
      <c r="G30" s="19"/>
      <c r="H30" s="19"/>
      <c r="I30" s="191"/>
    </row>
    <row r="31" spans="1:9" x14ac:dyDescent="0.2">
      <c r="A31" s="31" t="s">
        <v>814</v>
      </c>
      <c r="B31" t="s">
        <v>813</v>
      </c>
      <c r="C31" s="205">
        <f>SUM(D31:I31)</f>
        <v>2903537.8600000003</v>
      </c>
      <c r="D31" s="19">
        <f>'DOE25'!L291+'DOE25'!L310+'DOE25'!L329+'DOE25'!L334+'DOE25'!L335+'DOE25'!L336-F31-G31-H31</f>
        <v>2406083.9100000006</v>
      </c>
      <c r="E31" s="179"/>
      <c r="F31" s="180">
        <v>0</v>
      </c>
      <c r="G31" s="19">
        <f>'DOE25'!J291+'DOE25'!J310+'DOE25'!J329+'DOE25'!J334+'DOE25'!J335+'DOE25'!J336</f>
        <v>480392.4</v>
      </c>
      <c r="H31" s="19">
        <f>'DOE25'!K291+'DOE25'!K310+'DOE25'!K329+'DOE25'!K334+'DOE25'!K335+'DOE25'!K336</f>
        <v>17061.550000000003</v>
      </c>
      <c r="I31" s="191"/>
    </row>
    <row r="32" spans="1:9" ht="12" thickBot="1" x14ac:dyDescent="0.25">
      <c r="C32" s="206"/>
      <c r="G32" s="187"/>
      <c r="H32" s="187"/>
      <c r="I32" s="193"/>
    </row>
    <row r="33" spans="1:9" ht="12" thickTop="1" x14ac:dyDescent="0.2">
      <c r="B33" t="s">
        <v>806</v>
      </c>
      <c r="D33" s="181">
        <f t="shared" ref="D33:I33" si="1">SUM(D5:D31)</f>
        <v>38018292.790000014</v>
      </c>
      <c r="E33" s="181">
        <f t="shared" si="1"/>
        <v>4470500.5199999996</v>
      </c>
      <c r="F33" s="181">
        <f t="shared" si="1"/>
        <v>2646899.1799999997</v>
      </c>
      <c r="G33" s="181">
        <f t="shared" si="1"/>
        <v>878192.45</v>
      </c>
      <c r="H33" s="181">
        <f t="shared" si="1"/>
        <v>109677.26</v>
      </c>
      <c r="I33" s="181">
        <f t="shared" si="1"/>
        <v>712031.63</v>
      </c>
    </row>
    <row r="34" spans="1:9" ht="12" thickBot="1" x14ac:dyDescent="0.25"/>
    <row r="35" spans="1:9" ht="12" thickBot="1" x14ac:dyDescent="0.25">
      <c r="B35" s="187" t="s">
        <v>827</v>
      </c>
      <c r="D35" s="188">
        <f>E33</f>
        <v>4470500.5199999996</v>
      </c>
      <c r="E35" s="184"/>
      <c r="F35" s="294" t="s">
        <v>1596</v>
      </c>
      <c r="G35" s="295"/>
      <c r="H35" s="295"/>
      <c r="I35" s="296"/>
    </row>
    <row r="36" spans="1:9" ht="12" thickTop="1" x14ac:dyDescent="0.2">
      <c r="B36" t="s">
        <v>807</v>
      </c>
      <c r="D36" s="19">
        <f>D33</f>
        <v>38018292.790000014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F4" sqref="F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Milford</v>
      </c>
      <c r="B2">
        <f>'DOE25'!B2</f>
        <v>357</v>
      </c>
      <c r="J2" s="223" t="s">
        <v>1799</v>
      </c>
      <c r="K2" s="308">
        <f>SUM('DOE25'!L198:L201)+SUM('DOE25'!L277:L280)</f>
        <v>9398259.129999999</v>
      </c>
      <c r="L2" s="308">
        <f>'DOE25'!L203+'DOE25'!L282</f>
        <v>2206849.9300000002</v>
      </c>
      <c r="M2" s="308">
        <f>'DOE25'!L204+'DOE25'!L283</f>
        <v>430025.07999999996</v>
      </c>
      <c r="N2" s="308">
        <f>'DOE25'!L206+'DOE25'!L285</f>
        <v>832661.97</v>
      </c>
      <c r="O2" s="316">
        <f>'Salaries-Benefits'!B10+'Salaries-Benefits'!B12+'Salaries-Benefits'!B19+'Salaries-Benefits'!B21+'Salaries-Benefits'!B28+'Salaries-Benefits'!B30+'Salaries-Benefits'!B37+'Salaries-Benefits'!B39</f>
        <v>12929741.569999998</v>
      </c>
      <c r="P2" s="316">
        <f>'Salaries-Benefits'!B11+'Salaries-Benefits'!B20+'Salaries-Benefits'!B29+'Salaries-Benefits'!B38</f>
        <v>1685388.0299999998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17571718.000000004</v>
      </c>
      <c r="G4" s="228">
        <f>'DOE25'!L212+'DOE25'!L291</f>
        <v>17571718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115160.73</v>
      </c>
      <c r="E5" s="219"/>
      <c r="F5" s="231">
        <f>D5+E5</f>
        <v>115160.73</v>
      </c>
      <c r="G5" s="222"/>
      <c r="H5" s="222"/>
      <c r="J5" s="71" t="s">
        <v>1798</v>
      </c>
      <c r="K5" s="20">
        <v>115160.73</v>
      </c>
      <c r="L5" s="20"/>
      <c r="M5" s="20"/>
      <c r="N5" s="20"/>
      <c r="O5" s="20"/>
      <c r="P5" s="20"/>
      <c r="Q5" s="20"/>
    </row>
    <row r="6" spans="1:22" x14ac:dyDescent="0.2">
      <c r="A6" t="str" cm="1">
        <f t="array" ref="A6">IFERROR(INDEX('School Tables'!$A$4:$G$365,'School Tables'!$J4,3),"")</f>
        <v>Heron Pond Elementary School</v>
      </c>
      <c r="B6" s="229">
        <f>IFERROR(VLOOKUP(A6,'School Tables'!$C$3:$D$365,2,FALSE),"")</f>
        <v>27895</v>
      </c>
      <c r="C6" s="222" t="str">
        <f>IFERROR(INDEX('School Tables'!$B$3:$B$365,MATCH('School Level Expenditures'!B6,'School Tables'!$D$3:$D$365,0)),"")</f>
        <v>Milford</v>
      </c>
      <c r="D6" s="219">
        <v>10656777.300000001</v>
      </c>
      <c r="E6" s="219">
        <v>689984.93</v>
      </c>
      <c r="F6" s="231">
        <f t="shared" ref="F6:F20" si="2">D6+E6</f>
        <v>11346762.23</v>
      </c>
      <c r="G6" s="222"/>
      <c r="H6" s="222"/>
      <c r="J6" t="str">
        <f t="shared" ref="J6:J20" si="3">A6</f>
        <v>Heron Pond Elementary School</v>
      </c>
      <c r="K6" s="20">
        <v>6034013.96</v>
      </c>
      <c r="L6" s="20">
        <v>1435997.25</v>
      </c>
      <c r="M6" s="307">
        <v>279817.32</v>
      </c>
      <c r="N6" s="20">
        <v>541813.14</v>
      </c>
      <c r="O6" s="20">
        <v>3114492.68</v>
      </c>
      <c r="P6" s="20">
        <v>493904.24</v>
      </c>
      <c r="Q6" s="20">
        <v>33947.370000000003</v>
      </c>
    </row>
    <row r="7" spans="1:22" x14ac:dyDescent="0.2">
      <c r="A7" t="str" cm="1">
        <f t="array" ref="A7">IFERROR(INDEX('School Tables'!$A$4:$G$365,'School Tables'!$J5,3),"")</f>
        <v>Jacques Memorial Elementary School</v>
      </c>
      <c r="B7" s="229">
        <f>IFERROR(VLOOKUP(A7,'School Tables'!$C$3:$D$365,2,FALSE),"")</f>
        <v>26580</v>
      </c>
      <c r="C7" s="222" t="str">
        <f>IFERROR(INDEX('School Tables'!$B$3:$B$365,MATCH('School Level Expenditures'!B7,'School Tables'!$D$3:$D$365,0)),"")</f>
        <v>Milford</v>
      </c>
      <c r="D7" s="219">
        <v>5585612.5</v>
      </c>
      <c r="E7" s="219">
        <v>371530.35</v>
      </c>
      <c r="F7" s="231">
        <f t="shared" si="2"/>
        <v>5957142.8499999996</v>
      </c>
      <c r="G7" s="222"/>
      <c r="H7" s="222"/>
      <c r="J7" t="str">
        <f t="shared" si="3"/>
        <v>Jacques Memorial Elementary School</v>
      </c>
      <c r="K7" s="20">
        <v>3162650.67</v>
      </c>
      <c r="L7" s="20">
        <v>750328.98</v>
      </c>
      <c r="M7" s="307">
        <v>146208.53</v>
      </c>
      <c r="N7" s="20">
        <v>283105.07</v>
      </c>
      <c r="O7" s="20">
        <v>1598279.38</v>
      </c>
      <c r="P7" s="20">
        <v>319500.57</v>
      </c>
      <c r="Q7" s="20">
        <v>15749.26</v>
      </c>
    </row>
    <row r="8" spans="1:22" x14ac:dyDescent="0.2">
      <c r="A8" t="str" cm="1">
        <f t="array" ref="A8">IFERROR(INDEX('School Tables'!$A$4:$G$365,'School Tables'!$J6,3),"")</f>
        <v>Milford Early Education Experiences</v>
      </c>
      <c r="B8" s="229">
        <f>IFERROR(VLOOKUP(A8,'School Tables'!$C$3:$D$365,2,FALSE),"")</f>
        <v>29234</v>
      </c>
      <c r="C8" s="222" t="str">
        <f>IFERROR(INDEX('School Tables'!$B$3:$B$365,MATCH('School Level Expenditures'!B8,'School Tables'!$D$3:$D$365,0)),"")</f>
        <v>Milford</v>
      </c>
      <c r="D8" s="219">
        <v>152652.19</v>
      </c>
      <c r="E8" s="219"/>
      <c r="F8" s="231">
        <f t="shared" si="2"/>
        <v>152652.19</v>
      </c>
      <c r="G8" s="222"/>
      <c r="H8" s="222"/>
      <c r="J8" t="str">
        <f t="shared" si="3"/>
        <v>Milford Early Education Experiences</v>
      </c>
      <c r="K8" s="20">
        <v>86433.77</v>
      </c>
      <c r="L8" s="20">
        <v>20523.7</v>
      </c>
      <c r="M8" s="307">
        <v>3999.23</v>
      </c>
      <c r="N8" s="20">
        <v>7743.76</v>
      </c>
      <c r="O8" s="20">
        <v>169984</v>
      </c>
      <c r="P8" s="20">
        <v>44333.27</v>
      </c>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16510202.720000001</v>
      </c>
      <c r="E21" s="261">
        <f>SUM(E5:E20)</f>
        <v>1061515.28</v>
      </c>
      <c r="F21" s="216"/>
      <c r="G21" s="216"/>
      <c r="H21" s="216"/>
      <c r="K21" s="262">
        <f t="shared" ref="K21:Q21" si="4">SUM(K5:K20)</f>
        <v>9398259.129999999</v>
      </c>
      <c r="L21" s="262">
        <f t="shared" si="4"/>
        <v>2206849.9300000002</v>
      </c>
      <c r="M21" s="262">
        <f t="shared" si="4"/>
        <v>430025.07999999996</v>
      </c>
      <c r="N21" s="262">
        <f t="shared" si="4"/>
        <v>832661.97</v>
      </c>
      <c r="O21" s="262">
        <f t="shared" si="4"/>
        <v>4882756.0600000005</v>
      </c>
      <c r="P21" s="262">
        <f t="shared" si="4"/>
        <v>857738.08000000007</v>
      </c>
      <c r="Q21" s="262">
        <f t="shared" si="4"/>
        <v>49696.630000000005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6288716.5799999991</v>
      </c>
      <c r="L23" s="19">
        <f>'DOE25'!L221+'DOE25'!L301</f>
        <v>929302.23</v>
      </c>
      <c r="M23" s="19">
        <f>'DOE25'!L222+'DOE25'!L302</f>
        <v>262254.14</v>
      </c>
      <c r="N23" s="19">
        <f>'DOE25'!L224+'DOE25'!L304</f>
        <v>574211.14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11099482.18</v>
      </c>
      <c r="G25" s="228">
        <f>'DOE25'!L230+'DOE25'!L310</f>
        <v>11099482.179999998</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453633.04</v>
      </c>
      <c r="E26" s="219"/>
      <c r="F26" s="231">
        <f>D26+E26</f>
        <v>453633.04</v>
      </c>
      <c r="G26" s="222"/>
      <c r="H26" s="222"/>
      <c r="J26" s="71" t="s">
        <v>1798</v>
      </c>
      <c r="K26" s="315">
        <v>453633.04</v>
      </c>
      <c r="L26" s="315"/>
      <c r="M26" s="315"/>
      <c r="N26" s="315"/>
      <c r="O26" s="315"/>
      <c r="P26" s="315"/>
      <c r="Q26" s="315"/>
    </row>
    <row r="27" spans="1:17" x14ac:dyDescent="0.2">
      <c r="A27" t="str" cm="1">
        <f t="array" ref="A27">IFERROR(INDEX('School Tables'!$L$4:$R$100,'School Tables'!$U4,3),"")</f>
        <v>Milford Middle School</v>
      </c>
      <c r="B27" s="229">
        <f>IFERROR(VLOOKUP(A27,'School Tables'!$N$4:$O$100,2,FALSE),"")</f>
        <v>21760</v>
      </c>
      <c r="C27" s="222" t="str">
        <f>IFERROR(INDEX('School Tables'!$M$4:$M$100,MATCH('School Level Expenditures'!A27,'School Tables'!$N$4:$N$100,0)),"")</f>
        <v>Milford</v>
      </c>
      <c r="D27" s="219">
        <v>10081723.65</v>
      </c>
      <c r="E27" s="219">
        <v>564125.49</v>
      </c>
      <c r="F27" s="231">
        <f t="shared" ref="F27:F33" si="6">D27+E27</f>
        <v>10645849.140000001</v>
      </c>
      <c r="G27" s="222"/>
      <c r="H27" s="222"/>
      <c r="J27" t="str">
        <f t="shared" ref="J27:J33" si="7">A27</f>
        <v>Milford Middle School</v>
      </c>
      <c r="K27" s="20">
        <v>5835083.54</v>
      </c>
      <c r="L27" s="20">
        <v>929302.23</v>
      </c>
      <c r="M27" s="307">
        <v>262254.14</v>
      </c>
      <c r="N27" s="20">
        <v>574211.14</v>
      </c>
      <c r="O27" s="20">
        <v>3025672.24</v>
      </c>
      <c r="P27" s="20">
        <v>349216.34</v>
      </c>
      <c r="Q27" s="20">
        <v>25427.11</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10535356.689999999</v>
      </c>
      <c r="E34" s="261">
        <f>SUM(E26:E33)</f>
        <v>564125.49</v>
      </c>
      <c r="F34" s="216"/>
      <c r="G34" s="216"/>
      <c r="H34" s="216"/>
      <c r="K34" s="262">
        <f t="shared" ref="K34:Q34" si="8">SUM(K26:K33)</f>
        <v>6288716.5800000001</v>
      </c>
      <c r="L34" s="262">
        <f t="shared" si="8"/>
        <v>929302.23</v>
      </c>
      <c r="M34" s="262">
        <f t="shared" si="8"/>
        <v>262254.14</v>
      </c>
      <c r="N34" s="262">
        <f t="shared" si="8"/>
        <v>574211.14</v>
      </c>
      <c r="O34" s="262">
        <f t="shared" si="8"/>
        <v>3025672.24</v>
      </c>
      <c r="P34" s="262">
        <f t="shared" si="8"/>
        <v>349216.34</v>
      </c>
      <c r="Q34" s="262">
        <f t="shared" si="8"/>
        <v>25427.11</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10069434.690000001</v>
      </c>
      <c r="L36" s="19">
        <f>'DOE25'!L239+'DOE25'!L320</f>
        <v>1299891.43</v>
      </c>
      <c r="M36" s="19">
        <f>'DOE25'!L240+'DOE25'!L321</f>
        <v>410004.13</v>
      </c>
      <c r="N36" s="19">
        <f>'DOE25'!L242+'DOE25'!L323</f>
        <v>1058140.5899999999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16867181.050000001</v>
      </c>
      <c r="G38" s="228">
        <f>'DOE25'!L248+'DOE25'!L329</f>
        <v>16867181.050000001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749846.38</v>
      </c>
      <c r="E39" s="219"/>
      <c r="F39" s="231">
        <f t="shared" ref="F39:F44" si="10">D39+E39</f>
        <v>749846.38</v>
      </c>
      <c r="G39" s="222"/>
      <c r="H39" s="222"/>
      <c r="J39" s="71" t="s">
        <v>1798</v>
      </c>
      <c r="K39" s="315">
        <v>749846.38</v>
      </c>
      <c r="L39" s="315"/>
      <c r="M39" s="315"/>
      <c r="N39" s="315"/>
      <c r="O39" s="315"/>
      <c r="P39" s="315"/>
      <c r="Q39" s="315"/>
    </row>
    <row r="40" spans="1:17" x14ac:dyDescent="0.2">
      <c r="A40" t="str" cm="1">
        <f t="array" ref="A40">IFERROR(INDEX('School Tables'!$W$4:$AC$120,'School Tables'!$AF4,3),"")</f>
        <v>Milford High School</v>
      </c>
      <c r="B40" s="229">
        <f>IFERROR(VLOOKUP(A40,'School Tables'!$Y$4:$Z$120,2,FALSE),"")</f>
        <v>21765</v>
      </c>
      <c r="C40" s="222" t="str">
        <f>IFERROR(INDEX('School Tables'!$X$4:$X$120,MATCH('School Level Expenditures'!A40,'School Tables'!$Y$4:$Y$120,0)),"")</f>
        <v>Milford</v>
      </c>
      <c r="D40" s="219">
        <v>15274975.050000001</v>
      </c>
      <c r="E40" s="219">
        <v>842359.62</v>
      </c>
      <c r="F40" s="231">
        <f t="shared" si="10"/>
        <v>16117334.67</v>
      </c>
      <c r="G40" s="222"/>
      <c r="H40" s="222"/>
      <c r="J40" t="str">
        <f>A40</f>
        <v>Milford High School</v>
      </c>
      <c r="K40" s="20">
        <v>9319588.3100000005</v>
      </c>
      <c r="L40" s="20">
        <v>1299891.43</v>
      </c>
      <c r="M40" s="307">
        <v>410004.13</v>
      </c>
      <c r="N40" s="20">
        <v>1058140.5900000001</v>
      </c>
      <c r="O40" s="20">
        <v>5021313.2699999996</v>
      </c>
      <c r="P40" s="20">
        <v>478433.61</v>
      </c>
      <c r="Q40" s="20">
        <v>42884.800000000003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16024821.430000002</v>
      </c>
      <c r="E45" s="262">
        <f>SUM(E39:E44)</f>
        <v>842359.62</v>
      </c>
      <c r="K45" s="262">
        <f t="shared" ref="K45:Q45" si="11">SUM(K39:K44)</f>
        <v>10069434.690000001</v>
      </c>
      <c r="L45" s="262">
        <f t="shared" si="11"/>
        <v>1299891.43</v>
      </c>
      <c r="M45" s="262">
        <f t="shared" si="11"/>
        <v>410004.13</v>
      </c>
      <c r="N45" s="262">
        <f t="shared" si="11"/>
        <v>1058140.5900000001</v>
      </c>
      <c r="O45" s="262">
        <f t="shared" si="11"/>
        <v>5021313.2699999996</v>
      </c>
      <c r="P45" s="262">
        <f t="shared" si="11"/>
        <v>478433.61</v>
      </c>
      <c r="Q45" s="262">
        <f t="shared" si="11"/>
        <v>42884.800000000003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30" zoomScaleNormal="130" workbookViewId="0">
      <selection activeCell="C25" sqref="C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1857577.8</v>
      </c>
      <c r="D8" s="73">
        <f>'DOE25'!G9</f>
        <v>365</v>
      </c>
      <c r="E8" s="73">
        <f>'DOE25'!H9</f>
        <v>396599.16000000003</v>
      </c>
      <c r="F8" s="73">
        <f>'DOE25'!I9</f>
        <v>0</v>
      </c>
      <c r="G8" s="73">
        <f>'DOE25'!J9</f>
        <v>0</v>
      </c>
      <c r="H8" s="13">
        <f>SUM(C8:G8)</f>
        <v>2254541.96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330077.44</v>
      </c>
      <c r="D11" s="73">
        <f>'DOE25'!G12</f>
        <v>237622.91</v>
      </c>
      <c r="E11" s="73">
        <f>'DOE25'!H12</f>
        <v>42840.67</v>
      </c>
      <c r="F11" s="73">
        <f>'DOE25'!I12</f>
        <v>0</v>
      </c>
      <c r="G11" s="73">
        <f>'DOE25'!J12</f>
        <v>0</v>
      </c>
      <c r="H11" s="13">
        <f t="shared" si="0"/>
        <v>610541.02</v>
      </c>
      <c r="I11" s="90"/>
    </row>
    <row r="12" spans="1:9" x14ac:dyDescent="0.2">
      <c r="A12" s="1" t="s">
        <v>143</v>
      </c>
      <c r="B12" s="6">
        <v>140</v>
      </c>
      <c r="C12" s="73">
        <f>'DOE25'!F13</f>
        <v>122714.13</v>
      </c>
      <c r="D12" s="73">
        <f>'DOE25'!G13</f>
        <v>9671.06</v>
      </c>
      <c r="E12" s="73">
        <f>'DOE25'!H13</f>
        <v>330077.44</v>
      </c>
      <c r="F12" s="73">
        <f>'DOE25'!I13</f>
        <v>0</v>
      </c>
      <c r="G12" s="73">
        <f>'DOE25'!J13</f>
        <v>1008133.8</v>
      </c>
      <c r="H12" s="13">
        <f t="shared" si="0"/>
        <v>1470596.4300000002</v>
      </c>
      <c r="I12" s="90"/>
    </row>
    <row r="13" spans="1:9" x14ac:dyDescent="0.2">
      <c r="A13" s="1" t="s">
        <v>144</v>
      </c>
      <c r="B13" s="6">
        <v>150</v>
      </c>
      <c r="C13" s="73">
        <f>'DOE25'!F14</f>
        <v>3027</v>
      </c>
      <c r="D13" s="73">
        <f>'DOE25'!G14</f>
        <v>0</v>
      </c>
      <c r="E13" s="73">
        <f>'DOE25'!H14</f>
        <v>37173.129999999997</v>
      </c>
      <c r="F13" s="73">
        <f>'DOE25'!I14</f>
        <v>0</v>
      </c>
      <c r="G13" s="73">
        <f>'DOE25'!J14</f>
        <v>0</v>
      </c>
      <c r="H13" s="13">
        <f t="shared" si="0"/>
        <v>40200.129999999997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58034.69</v>
      </c>
      <c r="D16" s="73">
        <f>'DOE25'!G17</f>
        <v>0</v>
      </c>
      <c r="E16" s="73">
        <f>'DOE25'!H17</f>
        <v>0</v>
      </c>
      <c r="F16" s="73">
        <f>'DOE25'!I17</f>
        <v>0</v>
      </c>
      <c r="G16" s="73">
        <f>'DOE25'!J17</f>
        <v>0</v>
      </c>
      <c r="H16" s="13">
        <f t="shared" si="0"/>
        <v>58034.69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2371431.06</v>
      </c>
      <c r="D18" s="38">
        <f>SUM(D8:D17)</f>
        <v>247658.97</v>
      </c>
      <c r="E18" s="38">
        <f>SUM(E8:E17)</f>
        <v>806690.4</v>
      </c>
      <c r="F18" s="38">
        <f>SUM(F8:F17)</f>
        <v>0</v>
      </c>
      <c r="G18" s="38">
        <f>SUM(G8:G17)</f>
        <v>1008133.8</v>
      </c>
      <c r="H18" s="38">
        <f t="shared" si="0"/>
        <v>4433914.2300000004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280463.58</v>
      </c>
      <c r="D21" s="73">
        <f>'DOE25'!G22</f>
        <v>0</v>
      </c>
      <c r="E21" s="73">
        <f>'DOE25'!H22</f>
        <v>330077.44</v>
      </c>
      <c r="F21" s="73">
        <f>'DOE25'!I22</f>
        <v>0</v>
      </c>
      <c r="G21" s="73">
        <f>'DOE25'!J22</f>
        <v>0</v>
      </c>
      <c r="H21" s="13">
        <f t="shared" ref="H21:H31" si="1">SUM(C21:G21)</f>
        <v>610541.02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171962.62</v>
      </c>
      <c r="D23" s="73">
        <f>'DOE25'!G24</f>
        <v>0</v>
      </c>
      <c r="E23" s="73">
        <f>'DOE25'!H24</f>
        <v>0</v>
      </c>
      <c r="F23" s="73">
        <f>'DOE25'!I24</f>
        <v>0</v>
      </c>
      <c r="G23" s="73">
        <f>'DOE25'!J24</f>
        <v>0</v>
      </c>
      <c r="H23" s="13">
        <f t="shared" si="1"/>
        <v>171962.62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124074.8</v>
      </c>
      <c r="D27" s="73">
        <f>'DOE25'!G28</f>
        <v>0</v>
      </c>
      <c r="E27" s="73">
        <f>'DOE25'!H28</f>
        <v>0</v>
      </c>
      <c r="F27" s="73">
        <f>'DOE25'!I28</f>
        <v>0</v>
      </c>
      <c r="G27" s="23" t="s">
        <v>288</v>
      </c>
      <c r="H27" s="13">
        <f t="shared" si="1"/>
        <v>124074.8</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25524.28</v>
      </c>
      <c r="E29" s="73">
        <f>'DOE25'!H30</f>
        <v>0</v>
      </c>
      <c r="F29" s="73">
        <f>'DOE25'!I30</f>
        <v>0</v>
      </c>
      <c r="G29" s="23" t="s">
        <v>288</v>
      </c>
      <c r="H29" s="13">
        <f t="shared" si="1"/>
        <v>25524.28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576501</v>
      </c>
      <c r="D31" s="38">
        <f>SUM(D21:D30)</f>
        <v>25524.28</v>
      </c>
      <c r="E31" s="38">
        <f>SUM(E21:E30)</f>
        <v>330077.44</v>
      </c>
      <c r="F31" s="38">
        <f>SUM(F21:F30)</f>
        <v>0</v>
      </c>
      <c r="G31" s="38">
        <f>SUM(G21:G30)</f>
        <v>0</v>
      </c>
      <c r="H31" s="38">
        <f t="shared" si="1"/>
        <v>932102.72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58034.69</v>
      </c>
      <c r="D35" s="73">
        <f>'DOE25'!G36</f>
        <v>0</v>
      </c>
      <c r="E35" s="73">
        <f>'DOE25'!H36</f>
        <v>0</v>
      </c>
      <c r="F35" s="73">
        <f>'DOE25'!I36</f>
        <v>0</v>
      </c>
      <c r="G35" s="23" t="s">
        <v>288</v>
      </c>
      <c r="H35" s="13">
        <f t="shared" si="2"/>
        <v>58034.69</v>
      </c>
      <c r="I35" s="90"/>
    </row>
    <row r="36" spans="1:9" x14ac:dyDescent="0.2">
      <c r="A36" s="1" t="s">
        <v>852</v>
      </c>
      <c r="B36" s="6">
        <v>756</v>
      </c>
      <c r="C36" s="73">
        <f>'DOE25'!F37</f>
        <v>0</v>
      </c>
      <c r="D36" s="73">
        <f>'DOE25'!G37</f>
        <v>0</v>
      </c>
      <c r="E36" s="73">
        <f>'DOE25'!H37</f>
        <v>0</v>
      </c>
      <c r="F36" s="73">
        <f>'DOE25'!I37</f>
        <v>0</v>
      </c>
      <c r="G36" s="73">
        <f>'DOE25'!J37</f>
        <v>932297.7</v>
      </c>
      <c r="H36" s="13">
        <f t="shared" si="2"/>
        <v>932297.7</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75836.100000000006</v>
      </c>
      <c r="H38" s="13">
        <f t="shared" si="2"/>
        <v>75836.100000000006</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100000</v>
      </c>
      <c r="D43" s="73">
        <f>'DOE25'!G44</f>
        <v>0</v>
      </c>
      <c r="E43" s="73">
        <f>'DOE25'!H44</f>
        <v>0</v>
      </c>
      <c r="F43" s="73">
        <f>'DOE25'!I44</f>
        <v>0</v>
      </c>
      <c r="G43" s="23" t="s">
        <v>288</v>
      </c>
      <c r="H43" s="13">
        <f t="shared" si="2"/>
        <v>100000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222134.69</v>
      </c>
      <c r="E47" s="73">
        <f>'DOE25'!H48</f>
        <v>476612.96</v>
      </c>
      <c r="F47" s="73">
        <f>'DOE25'!I48</f>
        <v>0</v>
      </c>
      <c r="G47" s="73">
        <f>'DOE25'!J48</f>
        <v>0</v>
      </c>
      <c r="H47" s="13">
        <f t="shared" si="2"/>
        <v>698747.65</v>
      </c>
      <c r="I47" s="90"/>
    </row>
    <row r="48" spans="1:9" x14ac:dyDescent="0.2">
      <c r="A48" s="1" t="s">
        <v>878</v>
      </c>
      <c r="B48" s="6">
        <v>753</v>
      </c>
      <c r="C48" s="73">
        <f>'DOE25'!F49</f>
        <v>1150090</v>
      </c>
      <c r="D48" s="73">
        <f>'DOE25'!G49</f>
        <v>0</v>
      </c>
      <c r="E48" s="73">
        <f>'DOE25'!H49</f>
        <v>0</v>
      </c>
      <c r="F48" s="73">
        <f>'DOE25'!I49</f>
        <v>0</v>
      </c>
      <c r="G48" s="73">
        <f>'DOE25'!J49</f>
        <v>0</v>
      </c>
      <c r="H48" s="13">
        <f t="shared" si="2"/>
        <v>1150090</v>
      </c>
      <c r="I48" s="90"/>
    </row>
    <row r="49" spans="1:9" ht="12" thickBot="1" x14ac:dyDescent="0.25">
      <c r="A49" s="28" t="s">
        <v>879</v>
      </c>
      <c r="B49" s="56">
        <v>770</v>
      </c>
      <c r="C49" s="73">
        <f>'DOE25'!F50</f>
        <v>486805.37</v>
      </c>
      <c r="D49" s="23" t="s">
        <v>288</v>
      </c>
      <c r="E49" s="23" t="s">
        <v>288</v>
      </c>
      <c r="F49" s="23" t="s">
        <v>288</v>
      </c>
      <c r="G49" s="23" t="s">
        <v>288</v>
      </c>
      <c r="H49" s="13">
        <f t="shared" si="2"/>
        <v>486805.37</v>
      </c>
      <c r="I49" s="90"/>
    </row>
    <row r="50" spans="1:9" ht="12.75" thickTop="1" thickBot="1" x14ac:dyDescent="0.25">
      <c r="A50" s="35" t="s">
        <v>880</v>
      </c>
      <c r="B50" s="44"/>
      <c r="C50" s="38">
        <f>SUM(C34:C49)</f>
        <v>1794930.06</v>
      </c>
      <c r="D50" s="38">
        <f>SUM(D34:D49)</f>
        <v>222134.69</v>
      </c>
      <c r="E50" s="38">
        <f>SUM(E34:E49)</f>
        <v>476612.96</v>
      </c>
      <c r="F50" s="38">
        <f>SUM(F34:F49)</f>
        <v>0</v>
      </c>
      <c r="G50" s="38">
        <f>SUM(G34:G49)</f>
        <v>1008133.7999999999</v>
      </c>
      <c r="H50" s="38">
        <f t="shared" si="2"/>
        <v>3501811.51</v>
      </c>
      <c r="I50" s="90"/>
    </row>
    <row r="51" spans="1:9" ht="12" thickTop="1" x14ac:dyDescent="0.2">
      <c r="A51" s="35" t="s">
        <v>881</v>
      </c>
      <c r="B51" s="2"/>
      <c r="C51" s="38">
        <f>C50+C31</f>
        <v>2371431.06</v>
      </c>
      <c r="D51" s="38">
        <f>D50+D31</f>
        <v>247658.97</v>
      </c>
      <c r="E51" s="38">
        <f>E50+E31</f>
        <v>806690.4</v>
      </c>
      <c r="F51" s="38">
        <f>F50+F31</f>
        <v>0</v>
      </c>
      <c r="G51" s="38">
        <f>G50+G31</f>
        <v>1008133.7999999999</v>
      </c>
      <c r="H51" s="38">
        <f t="shared" si="2"/>
        <v>4433914.2300000004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30142193</v>
      </c>
      <c r="D56" s="73">
        <f>'DOE25'!G60</f>
        <v>0</v>
      </c>
      <c r="E56" s="73">
        <f>'DOE25'!H60</f>
        <v>0</v>
      </c>
      <c r="F56" s="73">
        <f>'DOE25'!I60</f>
        <v>0</v>
      </c>
      <c r="G56" s="73">
        <f>'DOE25'!J60</f>
        <v>0</v>
      </c>
      <c r="H56" s="13">
        <f t="shared" ref="H56:H63" si="3">SUM(C56:G56)</f>
        <v>30142193</v>
      </c>
      <c r="I56"/>
    </row>
    <row r="57" spans="1:9" x14ac:dyDescent="0.2">
      <c r="A57" s="1" t="s">
        <v>164</v>
      </c>
      <c r="B57" s="6" t="s">
        <v>165</v>
      </c>
      <c r="C57" s="73">
        <f>'DOE25'!F79</f>
        <v>1208052.6900000002</v>
      </c>
      <c r="D57" s="23" t="s">
        <v>288</v>
      </c>
      <c r="E57" s="73">
        <f>'DOE25'!H79</f>
        <v>106530</v>
      </c>
      <c r="F57" s="23" t="s">
        <v>288</v>
      </c>
      <c r="G57" s="23" t="s">
        <v>288</v>
      </c>
      <c r="H57" s="13">
        <f t="shared" si="3"/>
        <v>1314582.6900000002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197309.06</v>
      </c>
      <c r="D59" s="73">
        <f>'DOE25'!G96</f>
        <v>0</v>
      </c>
      <c r="E59" s="73">
        <f>'DOE25'!H96</f>
        <v>0</v>
      </c>
      <c r="F59" s="73">
        <f>'DOE25'!I96</f>
        <v>0</v>
      </c>
      <c r="G59" s="73">
        <f>'DOE25'!J96</f>
        <v>53843.97</v>
      </c>
      <c r="H59" s="13">
        <f t="shared" si="3"/>
        <v>251153.03</v>
      </c>
      <c r="I59"/>
    </row>
    <row r="60" spans="1:9" x14ac:dyDescent="0.2">
      <c r="A60" s="1" t="s">
        <v>170</v>
      </c>
      <c r="B60" s="22" t="s">
        <v>171</v>
      </c>
      <c r="C60" s="23" t="s">
        <v>288</v>
      </c>
      <c r="D60" s="73">
        <f>'DOE25'!G97</f>
        <v>430212.5</v>
      </c>
      <c r="E60" s="23" t="s">
        <v>288</v>
      </c>
      <c r="F60" s="23" t="s">
        <v>288</v>
      </c>
      <c r="G60" s="23" t="s">
        <v>288</v>
      </c>
      <c r="H60" s="13">
        <f t="shared" si="3"/>
        <v>430212.5</v>
      </c>
      <c r="I60"/>
    </row>
    <row r="61" spans="1:9" ht="12" thickBot="1" x14ac:dyDescent="0.25">
      <c r="A61" s="1" t="s">
        <v>172</v>
      </c>
      <c r="B61" s="22" t="s">
        <v>173</v>
      </c>
      <c r="C61" s="73">
        <f>SUM('DOE25'!F98:F110)</f>
        <v>24670.22</v>
      </c>
      <c r="D61" s="73">
        <f>SUM('DOE25'!G98:G110)</f>
        <v>51874.9</v>
      </c>
      <c r="E61" s="73">
        <f>SUM('DOE25'!H98:H110)</f>
        <v>435130.23</v>
      </c>
      <c r="F61" s="73">
        <f>SUM('DOE25'!I98:I110)</f>
        <v>0</v>
      </c>
      <c r="G61" s="73">
        <f>SUM('DOE25'!J98:J110)</f>
        <v>0</v>
      </c>
      <c r="H61" s="13">
        <f t="shared" si="3"/>
        <v>511675.35</v>
      </c>
      <c r="I61"/>
    </row>
    <row r="62" spans="1:9" ht="12.75" thickTop="1" thickBot="1" x14ac:dyDescent="0.25">
      <c r="A62" s="28" t="s">
        <v>174</v>
      </c>
      <c r="B62" s="6"/>
      <c r="C62" s="93">
        <f>SUM(C57:C61)</f>
        <v>1430031.9700000002</v>
      </c>
      <c r="D62" s="93">
        <f>SUM(D57:D61)</f>
        <v>482087.4</v>
      </c>
      <c r="E62" s="93">
        <f>SUM(E57:E61)</f>
        <v>541660.23</v>
      </c>
      <c r="F62" s="93">
        <f>SUM(F57:F61)</f>
        <v>0</v>
      </c>
      <c r="G62" s="93">
        <f>SUM(G57:G61)</f>
        <v>53843.97</v>
      </c>
      <c r="H62" s="13">
        <f t="shared" si="3"/>
        <v>2507623.5700000003</v>
      </c>
      <c r="I62"/>
    </row>
    <row r="63" spans="1:9" ht="12" thickTop="1" x14ac:dyDescent="0.2">
      <c r="A63" s="28" t="s">
        <v>175</v>
      </c>
      <c r="B63" s="6"/>
      <c r="C63" s="21">
        <f>C56+C62</f>
        <v>31572224.969999999</v>
      </c>
      <c r="D63" s="21">
        <f>D56+D62</f>
        <v>482087.4</v>
      </c>
      <c r="E63" s="21">
        <f>E56+E62</f>
        <v>541660.23</v>
      </c>
      <c r="F63" s="21">
        <f>F56+F62</f>
        <v>0</v>
      </c>
      <c r="G63" s="21">
        <f>G56+G62</f>
        <v>53843.97</v>
      </c>
      <c r="H63" s="13">
        <f t="shared" si="3"/>
        <v>32649816.569999997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7600159.8099999996</v>
      </c>
      <c r="D66" s="23" t="s">
        <v>288</v>
      </c>
      <c r="E66" s="23" t="s">
        <v>288</v>
      </c>
      <c r="F66" s="23" t="s">
        <v>288</v>
      </c>
      <c r="G66" s="23" t="s">
        <v>288</v>
      </c>
      <c r="H66" s="13">
        <f t="shared" ref="H66:H81" si="4">SUM(C66:G66)</f>
        <v>7600159.8099999996</v>
      </c>
      <c r="I66"/>
    </row>
    <row r="67" spans="1:9" x14ac:dyDescent="0.2">
      <c r="A67" s="1" t="s">
        <v>767</v>
      </c>
      <c r="B67" s="6">
        <v>3112</v>
      </c>
      <c r="C67" s="73">
        <f>'DOE25'!F118</f>
        <v>3104100</v>
      </c>
      <c r="D67" s="23"/>
      <c r="E67" s="23"/>
      <c r="F67" s="23"/>
      <c r="G67" s="23"/>
      <c r="H67" s="13">
        <f t="shared" si="4"/>
        <v>3104100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13780.72</v>
      </c>
      <c r="D69" s="73">
        <f>'DOE25'!G120</f>
        <v>0</v>
      </c>
      <c r="E69" s="73">
        <f>'DOE25'!H120</f>
        <v>0</v>
      </c>
      <c r="F69" s="73">
        <f>'DOE25'!I120</f>
        <v>0</v>
      </c>
      <c r="G69" s="73">
        <f>'DOE25'!J120</f>
        <v>0</v>
      </c>
      <c r="H69" s="13">
        <f t="shared" si="4"/>
        <v>13780.72</v>
      </c>
      <c r="I69"/>
    </row>
    <row r="70" spans="1:9" ht="12" thickTop="1" x14ac:dyDescent="0.2">
      <c r="A70" s="28" t="s">
        <v>252</v>
      </c>
      <c r="B70" s="2"/>
      <c r="C70" s="97">
        <f>SUM(C66:C69)</f>
        <v>10718040.529999999</v>
      </c>
      <c r="D70" s="97">
        <f>D69</f>
        <v>0</v>
      </c>
      <c r="E70" s="97">
        <f>E69</f>
        <v>0</v>
      </c>
      <c r="F70" s="97">
        <f>F69</f>
        <v>0</v>
      </c>
      <c r="G70" s="97">
        <f>G69</f>
        <v>0</v>
      </c>
      <c r="H70" s="13">
        <f t="shared" si="4"/>
        <v>10718040.529999999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68497.5</v>
      </c>
      <c r="D72" s="23" t="s">
        <v>288</v>
      </c>
      <c r="E72" s="23" t="s">
        <v>288</v>
      </c>
      <c r="F72" s="73">
        <f>'DOE25'!I123</f>
        <v>0</v>
      </c>
      <c r="G72" s="23" t="s">
        <v>288</v>
      </c>
      <c r="H72" s="13">
        <f t="shared" si="4"/>
        <v>68497.5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565521.05000000005</v>
      </c>
      <c r="D75" s="23" t="s">
        <v>288</v>
      </c>
      <c r="E75" s="23" t="s">
        <v>288</v>
      </c>
      <c r="F75" s="23" t="s">
        <v>288</v>
      </c>
      <c r="G75" s="23" t="s">
        <v>288</v>
      </c>
      <c r="H75" s="13">
        <f t="shared" si="4"/>
        <v>565521.05000000005</v>
      </c>
      <c r="I75"/>
    </row>
    <row r="76" spans="1:9" x14ac:dyDescent="0.2">
      <c r="A76" s="1" t="s">
        <v>257</v>
      </c>
      <c r="B76" s="6" t="s">
        <v>179</v>
      </c>
      <c r="C76" s="73">
        <f>SUM('DOE25'!F127:F130)</f>
        <v>69465.64</v>
      </c>
      <c r="D76" s="23" t="s">
        <v>288</v>
      </c>
      <c r="E76" s="73">
        <f>SUM('DOE25'!H127:H130)</f>
        <v>0</v>
      </c>
      <c r="F76" s="73">
        <f>SUM('DOE25'!I127:I130)</f>
        <v>0</v>
      </c>
      <c r="G76" s="23" t="s">
        <v>288</v>
      </c>
      <c r="H76" s="13">
        <f t="shared" si="4"/>
        <v>69465.64</v>
      </c>
      <c r="I76"/>
    </row>
    <row r="77" spans="1:9" ht="12" thickBot="1" x14ac:dyDescent="0.25">
      <c r="A77" s="1" t="s">
        <v>258</v>
      </c>
      <c r="B77" s="6" t="s">
        <v>180</v>
      </c>
      <c r="C77" s="73">
        <f>SUM('DOE25'!F131:F135)</f>
        <v>0</v>
      </c>
      <c r="D77" s="73">
        <f>SUM('DOE25'!G131:G135)</f>
        <v>10743.05</v>
      </c>
      <c r="E77" s="73">
        <f>SUM('DOE25'!H131:H135)</f>
        <v>0</v>
      </c>
      <c r="F77" s="73">
        <f>SUM('DOE25'!I131:I135)</f>
        <v>0</v>
      </c>
      <c r="G77" s="73">
        <f>SUM('DOE25'!J131:J135)</f>
        <v>0</v>
      </c>
      <c r="H77" s="13">
        <f t="shared" si="4"/>
        <v>10743.05</v>
      </c>
      <c r="I77"/>
    </row>
    <row r="78" spans="1:9" ht="12.75" thickTop="1" thickBot="1" x14ac:dyDescent="0.25">
      <c r="A78" s="28" t="s">
        <v>259</v>
      </c>
      <c r="B78" s="6"/>
      <c r="C78" s="93">
        <f>SUM(C72:C77)</f>
        <v>703484.19000000006</v>
      </c>
      <c r="D78" s="93">
        <f>SUM(D72:D77)</f>
        <v>10743.05</v>
      </c>
      <c r="E78" s="93">
        <f>SUM(E72:E77)</f>
        <v>0</v>
      </c>
      <c r="F78" s="93">
        <f>SUM(F72:F77)</f>
        <v>0</v>
      </c>
      <c r="G78" s="93">
        <f>SUM(G72:G77)</f>
        <v>0</v>
      </c>
      <c r="H78" s="13">
        <f t="shared" si="4"/>
        <v>714227.24000000011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11421524.719999999</v>
      </c>
      <c r="D81" s="93">
        <f>SUM(D79:D80)+D78+D70</f>
        <v>10743.05</v>
      </c>
      <c r="E81" s="93">
        <f>SUM(E79:E80)+E78+E70</f>
        <v>0</v>
      </c>
      <c r="F81" s="93">
        <f>SUM(F79:F80)+F78+F70</f>
        <v>0</v>
      </c>
      <c r="G81" s="93">
        <f>SUM(G79:G80)+G78+G70</f>
        <v>0</v>
      </c>
      <c r="H81" s="93">
        <f t="shared" si="4"/>
        <v>11432267.77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47074.03</v>
      </c>
      <c r="D88" s="252">
        <f>SUM('DOE25'!G153:G162)</f>
        <v>207409.15</v>
      </c>
      <c r="E88" s="252">
        <f>SUM('DOE25'!H153:H162)</f>
        <v>2393166.73</v>
      </c>
      <c r="F88" s="252">
        <f>SUM('DOE25'!I153:I162)</f>
        <v>0</v>
      </c>
      <c r="G88" s="23" t="s">
        <v>288</v>
      </c>
      <c r="H88" s="13">
        <f t="shared" si="5"/>
        <v>2647649.91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47074.03</v>
      </c>
      <c r="D91" s="94">
        <f>SUM(D85:D90)</f>
        <v>207409.15</v>
      </c>
      <c r="E91" s="94">
        <f>SUM(E85:E90)</f>
        <v>2393166.73</v>
      </c>
      <c r="F91" s="94">
        <f>SUM(F85:F90)</f>
        <v>0</v>
      </c>
      <c r="G91" s="23" t="s">
        <v>288</v>
      </c>
      <c r="H91" s="13">
        <f t="shared" si="5"/>
        <v>2647649.91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2463.6999999999998</v>
      </c>
      <c r="E96" s="73">
        <f>'DOE25'!H180</f>
        <v>0</v>
      </c>
      <c r="F96" s="73">
        <f>'DOE25'!I180</f>
        <v>0</v>
      </c>
      <c r="G96" s="73">
        <f>'DOE25'!J180</f>
        <v>81000</v>
      </c>
      <c r="H96" s="13">
        <f t="shared" si="5"/>
        <v>83463.7</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35000</v>
      </c>
      <c r="D100" s="73">
        <f>SUM('DOE25'!G187:G188)</f>
        <v>0</v>
      </c>
      <c r="E100" s="73">
        <f>SUM('DOE25'!H187:H188)</f>
        <v>0</v>
      </c>
      <c r="F100" s="73">
        <f>SUM('DOE25'!I187:I188)</f>
        <v>0</v>
      </c>
      <c r="G100" s="23" t="s">
        <v>288</v>
      </c>
      <c r="H100" s="13">
        <f t="shared" si="5"/>
        <v>35000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35000</v>
      </c>
      <c r="D103" s="68">
        <f>SUM(D93:D102)</f>
        <v>2463.6999999999998</v>
      </c>
      <c r="E103" s="68">
        <f>SUM(E93:E102)</f>
        <v>0</v>
      </c>
      <c r="F103" s="68">
        <f>SUM(F93:F102)</f>
        <v>0</v>
      </c>
      <c r="G103" s="68">
        <f>SUM(G93:G102)</f>
        <v>81000</v>
      </c>
      <c r="H103" s="68">
        <f t="shared" si="5"/>
        <v>118463.7</v>
      </c>
    </row>
    <row r="104" spans="1:8" ht="12.75" thickTop="1" thickBot="1" x14ac:dyDescent="0.25">
      <c r="A104" s="32" t="s">
        <v>758</v>
      </c>
      <c r="C104" s="68">
        <f>C63+C81+C91+C103</f>
        <v>43075823.719999999</v>
      </c>
      <c r="D104" s="68">
        <f>D63+D81+D91+D103</f>
        <v>702703.29999999993</v>
      </c>
      <c r="E104" s="68">
        <f>E63+E81+E91+E103</f>
        <v>2934826.96</v>
      </c>
      <c r="F104" s="68">
        <f>F63+F81+F91+F103</f>
        <v>0</v>
      </c>
      <c r="G104" s="68">
        <f>G63+G81+G103</f>
        <v>134843.97</v>
      </c>
      <c r="H104" s="68">
        <f t="shared" si="5"/>
        <v>46848197.949999996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15136439.940000001</v>
      </c>
      <c r="D109" s="23" t="s">
        <v>288</v>
      </c>
      <c r="E109" s="73">
        <f>('DOE25'!L277)+('DOE25'!L296)+('DOE25'!L315)</f>
        <v>871186.15999999992</v>
      </c>
      <c r="F109" s="23" t="s">
        <v>288</v>
      </c>
      <c r="G109" s="23" t="s">
        <v>288</v>
      </c>
      <c r="H109" s="13">
        <f t="shared" ref="H109:H115" si="6">SUM(C109:G109)</f>
        <v>16007626.100000001</v>
      </c>
    </row>
    <row r="110" spans="1:8" x14ac:dyDescent="0.2">
      <c r="A110" t="s">
        <v>198</v>
      </c>
      <c r="B110" s="31" t="s">
        <v>199</v>
      </c>
      <c r="C110" s="73">
        <f>('DOE25'!L199)+('DOE25'!L217)+('DOE25'!L235)</f>
        <v>6643319.9499999993</v>
      </c>
      <c r="D110" s="23" t="s">
        <v>288</v>
      </c>
      <c r="E110" s="73">
        <f>('DOE25'!L278)+('DOE25'!L297)+('DOE25'!L316)</f>
        <v>617582.09</v>
      </c>
      <c r="F110" s="23" t="s">
        <v>288</v>
      </c>
      <c r="G110" s="23" t="s">
        <v>288</v>
      </c>
      <c r="H110" s="13">
        <f t="shared" si="6"/>
        <v>7260902.0399999991</v>
      </c>
    </row>
    <row r="111" spans="1:8" x14ac:dyDescent="0.2">
      <c r="A111" t="s">
        <v>200</v>
      </c>
      <c r="B111" s="31" t="s">
        <v>165</v>
      </c>
      <c r="C111" s="73">
        <f>('DOE25'!L200)+('DOE25'!L218)+('DOE25'!L236)</f>
        <v>1551574.99</v>
      </c>
      <c r="D111" s="23" t="s">
        <v>288</v>
      </c>
      <c r="E111" s="73">
        <f>('DOE25'!L279)+('DOE25'!L298)+('DOE25'!L317)</f>
        <v>193472.59</v>
      </c>
      <c r="F111" s="23" t="s">
        <v>288</v>
      </c>
      <c r="G111" s="23" t="s">
        <v>288</v>
      </c>
      <c r="H111" s="13">
        <f t="shared" si="6"/>
        <v>1745047.58</v>
      </c>
    </row>
    <row r="112" spans="1:8" x14ac:dyDescent="0.2">
      <c r="A112" t="s">
        <v>201</v>
      </c>
      <c r="B112" s="31" t="s">
        <v>167</v>
      </c>
      <c r="C112" s="73">
        <f>('DOE25'!L201)+('DOE25'!L219)+('DOE25'!L237)</f>
        <v>689590.35999999987</v>
      </c>
      <c r="D112" s="23" t="s">
        <v>288</v>
      </c>
      <c r="E112" s="73">
        <f>+('DOE25'!L280)+('DOE25'!L299)+('DOE25'!L318)</f>
        <v>53244.32</v>
      </c>
      <c r="F112" s="23" t="s">
        <v>288</v>
      </c>
      <c r="G112" s="23" t="s">
        <v>288</v>
      </c>
      <c r="H112" s="13">
        <f t="shared" si="6"/>
        <v>742834.67999999982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24020925.239999998</v>
      </c>
      <c r="D115" s="68">
        <f>SUM(D109:D114)</f>
        <v>0</v>
      </c>
      <c r="E115" s="68">
        <f>SUM(E109:E114)</f>
        <v>1735485.1600000001</v>
      </c>
      <c r="F115" s="68">
        <f>SUM(F109:F114)</f>
        <v>0</v>
      </c>
      <c r="G115" s="68">
        <f>SUM(G109:G114)</f>
        <v>0</v>
      </c>
      <c r="H115" s="68">
        <f t="shared" si="6"/>
        <v>25756410.399999999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4333212.8699999992</v>
      </c>
      <c r="D118" s="23" t="s">
        <v>288</v>
      </c>
      <c r="E118" s="73">
        <f>+('DOE25'!L282)+('DOE25'!L301)+('DOE25'!L320)</f>
        <v>102830.72</v>
      </c>
      <c r="F118" s="23" t="s">
        <v>288</v>
      </c>
      <c r="G118" s="23" t="s">
        <v>288</v>
      </c>
      <c r="H118" s="13">
        <f t="shared" ref="H118:H145" si="7">SUM(C118:G118)</f>
        <v>4436043.5899999989</v>
      </c>
    </row>
    <row r="119" spans="1:8" x14ac:dyDescent="0.2">
      <c r="A119" t="s">
        <v>208</v>
      </c>
      <c r="B119" s="31" t="s">
        <v>209</v>
      </c>
      <c r="C119" s="73">
        <f>('DOE25'!L204)+('DOE25'!L222)+('DOE25'!L240)</f>
        <v>842294.24</v>
      </c>
      <c r="D119" s="23" t="s">
        <v>288</v>
      </c>
      <c r="E119" s="73">
        <f>+('DOE25'!L283)+('DOE25'!L302)+('DOE25'!L321)</f>
        <v>259989.11</v>
      </c>
      <c r="F119" s="23" t="s">
        <v>288</v>
      </c>
      <c r="G119" s="23" t="s">
        <v>288</v>
      </c>
      <c r="H119" s="13">
        <f t="shared" si="7"/>
        <v>1102283.3500000001</v>
      </c>
    </row>
    <row r="120" spans="1:8" x14ac:dyDescent="0.2">
      <c r="A120" t="s">
        <v>210</v>
      </c>
      <c r="B120" s="31" t="s">
        <v>211</v>
      </c>
      <c r="C120" s="73">
        <f>('DOE25'!L205)+('DOE25'!L223)+('DOE25'!L241)</f>
        <v>2058024.3199999998</v>
      </c>
      <c r="D120" s="23" t="s">
        <v>288</v>
      </c>
      <c r="E120" s="73">
        <f>+('DOE25'!L284)+('DOE25'!L303)+('DOE25'!L322)</f>
        <v>166524.53</v>
      </c>
      <c r="F120" s="23" t="s">
        <v>288</v>
      </c>
      <c r="G120" s="23" t="s">
        <v>288</v>
      </c>
      <c r="H120" s="13">
        <f t="shared" si="7"/>
        <v>2224548.8499999996</v>
      </c>
    </row>
    <row r="121" spans="1:8" x14ac:dyDescent="0.2">
      <c r="A121" t="s">
        <v>212</v>
      </c>
      <c r="B121" s="31" t="s">
        <v>213</v>
      </c>
      <c r="C121" s="73">
        <f>('DOE25'!L206)+('DOE25'!L224)+('DOE25'!L242)</f>
        <v>2078624.3399999999</v>
      </c>
      <c r="D121" s="23" t="s">
        <v>288</v>
      </c>
      <c r="E121" s="73">
        <f>+('DOE25'!L285)+('DOE25'!L304)+('DOE25'!L323)</f>
        <v>386389.36</v>
      </c>
      <c r="F121" s="23" t="s">
        <v>288</v>
      </c>
      <c r="G121" s="23" t="s">
        <v>288</v>
      </c>
      <c r="H121" s="13">
        <f t="shared" si="7"/>
        <v>2465013.6999999997</v>
      </c>
    </row>
    <row r="122" spans="1:8" x14ac:dyDescent="0.2">
      <c r="A122" t="s">
        <v>214</v>
      </c>
      <c r="B122" s="31" t="s">
        <v>215</v>
      </c>
      <c r="C122" s="73">
        <f>('DOE25'!L207)+('DOE25'!L225)+('DOE25'!L243)</f>
        <v>782666.72</v>
      </c>
      <c r="D122" s="23" t="s">
        <v>288</v>
      </c>
      <c r="E122" s="73">
        <f>+('DOE25'!L286)+('DOE25'!L305)+('DOE25'!L324)</f>
        <v>0</v>
      </c>
      <c r="F122" s="23" t="s">
        <v>288</v>
      </c>
      <c r="G122" s="23" t="s">
        <v>288</v>
      </c>
      <c r="H122" s="13">
        <f t="shared" si="7"/>
        <v>782666.72</v>
      </c>
    </row>
    <row r="123" spans="1:8" x14ac:dyDescent="0.2">
      <c r="A123" t="s">
        <v>216</v>
      </c>
      <c r="B123" s="31" t="s">
        <v>217</v>
      </c>
      <c r="C123" s="73">
        <f>('DOE25'!L208)+('DOE25'!L226)+('DOE25'!L244)</f>
        <v>4040498.7799999993</v>
      </c>
      <c r="D123" s="23" t="s">
        <v>288</v>
      </c>
      <c r="E123" s="73">
        <f>+('DOE25'!L287)+('DOE25'!L306)+('DOE25'!L325)</f>
        <v>216045.45</v>
      </c>
      <c r="F123" s="23" t="s">
        <v>288</v>
      </c>
      <c r="G123" s="23" t="s">
        <v>288</v>
      </c>
      <c r="H123" s="13">
        <f t="shared" si="7"/>
        <v>4256544.2299999995</v>
      </c>
    </row>
    <row r="124" spans="1:8" x14ac:dyDescent="0.2">
      <c r="A124" t="s">
        <v>218</v>
      </c>
      <c r="B124" s="31" t="s">
        <v>219</v>
      </c>
      <c r="C124" s="73">
        <f>('DOE25'!L209)+('DOE25'!L227)+('DOE25'!L245+'DOE25'!L255)</f>
        <v>2466350.41</v>
      </c>
      <c r="D124" s="23" t="s">
        <v>288</v>
      </c>
      <c r="E124" s="73">
        <f>+('DOE25'!L288)+('DOE25'!L307)+('DOE25'!L326)</f>
        <v>19234.63</v>
      </c>
      <c r="F124" s="23" t="s">
        <v>288</v>
      </c>
      <c r="G124" s="23" t="s">
        <v>288</v>
      </c>
      <c r="H124" s="13">
        <f t="shared" si="7"/>
        <v>2485585.04</v>
      </c>
    </row>
    <row r="125" spans="1:8" x14ac:dyDescent="0.2">
      <c r="A125" t="s">
        <v>220</v>
      </c>
      <c r="B125" s="31" t="s">
        <v>221</v>
      </c>
      <c r="C125" s="73">
        <f>('DOE25'!L210)+('DOE25'!L228)+('DOE25'!L246)</f>
        <v>2012246.45</v>
      </c>
      <c r="D125" s="23" t="s">
        <v>288</v>
      </c>
      <c r="E125" s="73">
        <f>+('DOE25'!L289)+('DOE25'!L308)+('DOE25'!L327)</f>
        <v>17038.900000000001</v>
      </c>
      <c r="F125" s="23" t="s">
        <v>288</v>
      </c>
      <c r="G125" s="23" t="s">
        <v>288</v>
      </c>
      <c r="H125" s="13">
        <f t="shared" si="7"/>
        <v>2029285.3499999999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839122.71</v>
      </c>
      <c r="E127" s="23" t="s">
        <v>288</v>
      </c>
      <c r="F127" s="23" t="s">
        <v>288</v>
      </c>
      <c r="G127" s="23" t="s">
        <v>288</v>
      </c>
      <c r="H127" s="13">
        <f t="shared" si="7"/>
        <v>839122.71</v>
      </c>
    </row>
    <row r="128" spans="1:8" ht="12.75" thickTop="1" thickBot="1" x14ac:dyDescent="0.25">
      <c r="A128" s="32" t="s">
        <v>226</v>
      </c>
      <c r="C128" s="68">
        <f>SUM(C118:C127)</f>
        <v>18613918.129999999</v>
      </c>
      <c r="D128" s="68">
        <f>SUM(D118:D127)</f>
        <v>839122.71</v>
      </c>
      <c r="E128" s="68">
        <f>SUM(E118:E127)</f>
        <v>1168052.6999999997</v>
      </c>
      <c r="F128" s="68">
        <f>SUM(F118:F127)</f>
        <v>0</v>
      </c>
      <c r="G128" s="68">
        <f>SUM(G118:G127)</f>
        <v>0</v>
      </c>
      <c r="H128" s="68">
        <f t="shared" si="7"/>
        <v>20621093.539999999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615000</v>
      </c>
      <c r="D131" s="23" t="s">
        <v>288</v>
      </c>
      <c r="E131" s="92">
        <f>'DOE25'!L342</f>
        <v>0</v>
      </c>
      <c r="F131" s="23" t="s">
        <v>288</v>
      </c>
      <c r="G131" s="23" t="s">
        <v>288</v>
      </c>
      <c r="H131" s="13">
        <f t="shared" si="7"/>
        <v>615000</v>
      </c>
    </row>
    <row r="132" spans="1:8" x14ac:dyDescent="0.2">
      <c r="A132" t="s">
        <v>230</v>
      </c>
      <c r="B132" s="31">
        <v>5120</v>
      </c>
      <c r="C132" s="73">
        <f>'DOE25'!L262</f>
        <v>97031.63</v>
      </c>
      <c r="D132" s="23" t="s">
        <v>288</v>
      </c>
      <c r="E132" s="92">
        <f>'DOE25'!L343</f>
        <v>0</v>
      </c>
      <c r="F132" s="23" t="s">
        <v>288</v>
      </c>
      <c r="G132" s="23" t="s">
        <v>288</v>
      </c>
      <c r="H132" s="13">
        <f t="shared" si="7"/>
        <v>97031.63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2463.6999999999998</v>
      </c>
      <c r="D135" s="23" t="s">
        <v>288</v>
      </c>
      <c r="E135" s="92">
        <f>'DOE25'!L346</f>
        <v>0</v>
      </c>
      <c r="F135" s="23" t="s">
        <v>288</v>
      </c>
      <c r="G135" s="23" t="s">
        <v>288</v>
      </c>
      <c r="H135" s="13">
        <f t="shared" si="7"/>
        <v>2463.6999999999998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134843.97</v>
      </c>
      <c r="D139" s="23" t="s">
        <v>288</v>
      </c>
      <c r="E139" s="23" t="s">
        <v>288</v>
      </c>
      <c r="F139" s="23" t="s">
        <v>288</v>
      </c>
      <c r="G139" s="23" t="s">
        <v>288</v>
      </c>
      <c r="H139" s="13">
        <f t="shared" si="7"/>
        <v>134843.97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-53843.97</v>
      </c>
      <c r="D141" s="23" t="s">
        <v>288</v>
      </c>
      <c r="E141" s="23" t="s">
        <v>288</v>
      </c>
      <c r="F141" s="23" t="s">
        <v>288</v>
      </c>
      <c r="G141" s="23" t="s">
        <v>288</v>
      </c>
      <c r="H141" s="13">
        <f t="shared" si="7"/>
        <v>-53843.97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795495.33</v>
      </c>
      <c r="D144" s="98">
        <f>SUM(D130:D143)</f>
        <v>0</v>
      </c>
      <c r="E144" s="98">
        <f>SUM(E130:E143)</f>
        <v>0</v>
      </c>
      <c r="F144" s="98">
        <f>SUM(F130:F143)</f>
        <v>0</v>
      </c>
      <c r="G144" s="98">
        <f>SUM(G130:G143)</f>
        <v>0</v>
      </c>
      <c r="H144" s="98">
        <f t="shared" si="7"/>
        <v>795495.33</v>
      </c>
    </row>
    <row r="145" spans="1:9" ht="12.75" thickTop="1" thickBot="1" x14ac:dyDescent="0.25">
      <c r="A145" s="32" t="s">
        <v>244</v>
      </c>
      <c r="C145" s="68">
        <f>(C115+C128+C144)</f>
        <v>43430338.699999996</v>
      </c>
      <c r="D145" s="68">
        <f>(D115+D128+D144)</f>
        <v>839122.71</v>
      </c>
      <c r="E145" s="68">
        <f>(E115+E128+E144)</f>
        <v>2903537.86</v>
      </c>
      <c r="F145" s="68">
        <f>(F115+F128+F144)</f>
        <v>0</v>
      </c>
      <c r="G145" s="68">
        <f>(G115+G128+G144)</f>
        <v>0</v>
      </c>
      <c r="H145" s="68">
        <f t="shared" si="7"/>
        <v>47172999.269999996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0</v>
      </c>
      <c r="E151" s="110">
        <f>'DOE25'!I491</f>
        <v>0</v>
      </c>
      <c r="F151" s="110">
        <f>'DOE25'!J491</f>
        <v>0</v>
      </c>
      <c r="G151" s="23" t="s">
        <v>288</v>
      </c>
    </row>
    <row r="152" spans="1:9" x14ac:dyDescent="0.2">
      <c r="A152" s="21" t="s">
        <v>28</v>
      </c>
      <c r="B152" s="109" t="str">
        <f>'DOE25'!F492</f>
        <v>01/08</v>
      </c>
      <c r="C152" s="109" t="str">
        <f>'DOE25'!G492</f>
        <v>08/17</v>
      </c>
      <c r="D152" s="109">
        <f>'DOE25'!H492</f>
        <v>0</v>
      </c>
      <c r="E152" s="109">
        <f>'DOE25'!I492</f>
        <v>0</v>
      </c>
      <c r="F152" s="109">
        <f>'DOE25'!J492</f>
        <v>0</v>
      </c>
      <c r="G152" s="23" t="s">
        <v>288</v>
      </c>
    </row>
    <row r="153" spans="1:9" x14ac:dyDescent="0.2">
      <c r="A153" s="21" t="s">
        <v>29</v>
      </c>
      <c r="B153" s="109" t="str">
        <f>'DOE25'!F493</f>
        <v>01/28</v>
      </c>
      <c r="C153" s="109" t="str">
        <f>'DOE25'!G493</f>
        <v>08/27</v>
      </c>
      <c r="D153" s="109">
        <f>'DOE25'!H493</f>
        <v>0</v>
      </c>
      <c r="E153" s="109">
        <f>'DOE25'!I493</f>
        <v>0</v>
      </c>
      <c r="F153" s="109">
        <f>'DOE25'!J493</f>
        <v>0</v>
      </c>
      <c r="G153" s="23" t="s">
        <v>288</v>
      </c>
    </row>
    <row r="154" spans="1:9" x14ac:dyDescent="0.2">
      <c r="A154" s="21" t="s">
        <v>30</v>
      </c>
      <c r="B154" s="19">
        <f>'DOE25'!F494</f>
        <v>4393500</v>
      </c>
      <c r="C154" s="19">
        <f>'DOE25'!G494</f>
        <v>2553500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1095000</v>
      </c>
      <c r="C156" s="19">
        <f>'DOE25'!G496</f>
        <v>1275000</v>
      </c>
      <c r="D156" s="19">
        <f>'DOE25'!H496</f>
        <v>0</v>
      </c>
      <c r="E156" s="19">
        <f>'DOE25'!I496</f>
        <v>0</v>
      </c>
      <c r="F156" s="19">
        <f>'DOE25'!J496</f>
        <v>0</v>
      </c>
      <c r="G156" s="96">
        <f>SUM(B156:F156)</f>
        <v>2370000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220000</v>
      </c>
      <c r="C158" s="19">
        <f>'DOE25'!G498</f>
        <v>255000</v>
      </c>
      <c r="D158" s="19">
        <f>'DOE25'!H498</f>
        <v>0</v>
      </c>
      <c r="E158" s="19">
        <f>'DOE25'!I498</f>
        <v>0</v>
      </c>
      <c r="F158" s="19">
        <f>'DOE25'!J498</f>
        <v>0</v>
      </c>
      <c r="G158" s="96">
        <f t="shared" si="8"/>
        <v>475000</v>
      </c>
    </row>
    <row r="159" spans="1:9" x14ac:dyDescent="0.2">
      <c r="A159" s="21" t="s">
        <v>35</v>
      </c>
      <c r="B159" s="19">
        <f>'DOE25'!F499</f>
        <v>875000</v>
      </c>
      <c r="C159" s="19">
        <f>'DOE25'!G499</f>
        <v>1020000</v>
      </c>
      <c r="D159" s="19">
        <f>'DOE25'!H499</f>
        <v>0</v>
      </c>
      <c r="E159" s="19">
        <f>'DOE25'!I499</f>
        <v>0</v>
      </c>
      <c r="F159" s="19">
        <f>'DOE25'!J499</f>
        <v>0</v>
      </c>
      <c r="G159" s="96">
        <f t="shared" si="8"/>
        <v>1895000</v>
      </c>
    </row>
    <row r="160" spans="1:9" x14ac:dyDescent="0.2">
      <c r="A160" s="21" t="s">
        <v>36</v>
      </c>
      <c r="B160" s="19">
        <f>'DOE25'!F500</f>
        <v>68088.039999999994</v>
      </c>
      <c r="C160" s="19">
        <f>'DOE25'!G500</f>
        <v>104040</v>
      </c>
      <c r="D160" s="19">
        <f>'DOE25'!H500</f>
        <v>0</v>
      </c>
      <c r="E160" s="19">
        <f>'DOE25'!I500</f>
        <v>0</v>
      </c>
      <c r="F160" s="19">
        <f>'DOE25'!J500</f>
        <v>0</v>
      </c>
      <c r="G160" s="96">
        <f t="shared" si="8"/>
        <v>172128.03999999998</v>
      </c>
    </row>
    <row r="161" spans="1:7" x14ac:dyDescent="0.2">
      <c r="A161" s="21" t="s">
        <v>37</v>
      </c>
      <c r="B161" s="19">
        <f>'DOE25'!F501</f>
        <v>943088.04</v>
      </c>
      <c r="C161" s="19">
        <f>'DOE25'!G501</f>
        <v>1124040</v>
      </c>
      <c r="D161" s="19">
        <f>'DOE25'!H501</f>
        <v>0</v>
      </c>
      <c r="E161" s="19">
        <f>'DOE25'!I501</f>
        <v>0</v>
      </c>
      <c r="F161" s="19">
        <f>'DOE25'!J501</f>
        <v>0</v>
      </c>
      <c r="G161" s="96">
        <f t="shared" si="8"/>
        <v>2067128.04</v>
      </c>
    </row>
    <row r="162" spans="1:7" x14ac:dyDescent="0.2">
      <c r="A162" s="21" t="s">
        <v>38</v>
      </c>
      <c r="B162" s="19">
        <f>'DOE25'!F502</f>
        <v>220000</v>
      </c>
      <c r="C162" s="19">
        <f>'DOE25'!G502</f>
        <v>255000</v>
      </c>
      <c r="D162" s="19">
        <f>'DOE25'!H502</f>
        <v>0</v>
      </c>
      <c r="E162" s="19">
        <f>'DOE25'!I502</f>
        <v>0</v>
      </c>
      <c r="F162" s="19">
        <f>'DOE25'!J502</f>
        <v>0</v>
      </c>
      <c r="G162" s="96">
        <f t="shared" si="8"/>
        <v>475000</v>
      </c>
    </row>
    <row r="163" spans="1:7" x14ac:dyDescent="0.2">
      <c r="A163" s="21" t="s">
        <v>39</v>
      </c>
      <c r="B163" s="19">
        <f>'DOE25'!F503</f>
        <v>25456.26</v>
      </c>
      <c r="C163" s="19">
        <f>'DOE25'!G503</f>
        <v>45517.5</v>
      </c>
      <c r="D163" s="19">
        <f>'DOE25'!H503</f>
        <v>0</v>
      </c>
      <c r="E163" s="19">
        <f>'DOE25'!I503</f>
        <v>0</v>
      </c>
      <c r="F163" s="19">
        <f>'DOE25'!J503</f>
        <v>0</v>
      </c>
      <c r="G163" s="96">
        <f t="shared" si="8"/>
        <v>70973.759999999995</v>
      </c>
    </row>
    <row r="164" spans="1:7" x14ac:dyDescent="0.2">
      <c r="A164" s="21" t="s">
        <v>246</v>
      </c>
      <c r="B164" s="19">
        <f>'DOE25'!F504</f>
        <v>245456.26</v>
      </c>
      <c r="C164" s="19">
        <f>'DOE25'!G504</f>
        <v>300517.5</v>
      </c>
      <c r="D164" s="19">
        <f>'DOE25'!H504</f>
        <v>0</v>
      </c>
      <c r="E164" s="19">
        <f>'DOE25'!I504</f>
        <v>0</v>
      </c>
      <c r="F164" s="19">
        <f>'DOE25'!J504</f>
        <v>0</v>
      </c>
      <c r="G164" s="96">
        <f t="shared" si="8"/>
        <v>545973.76000000001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30" zoomScaleNormal="130" workbookViewId="0">
      <selection activeCell="B17" sqref="B1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Milford</v>
      </c>
    </row>
    <row r="3" spans="1:4" x14ac:dyDescent="0.2">
      <c r="B3" s="136" t="s">
        <v>1792</v>
      </c>
    </row>
    <row r="4" spans="1:4" x14ac:dyDescent="0.2">
      <c r="B4" t="s">
        <v>61</v>
      </c>
      <c r="C4" s="128">
        <f>IF('DOE25'!F666+'DOE25'!F671=0,0,ROUND('DOE25'!F673,0))</f>
        <v>18870</v>
      </c>
    </row>
    <row r="5" spans="1:4" x14ac:dyDescent="0.2">
      <c r="B5" t="s">
        <v>700</v>
      </c>
      <c r="C5" s="128">
        <f>IF('DOE25'!G666+'DOE25'!G671=0,0,ROUND('DOE25'!G673,0))</f>
        <v>22080</v>
      </c>
    </row>
    <row r="6" spans="1:4" x14ac:dyDescent="0.2">
      <c r="B6" t="s">
        <v>62</v>
      </c>
      <c r="C6" s="128">
        <f>IF('DOE25'!H666+'DOE25'!H671=0,0,ROUND('DOE25'!H673,0))</f>
        <v>22310</v>
      </c>
    </row>
    <row r="7" spans="1:4" x14ac:dyDescent="0.2">
      <c r="B7" t="s">
        <v>701</v>
      </c>
      <c r="C7" s="128">
        <f>IF('DOE25'!I666+'DOE25'!I671=0,0,ROUND('DOE25'!I673,0))</f>
        <v>20765</v>
      </c>
    </row>
    <row r="9" spans="1:4" x14ac:dyDescent="0.2">
      <c r="A9" s="135" t="s">
        <v>94</v>
      </c>
      <c r="B9" s="136" t="s">
        <v>1793</v>
      </c>
      <c r="C9" s="130" t="s">
        <v>720</v>
      </c>
      <c r="D9" s="130" t="s">
        <v>721</v>
      </c>
    </row>
    <row r="10" spans="1:4" x14ac:dyDescent="0.2">
      <c r="A10">
        <v>1100</v>
      </c>
      <c r="B10" t="s">
        <v>702</v>
      </c>
      <c r="C10" s="128">
        <f>ROUND('DOE25'!L198+'DOE25'!L216+'DOE25'!L234+'DOE25'!L277+'DOE25'!L296+'DOE25'!L315,0)</f>
        <v>16007626</v>
      </c>
      <c r="D10" s="131">
        <f>ROUND((C10/$C$28)*100,1)</f>
        <v>34.799999999999997</v>
      </c>
    </row>
    <row r="11" spans="1:4" x14ac:dyDescent="0.2">
      <c r="A11">
        <v>1200</v>
      </c>
      <c r="B11" t="s">
        <v>703</v>
      </c>
      <c r="C11" s="128">
        <f>ROUND('DOE25'!L199+'DOE25'!L217+'DOE25'!L235+'DOE25'!L278+'DOE25'!L297+'DOE25'!L316,0)</f>
        <v>7260902</v>
      </c>
      <c r="D11" s="131">
        <f>ROUND((C11/$C$28)*100,1)</f>
        <v>15.8</v>
      </c>
    </row>
    <row r="12" spans="1:4" x14ac:dyDescent="0.2">
      <c r="A12">
        <v>1300</v>
      </c>
      <c r="B12" t="s">
        <v>704</v>
      </c>
      <c r="C12" s="128">
        <f>ROUND('DOE25'!L200+'DOE25'!L218+'DOE25'!L236+'DOE25'!L279+'DOE25'!L298+'DOE25'!L317,0)</f>
        <v>1745048</v>
      </c>
      <c r="D12" s="131">
        <f>ROUND((C12/$C$28)*100,1)</f>
        <v>3.8</v>
      </c>
    </row>
    <row r="13" spans="1:4" x14ac:dyDescent="0.2">
      <c r="A13">
        <v>1400</v>
      </c>
      <c r="B13" t="s">
        <v>705</v>
      </c>
      <c r="C13" s="128">
        <f>ROUND('DOE25'!L201+'DOE25'!L219+'DOE25'!L237+'DOE25'!L280+'DOE25'!L299+'DOE25'!L318,0)</f>
        <v>742835</v>
      </c>
      <c r="D13" s="131">
        <f>ROUND((C13/$C$28)*100,1)</f>
        <v>1.6</v>
      </c>
    </row>
    <row r="14" spans="1:4" x14ac:dyDescent="0.2">
      <c r="D14" s="131"/>
    </row>
    <row r="15" spans="1:4" x14ac:dyDescent="0.2">
      <c r="A15">
        <v>2100</v>
      </c>
      <c r="B15" t="s">
        <v>706</v>
      </c>
      <c r="C15" s="128">
        <f>ROUND('DOE25'!L203+'DOE25'!L221+'DOE25'!L239+'DOE25'!L282+'DOE25'!L301+'DOE25'!L320,0)</f>
        <v>4436044</v>
      </c>
      <c r="D15" s="131">
        <f t="shared" ref="D15:D27" si="0">ROUND((C15/$C$28)*100,1)</f>
        <v>9.6</v>
      </c>
    </row>
    <row r="16" spans="1:4" x14ac:dyDescent="0.2">
      <c r="A16">
        <v>2200</v>
      </c>
      <c r="B16" t="s">
        <v>707</v>
      </c>
      <c r="C16" s="128">
        <f>ROUND('DOE25'!L204+'DOE25'!L222+'DOE25'!L240+'DOE25'!L283+'DOE25'!L302+'DOE25'!L321,0)</f>
        <v>1102283</v>
      </c>
      <c r="D16" s="131">
        <f t="shared" si="0"/>
        <v>2.4</v>
      </c>
    </row>
    <row r="17" spans="1:4" x14ac:dyDescent="0.2">
      <c r="A17" s="132" t="s">
        <v>723</v>
      </c>
      <c r="B17" t="s">
        <v>738</v>
      </c>
      <c r="C17" s="128">
        <f>ROUND('DOE25'!L205+'DOE25'!L210+'DOE25'!L223+'DOE25'!L228+'DOE25'!L241+'DOE25'!L246+'DOE25'!L284+'DOE25'!L289+'DOE25'!L303+'DOE25'!L308+'DOE25'!L322+'DOE25'!L327,0)</f>
        <v>4253834</v>
      </c>
      <c r="D17" s="131">
        <f t="shared" si="0"/>
        <v>9.1999999999999993</v>
      </c>
    </row>
    <row r="18" spans="1:4" x14ac:dyDescent="0.2">
      <c r="A18">
        <v>2400</v>
      </c>
      <c r="B18" t="s">
        <v>711</v>
      </c>
      <c r="C18" s="128">
        <f>ROUND('DOE25'!L206+'DOE25'!L224+'DOE25'!L242+'DOE25'!L285+'DOE25'!L304+'DOE25'!L323,0)</f>
        <v>2465014</v>
      </c>
      <c r="D18" s="131">
        <f t="shared" si="0"/>
        <v>5.4</v>
      </c>
    </row>
    <row r="19" spans="1:4" x14ac:dyDescent="0.2">
      <c r="A19">
        <v>2500</v>
      </c>
      <c r="B19" t="s">
        <v>708</v>
      </c>
      <c r="C19" s="128">
        <f>ROUND('DOE25'!L207+'DOE25'!L225+'DOE25'!L243+'DOE25'!L286+'DOE25'!L305+'DOE25'!L324,0)</f>
        <v>782667</v>
      </c>
      <c r="D19" s="131">
        <f t="shared" si="0"/>
        <v>1.7</v>
      </c>
    </row>
    <row r="20" spans="1:4" x14ac:dyDescent="0.2">
      <c r="A20">
        <v>2600</v>
      </c>
      <c r="B20" t="s">
        <v>709</v>
      </c>
      <c r="C20" s="128">
        <f>ROUND('DOE25'!L208+'DOE25'!L226+'DOE25'!L244+'DOE25'!L287+'DOE25'!L306+'DOE25'!L325,0)</f>
        <v>4256544</v>
      </c>
      <c r="D20" s="131">
        <f t="shared" si="0"/>
        <v>9.3000000000000007</v>
      </c>
    </row>
    <row r="21" spans="1:4" x14ac:dyDescent="0.2">
      <c r="A21">
        <v>2700</v>
      </c>
      <c r="B21" t="s">
        <v>710</v>
      </c>
      <c r="C21" s="128">
        <f>ROUND('DOE25'!L209+'DOE25'!L227+'DOE25'!L245+'DOE25'!L288+'DOE25'!L307+'DOE25'!L326,0)</f>
        <v>2485585</v>
      </c>
      <c r="D21" s="131">
        <f t="shared" si="0"/>
        <v>5.4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97032</v>
      </c>
      <c r="D25" s="131">
        <f t="shared" si="0"/>
        <v>0.2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357035.6</v>
      </c>
      <c r="D27" s="131">
        <f t="shared" si="0"/>
        <v>0.8</v>
      </c>
    </row>
    <row r="28" spans="1:4" x14ac:dyDescent="0.2">
      <c r="B28" s="135" t="s">
        <v>719</v>
      </c>
      <c r="C28" s="129">
        <f>SUM(C10:C27)</f>
        <v>45992449.600000001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45992449.600000001</v>
      </c>
    </row>
    <row r="31" spans="1:4" x14ac:dyDescent="0.2">
      <c r="B31" s="32"/>
      <c r="C31" s="129"/>
    </row>
    <row r="32" spans="1:4" x14ac:dyDescent="0.2">
      <c r="A32">
        <v>5100</v>
      </c>
      <c r="B32" s="32" t="s">
        <v>726</v>
      </c>
      <c r="C32" s="129">
        <f>ROUND('DOE25'!L261+'DOE25'!L342,0)</f>
        <v>615000</v>
      </c>
    </row>
    <row r="34" spans="1:4" x14ac:dyDescent="0.2">
      <c r="A34" s="135" t="s">
        <v>94</v>
      </c>
      <c r="B34" s="136" t="s">
        <v>1794</v>
      </c>
      <c r="C34" s="130" t="s">
        <v>720</v>
      </c>
      <c r="D34" s="130" t="s">
        <v>721</v>
      </c>
    </row>
    <row r="35" spans="1:4" x14ac:dyDescent="0.2">
      <c r="A35">
        <v>1100</v>
      </c>
      <c r="B35" s="71" t="s">
        <v>727</v>
      </c>
      <c r="C35" s="128">
        <f>ROUND('DOE25'!F60+'DOE25'!G60+'DOE25'!H60+'DOE25'!I60+'DOE25'!J60,0)</f>
        <v>30142193</v>
      </c>
      <c r="D35" s="131">
        <f t="shared" ref="D35:D40" si="1">ROUND((C35/$C$41)*100,1)</f>
        <v>65.2</v>
      </c>
    </row>
    <row r="36" spans="1:4" x14ac:dyDescent="0.2">
      <c r="B36" s="71" t="s">
        <v>739</v>
      </c>
      <c r="C36" s="128">
        <f>SUM('DOE25'!F112:J112)-SUM('DOE25'!G97:G110)+('DOE25'!F175+'DOE25'!F176+'DOE25'!I175+'DOE25'!I176)-C35</f>
        <v>2025536.1700000018</v>
      </c>
      <c r="D36" s="131">
        <f t="shared" si="1"/>
        <v>4.4000000000000004</v>
      </c>
    </row>
    <row r="37" spans="1:4" x14ac:dyDescent="0.2">
      <c r="A37" s="132" t="s">
        <v>831</v>
      </c>
      <c r="B37" s="71" t="s">
        <v>728</v>
      </c>
      <c r="C37" s="128">
        <f>ROUND('DOE25'!F117+'DOE25'!F118,0)</f>
        <v>10704260</v>
      </c>
      <c r="D37" s="131">
        <f t="shared" si="1"/>
        <v>23.1</v>
      </c>
    </row>
    <row r="38" spans="1:4" x14ac:dyDescent="0.2">
      <c r="A38" s="132" t="s">
        <v>734</v>
      </c>
      <c r="B38" s="71" t="s">
        <v>729</v>
      </c>
      <c r="C38" s="128">
        <f>ROUND(SUM('DOE25'!F140:J140)-SUM('DOE25'!F117:F119),0)</f>
        <v>728008</v>
      </c>
      <c r="D38" s="131">
        <f t="shared" si="1"/>
        <v>1.6</v>
      </c>
    </row>
    <row r="39" spans="1:4" x14ac:dyDescent="0.2">
      <c r="A39">
        <v>4000</v>
      </c>
      <c r="B39" s="71" t="s">
        <v>730</v>
      </c>
      <c r="C39" s="128">
        <f>ROUND('DOE25'!F170+'DOE25'!G170+'DOE25'!H170+'DOE25'!I170,0)</f>
        <v>2647650</v>
      </c>
      <c r="D39" s="131">
        <f t="shared" si="1"/>
        <v>5.7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46247647.170000002</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Milford</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126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47</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60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141</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198</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f>IF('School Level Expenditures'!$B$2='School Tables'!L50,'School Tables'!S50,"")</f>
        <v>47</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f>IF('School Level Expenditures'!$B$2='School Tables'!W63,'School Tables'!AD63,"")</f>
        <v>60</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f>IF('School Level Expenditures'!$B$2=A129,'School Tables'!H129,"")</f>
        <v>126</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f>IF('School Level Expenditures'!$B$2=A144,'School Tables'!H144,"")</f>
        <v>141</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f>IF('School Level Expenditures'!$B$2=A201,'School Tables'!H201,"")</f>
        <v>198</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2024-08-26T15:00:38Z</cp:lastPrinted>
  <dcterms:created xsi:type="dcterms:W3CDTF">1997-12-04T19:04:30Z</dcterms:created>
  <dcterms:modified xsi:type="dcterms:W3CDTF">2024-12-20T19:14:24Z</dcterms:modified>
</cp:coreProperties>
</file>