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6CE94036-C1FF-4D06-85A4-8D5FCFEA277D}"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40" i="14" l="1"/>
  <c r="O27" i="14"/>
  <c r="O6" i="14"/>
  <c r="D6" i="14"/>
  <c r="P6" i="14"/>
  <c r="P40" i="14"/>
  <c r="P27" i="14"/>
  <c r="K6" i="14"/>
  <c r="K27" i="14" l="1"/>
  <c r="K40" i="14"/>
  <c r="D40" i="14"/>
  <c r="D27" i="14"/>
  <c r="J592" i="1"/>
  <c r="I592" i="1"/>
  <c r="H592" i="1"/>
  <c r="G544" i="1"/>
  <c r="G543" i="1"/>
  <c r="G542" i="1"/>
  <c r="G524" i="1"/>
  <c r="G523" i="1"/>
  <c r="G522" i="1"/>
  <c r="G534" i="1"/>
  <c r="G533" i="1"/>
  <c r="G532" i="1"/>
  <c r="F522" i="1"/>
  <c r="C20" i="12" l="1"/>
  <c r="B20" i="12"/>
  <c r="B19" i="12"/>
  <c r="C12" i="12"/>
  <c r="B12" i="12"/>
  <c r="B11" i="12"/>
  <c r="B10" i="12"/>
  <c r="E13" i="17" l="1"/>
  <c r="E9" i="17"/>
  <c r="H605" i="1"/>
  <c r="G318" i="1"/>
  <c r="F318" i="1"/>
  <c r="I315" i="1"/>
  <c r="H315" i="1"/>
  <c r="G315" i="1"/>
  <c r="H282" i="1"/>
  <c r="I280" i="1"/>
  <c r="G280" i="1"/>
  <c r="F280" i="1"/>
  <c r="G296" i="1"/>
  <c r="F296" i="1"/>
  <c r="H278" i="1"/>
  <c r="F278" i="1"/>
  <c r="I277" i="1"/>
  <c r="G277" i="1"/>
  <c r="F277" i="1"/>
  <c r="G288" i="1"/>
  <c r="F288" i="1"/>
  <c r="I282" i="1"/>
  <c r="G282" i="1"/>
  <c r="J277" i="1"/>
  <c r="H277" i="1"/>
  <c r="H161" i="1"/>
  <c r="H162" i="1"/>
  <c r="H159" i="1"/>
  <c r="H155" i="1"/>
  <c r="H154" i="1"/>
  <c r="J96" i="1"/>
  <c r="J473" i="1"/>
  <c r="J469" i="1"/>
  <c r="F460" i="1"/>
  <c r="G460" i="1"/>
  <c r="H393" i="1"/>
  <c r="H390" i="1"/>
  <c r="J605" i="1"/>
  <c r="J594" i="1"/>
  <c r="F470" i="1" l="1"/>
  <c r="G469" i="1"/>
  <c r="J246" i="1"/>
  <c r="I246" i="1"/>
  <c r="H246" i="1"/>
  <c r="K241" i="1"/>
  <c r="I241" i="1"/>
  <c r="H241" i="1"/>
  <c r="G241" i="1"/>
  <c r="F241" i="1"/>
  <c r="H235" i="1"/>
  <c r="J228" i="1"/>
  <c r="I228" i="1"/>
  <c r="H228" i="1"/>
  <c r="K223" i="1"/>
  <c r="J223" i="1"/>
  <c r="I223" i="1"/>
  <c r="H223" i="1"/>
  <c r="G223" i="1"/>
  <c r="F223" i="1"/>
  <c r="H217" i="1"/>
  <c r="J210" i="1"/>
  <c r="I210" i="1"/>
  <c r="H210" i="1"/>
  <c r="K205" i="1"/>
  <c r="J205" i="1"/>
  <c r="I205" i="1"/>
  <c r="H205" i="1"/>
  <c r="G205" i="1"/>
  <c r="F205" i="1"/>
  <c r="H199" i="1"/>
  <c r="H240" i="1"/>
  <c r="G239" i="1"/>
  <c r="F239" i="1"/>
  <c r="G222" i="1"/>
  <c r="F222" i="1"/>
  <c r="F221" i="1"/>
  <c r="F216" i="1"/>
  <c r="G204" i="1"/>
  <c r="F204" i="1"/>
  <c r="F203" i="1"/>
  <c r="F50" i="1"/>
  <c r="F49" i="1"/>
  <c r="F28" i="1"/>
  <c r="F12" i="1"/>
  <c r="G97" i="1"/>
  <c r="F110" i="1"/>
  <c r="F120" i="1"/>
  <c r="F83" i="1"/>
  <c r="F57" i="1"/>
  <c r="F9" i="1"/>
  <c r="I244" i="1"/>
  <c r="G244" i="1"/>
  <c r="F244" i="1"/>
  <c r="I240" i="1"/>
  <c r="I239" i="1"/>
  <c r="G237" i="1"/>
  <c r="F237" i="1"/>
  <c r="H236" i="1"/>
  <c r="G236" i="1"/>
  <c r="F236" i="1"/>
  <c r="I235" i="1"/>
  <c r="J234" i="1"/>
  <c r="H234" i="1"/>
  <c r="J227" i="1"/>
  <c r="I227" i="1"/>
  <c r="I226" i="1"/>
  <c r="G226" i="1"/>
  <c r="F226" i="1"/>
  <c r="I222" i="1"/>
  <c r="H222" i="1"/>
  <c r="I221" i="1"/>
  <c r="J219" i="1"/>
  <c r="H219" i="1"/>
  <c r="G219" i="1"/>
  <c r="F219" i="1"/>
  <c r="H209" i="1"/>
  <c r="K209" i="1"/>
  <c r="J209" i="1"/>
  <c r="I204" i="1"/>
  <c r="H204" i="1"/>
  <c r="I203" i="1"/>
  <c r="H203" i="1"/>
  <c r="G201" i="1"/>
  <c r="F201" i="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40" i="2" l="1"/>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6" i="2"/>
  <c r="H143" i="2"/>
  <c r="H134" i="2"/>
  <c r="H132" i="2"/>
  <c r="H131" i="2"/>
  <c r="H113" i="2"/>
  <c r="H114" i="2"/>
  <c r="H97" i="2"/>
  <c r="H98" i="2"/>
  <c r="H99" i="2"/>
  <c r="H100" i="2"/>
  <c r="H101" i="2"/>
  <c r="H102" i="2"/>
  <c r="H94" i="2"/>
  <c r="H93" i="2"/>
  <c r="H89" i="2"/>
  <c r="H90" i="2"/>
  <c r="H87" i="2"/>
  <c r="H73" i="2"/>
  <c r="H74" i="2"/>
  <c r="H79" i="2"/>
  <c r="H80" i="2"/>
  <c r="H72" i="2"/>
  <c r="H43" i="2"/>
  <c r="H44" i="2"/>
  <c r="H45" i="2"/>
  <c r="H42" i="2"/>
  <c r="H40" i="2"/>
  <c r="H39" i="2"/>
  <c r="H38" i="2"/>
  <c r="H36" i="2"/>
  <c r="H35" i="2"/>
  <c r="H34" i="2"/>
  <c r="H22" i="2"/>
  <c r="H24" i="2"/>
  <c r="H25" i="2"/>
  <c r="H26" i="2"/>
  <c r="H28" i="2"/>
  <c r="H30" i="2"/>
  <c r="H10"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F61" i="15" s="1"/>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AF59" i="15" s="1"/>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15" i="15" l="1"/>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A6" i="14" a="1"/>
  <c r="A6" i="14" s="1"/>
  <c r="C45" i="2"/>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D39" i="2"/>
  <c r="G656" i="1"/>
  <c r="F48" i="2"/>
  <c r="E48" i="2"/>
  <c r="D48" i="2"/>
  <c r="C48" i="2"/>
  <c r="H48" i="2" s="1"/>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D18" i="13" s="1"/>
  <c r="C18" i="13" s="1"/>
  <c r="G19" i="13"/>
  <c r="H19" i="13"/>
  <c r="L254" i="1"/>
  <c r="H29" i="13"/>
  <c r="L359" i="1"/>
  <c r="L360" i="1"/>
  <c r="L361" i="1"/>
  <c r="I368" i="1"/>
  <c r="J291" i="1"/>
  <c r="J310" i="1"/>
  <c r="J329" i="1"/>
  <c r="K310" i="1"/>
  <c r="K329" i="1"/>
  <c r="L277" i="1"/>
  <c r="L278" i="1"/>
  <c r="L279" i="1"/>
  <c r="L280" i="1"/>
  <c r="L282" i="1"/>
  <c r="L283" i="1"/>
  <c r="L285"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H59" i="2" s="1"/>
  <c r="G61" i="2"/>
  <c r="F2" i="11"/>
  <c r="L614" i="1"/>
  <c r="H664" i="1" s="1"/>
  <c r="L613" i="1"/>
  <c r="G664" i="1" s="1"/>
  <c r="L612" i="1"/>
  <c r="F664" i="1" s="1"/>
  <c r="C40" i="10"/>
  <c r="F60" i="1"/>
  <c r="G60" i="1"/>
  <c r="D56" i="2" s="1"/>
  <c r="H60" i="1"/>
  <c r="E56" i="2" s="1"/>
  <c r="I60" i="1"/>
  <c r="F79" i="1"/>
  <c r="C57" i="2" s="1"/>
  <c r="H57" i="2" s="1"/>
  <c r="F94" i="1"/>
  <c r="C58" i="2" s="1"/>
  <c r="H58" i="2" s="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H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H9" i="2" s="1"/>
  <c r="C10" i="2"/>
  <c r="C11" i="2"/>
  <c r="H11" i="2" s="1"/>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H23" i="2" s="1"/>
  <c r="E23" i="2"/>
  <c r="F23" i="2"/>
  <c r="I451" i="1"/>
  <c r="J24" i="1" s="1"/>
  <c r="G23" i="2" s="1"/>
  <c r="C24" i="2"/>
  <c r="D24" i="2"/>
  <c r="E24" i="2"/>
  <c r="F24" i="2"/>
  <c r="C25" i="2"/>
  <c r="F25" i="2"/>
  <c r="C26" i="2"/>
  <c r="F26" i="2"/>
  <c r="C27" i="2"/>
  <c r="H27" i="2" s="1"/>
  <c r="D27" i="2"/>
  <c r="E27" i="2"/>
  <c r="F27" i="2"/>
  <c r="C28" i="2"/>
  <c r="D28" i="2"/>
  <c r="E28" i="2"/>
  <c r="F28" i="2"/>
  <c r="C29" i="2"/>
  <c r="D29" i="2"/>
  <c r="H29" i="2" s="1"/>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H61" i="2" s="1"/>
  <c r="D61" i="2"/>
  <c r="E61" i="2"/>
  <c r="F61" i="2"/>
  <c r="C66" i="2"/>
  <c r="H66" i="2" s="1"/>
  <c r="C67" i="2"/>
  <c r="H67" i="2" s="1"/>
  <c r="C69" i="2"/>
  <c r="H69" i="2" s="1"/>
  <c r="D69" i="2"/>
  <c r="D70" i="2" s="1"/>
  <c r="E69" i="2"/>
  <c r="E70" i="2" s="1"/>
  <c r="F69" i="2"/>
  <c r="F70" i="2" s="1"/>
  <c r="G69" i="2"/>
  <c r="G70" i="2" s="1"/>
  <c r="C72" i="2"/>
  <c r="F72" i="2"/>
  <c r="C73" i="2"/>
  <c r="F73" i="2"/>
  <c r="C74" i="2"/>
  <c r="C75" i="2"/>
  <c r="H75" i="2" s="1"/>
  <c r="C76" i="2"/>
  <c r="H76" i="2" s="1"/>
  <c r="E76" i="2"/>
  <c r="F76" i="2"/>
  <c r="C77" i="2"/>
  <c r="D77" i="2"/>
  <c r="E77" i="2"/>
  <c r="F77" i="2"/>
  <c r="G77" i="2"/>
  <c r="G78" i="2" s="1"/>
  <c r="C79" i="2"/>
  <c r="D79" i="2"/>
  <c r="E79" i="2"/>
  <c r="C80" i="2"/>
  <c r="E80" i="2"/>
  <c r="C85" i="2"/>
  <c r="H85" i="2" s="1"/>
  <c r="F85" i="2"/>
  <c r="C87" i="2"/>
  <c r="E87" i="2"/>
  <c r="F87" i="2"/>
  <c r="C89" i="2"/>
  <c r="D89" i="2"/>
  <c r="E89" i="2"/>
  <c r="F89" i="2"/>
  <c r="C90" i="2"/>
  <c r="C93" i="2"/>
  <c r="F93" i="2"/>
  <c r="C94" i="2"/>
  <c r="F94" i="2"/>
  <c r="D96" i="2"/>
  <c r="H96" i="2" s="1"/>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4"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H653" i="1"/>
  <c r="G654" i="1"/>
  <c r="H654" i="1"/>
  <c r="H655" i="1"/>
  <c r="H656" i="1"/>
  <c r="I170" i="1"/>
  <c r="E112" i="2" l="1"/>
  <c r="G62" i="2"/>
  <c r="H47" i="2"/>
  <c r="G409" i="1"/>
  <c r="H646" i="1" s="1"/>
  <c r="J646" i="1" s="1"/>
  <c r="G646" i="1"/>
  <c r="J652" i="1"/>
  <c r="H135" i="2"/>
  <c r="G477" i="1"/>
  <c r="B33" i="16" s="1"/>
  <c r="H12" i="2"/>
  <c r="D29" i="13"/>
  <c r="C29" i="13" s="1"/>
  <c r="G662" i="1"/>
  <c r="D78" i="2"/>
  <c r="H77" i="2"/>
  <c r="H13" i="2"/>
  <c r="C12" i="10"/>
  <c r="K36" i="14"/>
  <c r="K37" i="14" s="1"/>
  <c r="E13" i="13"/>
  <c r="C13" i="13" s="1"/>
  <c r="C125" i="2"/>
  <c r="H125" i="2" s="1"/>
  <c r="C13" i="10"/>
  <c r="D15" i="13"/>
  <c r="C15" i="13" s="1"/>
  <c r="C120" i="2"/>
  <c r="C119" i="2"/>
  <c r="C112" i="2"/>
  <c r="H112" i="2"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H123" i="2" l="1"/>
  <c r="H21" i="2"/>
  <c r="H624" i="1"/>
  <c r="J624" i="1" s="1"/>
  <c r="H50" i="2"/>
  <c r="H18" i="2"/>
  <c r="I662" i="1"/>
  <c r="D128" i="2"/>
  <c r="D145" i="2" s="1"/>
  <c r="H127" i="2"/>
  <c r="H91" i="2"/>
  <c r="H62" i="2"/>
  <c r="D51" i="2"/>
  <c r="H31" i="2"/>
  <c r="C81" i="2"/>
  <c r="H81" i="2" s="1"/>
  <c r="F194" i="1"/>
  <c r="G628" i="1" s="1"/>
  <c r="J628" i="1" s="1"/>
  <c r="H119" i="2"/>
  <c r="G25" i="14"/>
  <c r="H25" i="14" s="1"/>
  <c r="I25" i="14" s="1"/>
  <c r="H110" i="2"/>
  <c r="H121" i="2"/>
  <c r="H118" i="2"/>
  <c r="E115" i="2"/>
  <c r="H109" i="2"/>
  <c r="F144" i="2"/>
  <c r="H130" i="2"/>
  <c r="H661" i="1"/>
  <c r="H665" i="1" s="1"/>
  <c r="H194" i="1"/>
  <c r="G630" i="1" s="1"/>
  <c r="J630" i="1" s="1"/>
  <c r="H649" i="1"/>
  <c r="J649" i="1" s="1"/>
  <c r="C141" i="2"/>
  <c r="F51" i="2"/>
  <c r="G38" i="14"/>
  <c r="H38" i="14" s="1"/>
  <c r="I38" i="14" s="1"/>
  <c r="E104" i="2"/>
  <c r="C36" i="10"/>
  <c r="L435" i="1"/>
  <c r="G639" i="1" s="1"/>
  <c r="J639" i="1" s="1"/>
  <c r="G104" i="2"/>
  <c r="I194" i="1"/>
  <c r="G631" i="1" s="1"/>
  <c r="J631" i="1" s="1"/>
  <c r="G636" i="1"/>
  <c r="J636" i="1" s="1"/>
  <c r="G51" i="2"/>
  <c r="D104" i="2"/>
  <c r="L409" i="1"/>
  <c r="C27" i="10"/>
  <c r="L546" i="1"/>
  <c r="J626" i="1"/>
  <c r="F104" i="2"/>
  <c r="B14" i="16"/>
  <c r="B22" i="16" s="1"/>
  <c r="E33" i="13"/>
  <c r="D35" i="13" s="1"/>
  <c r="J648" i="1"/>
  <c r="L258" i="1"/>
  <c r="L272" i="1" s="1"/>
  <c r="C115" i="2"/>
  <c r="C63" i="2"/>
  <c r="C39" i="10"/>
  <c r="G33" i="13"/>
  <c r="C128" i="2"/>
  <c r="I462" i="1"/>
  <c r="H643" i="1" s="1"/>
  <c r="J643" i="1" s="1"/>
  <c r="G661" i="1"/>
  <c r="G665" i="1" s="1"/>
  <c r="C25" i="13"/>
  <c r="I33" i="13"/>
  <c r="K553" i="1"/>
  <c r="C51" i="2"/>
  <c r="G632" i="1"/>
  <c r="J632" i="1" s="1"/>
  <c r="G194" i="1"/>
  <c r="G629" i="1" s="1"/>
  <c r="J629" i="1" s="1"/>
  <c r="G627" i="1"/>
  <c r="J627" i="1" s="1"/>
  <c r="J52" i="1"/>
  <c r="H622" i="1" s="1"/>
  <c r="J622" i="1" s="1"/>
  <c r="C38" i="10"/>
  <c r="G633" i="1" l="1"/>
  <c r="J633" i="1" s="1"/>
  <c r="H51" i="2"/>
  <c r="C104" i="2"/>
  <c r="H104" i="2" s="1"/>
  <c r="H63" i="2"/>
  <c r="C144" i="2"/>
  <c r="C145" i="2" s="1"/>
  <c r="H141" i="2"/>
  <c r="H115" i="2"/>
  <c r="H668" i="1"/>
  <c r="H670" i="1"/>
  <c r="H673" i="1" s="1"/>
  <c r="C6" i="10" s="1"/>
  <c r="G670" i="1"/>
  <c r="G673" i="1" s="1"/>
  <c r="C5" i="10" s="1"/>
  <c r="F145" i="2"/>
  <c r="G668" i="1"/>
  <c r="G638" i="1"/>
  <c r="J638" i="1" s="1"/>
  <c r="H647" i="1"/>
  <c r="J647" i="1" s="1"/>
  <c r="C41" i="10"/>
  <c r="D38" i="10" s="1"/>
  <c r="H144" i="2" l="1"/>
  <c r="L286" i="1"/>
  <c r="L284" i="1"/>
  <c r="D37" i="10"/>
  <c r="D36" i="10"/>
  <c r="D35" i="10"/>
  <c r="D40" i="10"/>
  <c r="D39" i="10"/>
  <c r="E120" i="2" l="1"/>
  <c r="C17" i="10"/>
  <c r="L291" i="1"/>
  <c r="K291" i="1"/>
  <c r="E122" i="2"/>
  <c r="H122" i="2" s="1"/>
  <c r="C19" i="10"/>
  <c r="D41" i="10"/>
  <c r="K339" i="1" l="1"/>
  <c r="K353" i="1" s="1"/>
  <c r="H31" i="13"/>
  <c r="H33" i="13" s="1"/>
  <c r="G4" i="14"/>
  <c r="H4" i="14" s="1"/>
  <c r="I4" i="14" s="1"/>
  <c r="L339" i="1"/>
  <c r="L353" i="1" s="1"/>
  <c r="G634" i="1" s="1"/>
  <c r="F661" i="1"/>
  <c r="C28" i="10"/>
  <c r="H120" i="2"/>
  <c r="E128" i="2"/>
  <c r="D31" i="13" l="1"/>
  <c r="C31" i="13" s="1"/>
  <c r="D23" i="10"/>
  <c r="D18" i="10"/>
  <c r="D21" i="10"/>
  <c r="D25" i="10"/>
  <c r="D24" i="10"/>
  <c r="D26" i="10"/>
  <c r="C30" i="10"/>
  <c r="D16" i="10"/>
  <c r="D13" i="10"/>
  <c r="D20" i="10"/>
  <c r="D11" i="10"/>
  <c r="D10" i="10"/>
  <c r="D22" i="10"/>
  <c r="D12" i="10"/>
  <c r="D27" i="10"/>
  <c r="D15" i="10"/>
  <c r="F665" i="1"/>
  <c r="I661" i="1"/>
  <c r="I665" i="1" s="1"/>
  <c r="I668" i="1" s="1"/>
  <c r="J634" i="1"/>
  <c r="H657" i="1"/>
  <c r="H128" i="2"/>
  <c r="E145" i="2"/>
  <c r="H145" i="2" s="1"/>
  <c r="D17" i="10"/>
  <c r="D19" i="10"/>
  <c r="D33" i="13" l="1"/>
  <c r="D36" i="13" s="1"/>
  <c r="D28" i="10"/>
  <c r="F670" i="1"/>
  <c r="I670" i="1" s="1"/>
  <c r="I673" i="1" s="1"/>
  <c r="C7" i="10" s="1"/>
  <c r="F668" i="1"/>
  <c r="F673" i="1" l="1"/>
  <c r="C4"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<sst xmlns="http://schemas.openxmlformats.org/spreadsheetml/2006/main" count="6640" uniqueCount="1842">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</sst>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1252</v>
      </c>
      <c r="B2">
        <f>INDEX('School Tables'!$AH$3:$AH$213,MATCH('DOE25'!A2,'School Tables'!$AJ$3:$AJ$213,0))</f>
        <v>359</v>
      </c>
      <c r="C2">
        <f>INDEX('School Tables'!$AI$3:$AI$213,MATCH('DOE25'!A2,'School Tables'!$AJ$3:$AJ$213,0))</f>
        <v>359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2044080.76</f>
        <v>2044080.76</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779597.04</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201699.77+80895.59+19368.52+8898.84+57002.77+950</f>
        <v>368815.49000000005</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25616.720000000001</v>
      </c>
      <c r="H13" s="18">
        <v>190779.42</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3325.6</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2416221.85</v>
      </c>
      <c r="G19" s="38">
        <f>SUM(G9:G18)</f>
        <v>25616.720000000001</v>
      </c>
      <c r="H19" s="38">
        <f>SUM(H9:H18)</f>
        <v>190779.42</v>
      </c>
      <c r="I19" s="38">
        <f>SUM(I9:I18)</f>
        <v>0</v>
      </c>
      <c r="J19" s="38">
        <f>SUM(J9:J18)</f>
        <v>779597.04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v>9790.7199999999993</v>
      </c>
      <c r="H22" s="18">
        <v>190779.42</v>
      </c>
      <c r="I22" s="18"/>
      <c r="J22" s="13">
        <f>SUM(I449)</f>
        <v>166165.69</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182823.95-1998.86+409061.8+3109.26+191600.43+750+24351.63+63544.43-14162.66-230.96+788.46+3354.62-523.94+4+139.23+4+1551.73+495276.5</f>
        <v>1359443.62</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15826</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1359443.62</v>
      </c>
      <c r="G32" s="38">
        <f>SUM(G22:G31)</f>
        <v>25616.720000000001</v>
      </c>
      <c r="H32" s="38">
        <f>SUM(H22:H31)</f>
        <v>190779.42</v>
      </c>
      <c r="I32" s="38">
        <f>SUM(I22:I31)</f>
        <v>0</v>
      </c>
      <c r="J32" s="38">
        <f>SUM(J22:J31)</f>
        <v>166165.69</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613431.35</v>
      </c>
      <c r="K48" s="23" t="s">
        <v>288</v>
      </c>
      <c r="L48" s="23" t="s">
        <v>288</v>
      </c>
      <c r="M48" s="8"/>
      <c r="N48" s="164"/>
    </row>
    <row r="49" spans="1:14" s="3" customFormat="1" ht="12.2" customHeight="1" x14ac:dyDescent="0.15">
      <c r="A49" s="1" t="s">
        <v>855</v>
      </c>
      <c r="B49" s="2" t="s">
        <v>289</v>
      </c>
      <c r="C49" s="6">
        <v>34</v>
      </c>
      <c r="D49" s="2"/>
      <c r="E49" s="6">
        <v>753</v>
      </c>
      <c r="F49" s="18">
        <f>16644.93+50000+10000</f>
        <v>76644.929999999993</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2214522.08+201699.77-1359443.62-76644.93</f>
        <v>980133.3</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1056778.23</v>
      </c>
      <c r="G51" s="38">
        <f>SUM(G35:G50)</f>
        <v>0</v>
      </c>
      <c r="H51" s="38">
        <f>SUM(H35:H50)</f>
        <v>0</v>
      </c>
      <c r="I51" s="38">
        <f>SUM(I35:I50)</f>
        <v>0</v>
      </c>
      <c r="J51" s="38">
        <f>SUM(J35:J50)</f>
        <v>613431.35</v>
      </c>
      <c r="K51" s="42" t="s">
        <v>288</v>
      </c>
      <c r="L51" s="42" t="s">
        <v>288</v>
      </c>
      <c r="N51" s="130"/>
    </row>
    <row r="52" spans="1:14" s="3" customFormat="1" ht="12.2" customHeight="1" thickTop="1" x14ac:dyDescent="0.15">
      <c r="A52" s="35" t="s">
        <v>455</v>
      </c>
      <c r="B52" s="36" t="s">
        <v>289</v>
      </c>
      <c r="C52" s="6">
        <v>37</v>
      </c>
      <c r="D52" s="36" t="s">
        <v>653</v>
      </c>
      <c r="E52" s="36"/>
      <c r="F52" s="38">
        <f>F51+F32</f>
        <v>2416221.85</v>
      </c>
      <c r="G52" s="38">
        <f>G51+G32</f>
        <v>25616.720000000001</v>
      </c>
      <c r="H52" s="38">
        <f>H51+H32</f>
        <v>190779.42</v>
      </c>
      <c r="I52" s="38">
        <f>I51+I32</f>
        <v>0</v>
      </c>
      <c r="J52" s="38">
        <f>J51+J32</f>
        <v>779597.04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5972053</f>
        <v>5972053</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5972053</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57660.52</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57660.52</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f>13055.61-9946.6</f>
        <v>3109.01</v>
      </c>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3109.01</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c r="G96" s="18"/>
      <c r="H96" s="18"/>
      <c r="I96" s="18"/>
      <c r="J96" s="18">
        <f>8060.58+8212.36</f>
        <v>16272.94</v>
      </c>
      <c r="K96" s="23" t="s">
        <v>288</v>
      </c>
      <c r="L96" s="23" t="s">
        <v>288</v>
      </c>
      <c r="M96" s="8"/>
      <c r="N96" s="164"/>
    </row>
    <row r="97" spans="1:14" s="3" customFormat="1" ht="12.2" customHeight="1" x14ac:dyDescent="0.15">
      <c r="A97" s="1" t="s">
        <v>503</v>
      </c>
      <c r="B97" s="2" t="s">
        <v>315</v>
      </c>
      <c r="C97" s="6">
        <v>12</v>
      </c>
      <c r="D97" s="2" t="s">
        <v>430</v>
      </c>
      <c r="E97" s="6">
        <v>1600</v>
      </c>
      <c r="F97" s="23" t="s">
        <v>288</v>
      </c>
      <c r="G97" s="18">
        <f>32697.26+80323.06</f>
        <v>113020.31999999999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v>1300</v>
      </c>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11150.76+32697.76+4677.39+31939.18+201.27-8148.44</f>
        <v>72517.919999999998</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73817.919999999998</v>
      </c>
      <c r="G111" s="38">
        <f>SUM(G96:G110)</f>
        <v>113020.31999999999</v>
      </c>
      <c r="H111" s="38">
        <f>SUM(H96:H110)</f>
        <v>0</v>
      </c>
      <c r="I111" s="38">
        <f>SUM(I96:I110)</f>
        <v>0</v>
      </c>
      <c r="J111" s="38">
        <f>SUM(J96:J110)</f>
        <v>16272.94</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6106640.4499999993</v>
      </c>
      <c r="G112" s="38">
        <f>G60+G111</f>
        <v>113020.31999999999</v>
      </c>
      <c r="H112" s="38">
        <f>H60+H79+H94+H111</f>
        <v>0</v>
      </c>
      <c r="I112" s="38">
        <f>I60+I111</f>
        <v>0</v>
      </c>
      <c r="J112" s="38">
        <f>J60+J111</f>
        <v>16272.94</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3055909.84</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1027685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8148.44+936.16</f>
        <v>9084.6</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4092679.44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246164.21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9946.6</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6253.66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256110.81</v>
      </c>
      <c r="G136" s="38">
        <f>SUM(G123:G135)</f>
        <v>6253.66</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4348790.25</v>
      </c>
      <c r="G140" s="38">
        <f>G121+SUM(G136:G137)</f>
        <v>6253.66</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85302.399999999994</v>
      </c>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85302.399999999994</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52364.36+107898.11</f>
        <v>160262.47</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9552.86+1619.15+9617.3</f>
        <v>20789.309999999998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147960.51</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21932.33+25271.55+41756.42+91155.67</f>
        <v>180115.97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22916.31+24456.95+25715.65+79698.42+840.04+869.9+409.47</f>
        <v>154906.74000000002</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88425.14+170833.93+2662.07</f>
        <v>261921.14</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147960.51</v>
      </c>
      <c r="H163" s="38">
        <f>SUM(H150:H162)</f>
        <v>777995.63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85302.399999999994</v>
      </c>
      <c r="G170" s="38">
        <f>G147+G163+SUM(G164:G169)</f>
        <v>147960.51</v>
      </c>
      <c r="H170" s="38">
        <f>H147+H163+SUM(H164:H169)</f>
        <v>777995.63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135988.6</v>
      </c>
      <c r="H180" s="18"/>
      <c r="I180" s="18"/>
      <c r="J180" s="18">
        <v>121000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135988.6</v>
      </c>
      <c r="H184" s="38">
        <f>SUM(H180:H183)</f>
        <v>0</v>
      </c>
      <c r="I184" s="38">
        <f>SUM(I180:I183)</f>
        <v>0</v>
      </c>
      <c r="J184" s="38">
        <f>SUM(J180:J183)</f>
        <v>121000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135988.6</v>
      </c>
      <c r="H193" s="38">
        <f>+H184+SUM(H189:H192)</f>
        <v>0</v>
      </c>
      <c r="I193" s="38">
        <f>I178+I184+SUM(I189:I192)</f>
        <v>0</v>
      </c>
      <c r="J193" s="38">
        <f>J184</f>
        <v>121000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10540733.1</v>
      </c>
      <c r="G194" s="38">
        <f>G112+G140+G170+G193</f>
        <v>403223.08999999997</v>
      </c>
      <c r="H194" s="38">
        <f>H112+H140+H170+H193</f>
        <v>777995.63</v>
      </c>
      <c r="I194" s="38">
        <f>I112+I140+I170+I193</f>
        <v>0</v>
      </c>
      <c r="J194" s="38">
        <f>J112+J140+J193</f>
        <v>137272.94</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1008740.76</v>
      </c>
      <c r="G198" s="18">
        <v>475124.04</v>
      </c>
      <c r="H198" s="18"/>
      <c r="I198" s="18">
        <v>46752.480000000003</v>
      </c>
      <c r="J198" s="18">
        <v>3045.12</v>
      </c>
      <c r="K198" s="18"/>
      <c r="L198" s="13">
        <f>SUM(F198:K198)</f>
        <v>1533662.4000000001</v>
      </c>
      <c r="M198" s="8"/>
      <c r="N198" s="164"/>
    </row>
    <row r="199" spans="1:14" s="3" customFormat="1" ht="12.2" customHeight="1" x14ac:dyDescent="0.15">
      <c r="A199" s="1" t="s">
        <v>439</v>
      </c>
      <c r="B199" s="2" t="s">
        <v>341</v>
      </c>
      <c r="C199" s="2" t="s">
        <v>291</v>
      </c>
      <c r="D199" s="2" t="s">
        <v>431</v>
      </c>
      <c r="E199" s="6">
        <v>1200</v>
      </c>
      <c r="F199" s="18">
        <v>549911.69999999995</v>
      </c>
      <c r="G199" s="18">
        <v>302650.15000000002</v>
      </c>
      <c r="H199" s="18">
        <f>3200+742603.02+275+71.5</f>
        <v>746149.52</v>
      </c>
      <c r="I199" s="18">
        <v>49.88</v>
      </c>
      <c r="J199" s="18"/>
      <c r="K199" s="18">
        <v>627.5</v>
      </c>
      <c r="L199" s="13">
        <f>SUM(F199:K199)</f>
        <v>1599388.75</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17684.99</f>
        <v>17684.990000000002</v>
      </c>
      <c r="G201" s="18">
        <f>1323.45+797.39</f>
        <v>2120.84</v>
      </c>
      <c r="H201" s="18">
        <v>7060</v>
      </c>
      <c r="I201" s="18"/>
      <c r="J201" s="18"/>
      <c r="K201" s="18"/>
      <c r="L201" s="13">
        <f>SUM(F201:K201)</f>
        <v>26865.83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62348+56525.56</f>
        <v>118873.56</v>
      </c>
      <c r="G203" s="18">
        <v>58252.62</v>
      </c>
      <c r="H203" s="18">
        <f>95+75+0</f>
        <v>170</v>
      </c>
      <c r="I203" s="18">
        <f>319.54</f>
        <v>319.54000000000002</v>
      </c>
      <c r="J203" s="18"/>
      <c r="K203" s="18">
        <v>149</v>
      </c>
      <c r="L203" s="13">
        <f t="shared" ref="L203:L209" si="0">SUM(F203:K203)</f>
        <v>177764.72</v>
      </c>
      <c r="M203" s="8"/>
      <c r="N203" s="164"/>
    </row>
    <row r="204" spans="1:14" s="3" customFormat="1" ht="12.2" customHeight="1" x14ac:dyDescent="0.15">
      <c r="A204" s="1" t="s">
        <v>443</v>
      </c>
      <c r="B204" s="2" t="s">
        <v>341</v>
      </c>
      <c r="C204" s="2" t="s">
        <v>295</v>
      </c>
      <c r="D204" s="2" t="s">
        <v>431</v>
      </c>
      <c r="E204" s="6">
        <v>2200</v>
      </c>
      <c r="F204" s="18">
        <f>49931</f>
        <v>49931</v>
      </c>
      <c r="G204" s="18">
        <f>4100+543.07+49.28+164.32+4133.54+9705.49+7155</f>
        <v>25850.699999999997</v>
      </c>
      <c r="H204" s="18">
        <f>400+300.21+1273</f>
        <v>1973.21</v>
      </c>
      <c r="I204" s="18">
        <f>958.99+1972.24+2902.97</f>
        <v>5834.2</v>
      </c>
      <c r="J204" s="18"/>
      <c r="K204" s="18"/>
      <c r="L204" s="13">
        <f t="shared" si="0"/>
        <v>83589.11</v>
      </c>
      <c r="M204" s="8"/>
      <c r="N204" s="164"/>
    </row>
    <row r="205" spans="1:14" s="3" customFormat="1" ht="12.2" customHeight="1" x14ac:dyDescent="0.15">
      <c r="A205" s="1" t="s">
        <v>444</v>
      </c>
      <c r="B205" s="2" t="s">
        <v>341</v>
      </c>
      <c r="C205" s="2" t="s">
        <v>296</v>
      </c>
      <c r="D205" s="2" t="s">
        <v>431</v>
      </c>
      <c r="E205" s="6">
        <v>2300</v>
      </c>
      <c r="F205" s="18">
        <f>4152.88+58650.02+33317.38+50482.59</f>
        <v>146602.87</v>
      </c>
      <c r="G205" s="18">
        <f>367.94+40067.67+1317.04+48.91+473.6+4237.09+78.41+2359.77+3735.69+7935.33+4223.95+6816.03</f>
        <v>71661.430000000008</v>
      </c>
      <c r="H205" s="18">
        <f>32791.97+7694.07+283.34+337.68+511.4+4993.4+62.5+5310.38+1102.07+516.29</f>
        <v>53603.1</v>
      </c>
      <c r="I205" s="18">
        <f>685</f>
        <v>685</v>
      </c>
      <c r="J205" s="18">
        <f>378.5</f>
        <v>378.5</v>
      </c>
      <c r="K205" s="18">
        <f>1504.4+955.15+122.65</f>
        <v>2582.2000000000003</v>
      </c>
      <c r="L205" s="13">
        <f t="shared" si="0"/>
        <v>275513.09999999998</v>
      </c>
      <c r="M205" s="8"/>
      <c r="N205" s="164"/>
    </row>
    <row r="206" spans="1:14" s="3" customFormat="1" ht="12.2" customHeight="1" x14ac:dyDescent="0.15">
      <c r="A206" s="1" t="s">
        <v>445</v>
      </c>
      <c r="B206" s="2" t="s">
        <v>341</v>
      </c>
      <c r="C206" s="2" t="s">
        <v>297</v>
      </c>
      <c r="D206" s="2" t="s">
        <v>431</v>
      </c>
      <c r="E206" s="6">
        <v>2400</v>
      </c>
      <c r="F206" s="18">
        <v>193000.47</v>
      </c>
      <c r="G206" s="18">
        <v>110736.71</v>
      </c>
      <c r="H206" s="18">
        <v>17160.060000000001</v>
      </c>
      <c r="I206" s="18">
        <v>5755.33</v>
      </c>
      <c r="J206" s="18"/>
      <c r="K206" s="18">
        <v>1017.53</v>
      </c>
      <c r="L206" s="13">
        <f t="shared" si="0"/>
        <v>327670.10000000003</v>
      </c>
      <c r="M206" s="8"/>
      <c r="N206" s="164"/>
    </row>
    <row r="207" spans="1:14" s="3" customFormat="1" ht="12.2" customHeight="1" x14ac:dyDescent="0.15">
      <c r="A207" s="1" t="s">
        <v>446</v>
      </c>
      <c r="B207" s="2" t="s">
        <v>341</v>
      </c>
      <c r="C207" s="2" t="s">
        <v>298</v>
      </c>
      <c r="D207" s="2" t="s">
        <v>431</v>
      </c>
      <c r="E207" s="6">
        <v>2500</v>
      </c>
      <c r="F207" s="18"/>
      <c r="G207" s="18">
        <v>44489.5</v>
      </c>
      <c r="H207" s="18"/>
      <c r="I207" s="18"/>
      <c r="J207" s="18"/>
      <c r="K207" s="18"/>
      <c r="L207" s="13">
        <f t="shared" si="0"/>
        <v>44489.5</v>
      </c>
      <c r="M207" s="8"/>
      <c r="N207" s="164"/>
    </row>
    <row r="208" spans="1:14" s="3" customFormat="1" ht="12.2" customHeight="1" x14ac:dyDescent="0.15">
      <c r="A208" s="1" t="s">
        <v>447</v>
      </c>
      <c r="B208" s="2" t="s">
        <v>341</v>
      </c>
      <c r="C208" s="2" t="s">
        <v>299</v>
      </c>
      <c r="D208" s="2" t="s">
        <v>431</v>
      </c>
      <c r="E208" s="6">
        <v>2600</v>
      </c>
      <c r="F208" s="18">
        <v>152502.94</v>
      </c>
      <c r="G208" s="18">
        <v>94160.73</v>
      </c>
      <c r="H208" s="18">
        <v>145249.70000000001</v>
      </c>
      <c r="I208" s="18">
        <v>115649.93</v>
      </c>
      <c r="J208" s="18">
        <v>5417</v>
      </c>
      <c r="K208" s="18"/>
      <c r="L208" s="13">
        <f t="shared" si="0"/>
        <v>512980.3</v>
      </c>
      <c r="M208" s="8"/>
      <c r="N208" s="164"/>
    </row>
    <row r="209" spans="1:14" s="3" customFormat="1" ht="12.2" customHeight="1" x14ac:dyDescent="0.15">
      <c r="A209" s="1" t="s">
        <v>448</v>
      </c>
      <c r="B209" s="2" t="s">
        <v>341</v>
      </c>
      <c r="C209" s="2" t="s">
        <v>300</v>
      </c>
      <c r="D209" s="2" t="s">
        <v>431</v>
      </c>
      <c r="E209" s="6">
        <v>2700</v>
      </c>
      <c r="F209" s="18">
        <v>108094.43</v>
      </c>
      <c r="G209" s="18">
        <v>39446.51</v>
      </c>
      <c r="H209" s="18">
        <f>70397.31+35.08</f>
        <v>70432.39</v>
      </c>
      <c r="I209" s="18">
        <v>27249.47</v>
      </c>
      <c r="J209" s="18">
        <f>1760.5</f>
        <v>1760.5</v>
      </c>
      <c r="K209" s="18">
        <f>1067.92</f>
        <v>1067.92</v>
      </c>
      <c r="L209" s="13">
        <f t="shared" si="0"/>
        <v>248051.22000000003</v>
      </c>
      <c r="M209" s="8"/>
      <c r="N209" s="164"/>
    </row>
    <row r="210" spans="1:14" s="3" customFormat="1" ht="12.2" customHeight="1" x14ac:dyDescent="0.15">
      <c r="A210" s="1" t="s">
        <v>449</v>
      </c>
      <c r="B210" s="2" t="s">
        <v>341</v>
      </c>
      <c r="C210" s="2" t="s">
        <v>343</v>
      </c>
      <c r="D210" s="2" t="s">
        <v>431</v>
      </c>
      <c r="E210" s="6">
        <v>2800</v>
      </c>
      <c r="F210" s="18"/>
      <c r="G210" s="18"/>
      <c r="H210" s="18">
        <f>43904.24+1128.18</f>
        <v>45032.42</v>
      </c>
      <c r="I210" s="18">
        <f>3560.76+2990.38</f>
        <v>6551.14</v>
      </c>
      <c r="J210" s="18">
        <f>490.75+856</f>
        <v>1346.75</v>
      </c>
      <c r="K210" s="18">
        <v>0</v>
      </c>
      <c r="L210" s="13">
        <f>SUM(F210:K210)</f>
        <v>52930.31</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2345342.7200000002</v>
      </c>
      <c r="G212" s="38">
        <f t="shared" si="1"/>
        <v>1224493.2299999997</v>
      </c>
      <c r="H212" s="38">
        <f t="shared" si="1"/>
        <v>1086830.4000000001</v>
      </c>
      <c r="I212" s="38">
        <f t="shared" si="1"/>
        <v>208846.97</v>
      </c>
      <c r="J212" s="38">
        <f t="shared" si="1"/>
        <v>11947.869999999999</v>
      </c>
      <c r="K212" s="38">
        <f t="shared" si="1"/>
        <v>5444.1500000000005</v>
      </c>
      <c r="L212" s="38">
        <f t="shared" si="1"/>
        <v>4882905.34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427334.76+8884.23</f>
        <v>436218.99</v>
      </c>
      <c r="G216" s="18">
        <v>238606.87</v>
      </c>
      <c r="H216" s="18"/>
      <c r="I216" s="18">
        <v>10816.24</v>
      </c>
      <c r="J216" s="18"/>
      <c r="K216" s="18">
        <v>100</v>
      </c>
      <c r="L216" s="13">
        <f>SUM(F216:K216)</f>
        <v>685742.1</v>
      </c>
      <c r="M216" s="8"/>
      <c r="N216" s="164"/>
    </row>
    <row r="217" spans="1:14" s="3" customFormat="1" ht="12.2" customHeight="1" x14ac:dyDescent="0.15">
      <c r="A217" s="1" t="s">
        <v>439</v>
      </c>
      <c r="B217" s="2" t="s">
        <v>346</v>
      </c>
      <c r="C217" s="2" t="s">
        <v>291</v>
      </c>
      <c r="D217" s="2" t="s">
        <v>431</v>
      </c>
      <c r="E217" s="6">
        <v>1200</v>
      </c>
      <c r="F217" s="18">
        <v>191131.82</v>
      </c>
      <c r="G217" s="18">
        <v>121352.7</v>
      </c>
      <c r="H217" s="18">
        <f>1267.73+182824.97+137.5+35.75</f>
        <v>184265.95</v>
      </c>
      <c r="I217" s="18"/>
      <c r="J217" s="18"/>
      <c r="K217" s="18">
        <v>313.75</v>
      </c>
      <c r="L217" s="13">
        <f>SUM(F217:K217)</f>
        <v>497064.22000000003</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f>13100+9674.99</f>
        <v>22774.989999999998</v>
      </c>
      <c r="G219" s="18">
        <f>999.3+739.13</f>
        <v>1738.4299999999998</v>
      </c>
      <c r="H219" s="18">
        <f>1931.5</f>
        <v>1931.5</v>
      </c>
      <c r="I219" s="18"/>
      <c r="J219" s="18">
        <f>3103.38</f>
        <v>3103.38</v>
      </c>
      <c r="K219" s="18">
        <v>700</v>
      </c>
      <c r="L219" s="13">
        <f>SUM(F219:K219)</f>
        <v>30248.3</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58146+21964.8+15483.53+0</f>
        <v>95594.33</v>
      </c>
      <c r="G221" s="18">
        <v>49926.51</v>
      </c>
      <c r="H221" s="18"/>
      <c r="I221" s="18">
        <f>420.78+2800</f>
        <v>3220.7799999999997</v>
      </c>
      <c r="J221" s="18"/>
      <c r="K221" s="18"/>
      <c r="L221" s="13">
        <f t="shared" ref="L221:L227" si="2">SUM(F221:K221)</f>
        <v>148741.62</v>
      </c>
      <c r="M221" s="8"/>
      <c r="N221" s="164"/>
    </row>
    <row r="222" spans="1:14" s="3" customFormat="1" ht="12.2" customHeight="1" x14ac:dyDescent="0.15">
      <c r="A222" s="1" t="s">
        <v>443</v>
      </c>
      <c r="B222" s="2" t="s">
        <v>346</v>
      </c>
      <c r="C222" s="2" t="s">
        <v>295</v>
      </c>
      <c r="D222" s="2" t="s">
        <v>431</v>
      </c>
      <c r="E222" s="6">
        <v>2200</v>
      </c>
      <c r="F222" s="18">
        <f>22049.14</f>
        <v>22049.14</v>
      </c>
      <c r="G222" s="18">
        <f>3511.5+2050+18.51+62.47+78.42+1766.51+4201.14+0.06</f>
        <v>11688.61</v>
      </c>
      <c r="H222" s="18">
        <f>555.5+165+0</f>
        <v>720.5</v>
      </c>
      <c r="I222" s="18">
        <f>347.24+2752.2+203.46+1127.05+695</f>
        <v>5124.95</v>
      </c>
      <c r="J222" s="18"/>
      <c r="K222" s="18"/>
      <c r="L222" s="13">
        <f t="shared" si="2"/>
        <v>39583.199999999997</v>
      </c>
      <c r="M222" s="8"/>
      <c r="N222" s="164"/>
    </row>
    <row r="223" spans="1:14" s="3" customFormat="1" ht="12.2" customHeight="1" x14ac:dyDescent="0.15">
      <c r="A223" s="1" t="s">
        <v>444</v>
      </c>
      <c r="B223" s="2" t="s">
        <v>346</v>
      </c>
      <c r="C223" s="2" t="s">
        <v>296</v>
      </c>
      <c r="D223" s="2" t="s">
        <v>431</v>
      </c>
      <c r="E223" s="6">
        <v>2300</v>
      </c>
      <c r="F223" s="18">
        <f>2166.42+84+784.62+532.58+29325.01+16658.69+25241.29</f>
        <v>74792.609999999986</v>
      </c>
      <c r="G223" s="18">
        <f>207.17+6.43+55.75+40.73+20033.83+658.52+24.45+236.8+2118.55+39.21+1179.89+1867.85+3967.67+2111.97+3408.02</f>
        <v>35956.839999999997</v>
      </c>
      <c r="H223" s="18">
        <f>16396.03+6363.67+283.33+310.58+255.7+2496.7+31.25+2655.19+551.04+258.15</f>
        <v>29601.640000000003</v>
      </c>
      <c r="I223" s="18">
        <f>342.5</f>
        <v>342.5</v>
      </c>
      <c r="J223" s="18">
        <f>189.25</f>
        <v>189.25</v>
      </c>
      <c r="K223" s="18">
        <f>1128.3+477.57+61.32</f>
        <v>1667.1899999999998</v>
      </c>
      <c r="L223" s="13">
        <f t="shared" si="2"/>
        <v>142550.03</v>
      </c>
      <c r="M223" s="8"/>
      <c r="N223" s="164"/>
    </row>
    <row r="224" spans="1:14" s="3" customFormat="1" ht="12.2" customHeight="1" x14ac:dyDescent="0.15">
      <c r="A224" s="1" t="s">
        <v>445</v>
      </c>
      <c r="B224" s="2" t="s">
        <v>346</v>
      </c>
      <c r="C224" s="2" t="s">
        <v>297</v>
      </c>
      <c r="D224" s="2" t="s">
        <v>431</v>
      </c>
      <c r="E224" s="6">
        <v>2400</v>
      </c>
      <c r="F224" s="18">
        <v>112133.43</v>
      </c>
      <c r="G224" s="18">
        <v>74282.09</v>
      </c>
      <c r="H224" s="18">
        <v>8342.26</v>
      </c>
      <c r="I224" s="18">
        <v>2956.48</v>
      </c>
      <c r="J224" s="18"/>
      <c r="K224" s="18">
        <v>837.62</v>
      </c>
      <c r="L224" s="13">
        <f t="shared" si="2"/>
        <v>198551.88</v>
      </c>
      <c r="M224" s="8"/>
      <c r="N224" s="164"/>
    </row>
    <row r="225" spans="1:14" s="3" customFormat="1" ht="12.2" customHeight="1" x14ac:dyDescent="0.15">
      <c r="A225" s="1" t="s">
        <v>446</v>
      </c>
      <c r="B225" s="2" t="s">
        <v>346</v>
      </c>
      <c r="C225" s="2" t="s">
        <v>298</v>
      </c>
      <c r="D225" s="2" t="s">
        <v>431</v>
      </c>
      <c r="E225" s="6">
        <v>2500</v>
      </c>
      <c r="F225" s="18"/>
      <c r="G225" s="18">
        <v>2587.75</v>
      </c>
      <c r="H225" s="18"/>
      <c r="I225" s="18"/>
      <c r="J225" s="18"/>
      <c r="K225" s="18"/>
      <c r="L225" s="13">
        <f t="shared" si="2"/>
        <v>2587.75</v>
      </c>
      <c r="M225" s="8"/>
      <c r="N225" s="164"/>
    </row>
    <row r="226" spans="1:14" s="3" customFormat="1" ht="12.2" customHeight="1" x14ac:dyDescent="0.15">
      <c r="A226" s="1" t="s">
        <v>447</v>
      </c>
      <c r="B226" s="2" t="s">
        <v>346</v>
      </c>
      <c r="C226" s="2" t="s">
        <v>299</v>
      </c>
      <c r="D226" s="2" t="s">
        <v>431</v>
      </c>
      <c r="E226" s="6">
        <v>2600</v>
      </c>
      <c r="F226" s="18">
        <f>19665.02+62848.45+1852.57</f>
        <v>84366.040000000008</v>
      </c>
      <c r="G226" s="18">
        <f>30231.46+237.86+14.8+63.42+1619.74+5157.26+69.99+3069.9+7634.35-0.01</f>
        <v>48098.77</v>
      </c>
      <c r="H226" s="18">
        <v>65381.54</v>
      </c>
      <c r="I226" s="18">
        <f>11644.65+51245.96+1847.78+26193.62</f>
        <v>90932.01</v>
      </c>
      <c r="J226" s="18">
        <v>8162.93</v>
      </c>
      <c r="K226" s="18"/>
      <c r="L226" s="13">
        <f t="shared" si="2"/>
        <v>296941.28999999998</v>
      </c>
      <c r="M226" s="8"/>
      <c r="N226" s="164"/>
    </row>
    <row r="227" spans="1:14" s="3" customFormat="1" ht="12.2" customHeight="1" x14ac:dyDescent="0.15">
      <c r="A227" s="1" t="s">
        <v>448</v>
      </c>
      <c r="B227" s="2" t="s">
        <v>346</v>
      </c>
      <c r="C227" s="2" t="s">
        <v>300</v>
      </c>
      <c r="D227" s="2" t="s">
        <v>431</v>
      </c>
      <c r="E227" s="6">
        <v>2700</v>
      </c>
      <c r="F227" s="18">
        <v>58699.839999999997</v>
      </c>
      <c r="G227" s="18">
        <v>21989.65</v>
      </c>
      <c r="H227" s="18">
        <v>44751.43</v>
      </c>
      <c r="I227" s="18">
        <f>277.65+13233.83</f>
        <v>13511.48</v>
      </c>
      <c r="J227" s="18">
        <f>880.25</f>
        <v>880.25</v>
      </c>
      <c r="K227" s="18">
        <v>533.98</v>
      </c>
      <c r="L227" s="13">
        <f t="shared" si="2"/>
        <v>140366.63</v>
      </c>
      <c r="M227" s="8"/>
      <c r="N227" s="164"/>
    </row>
    <row r="228" spans="1:14" s="3" customFormat="1" ht="12.2" customHeight="1" x14ac:dyDescent="0.15">
      <c r="A228" s="1" t="s">
        <v>449</v>
      </c>
      <c r="B228" s="2" t="s">
        <v>346</v>
      </c>
      <c r="C228" s="2" t="s">
        <v>343</v>
      </c>
      <c r="D228" s="2" t="s">
        <v>431</v>
      </c>
      <c r="E228" s="6">
        <v>2800</v>
      </c>
      <c r="F228" s="18"/>
      <c r="G228" s="18"/>
      <c r="H228" s="18">
        <f>20546.16+120+564.09</f>
        <v>21230.25</v>
      </c>
      <c r="I228" s="18">
        <f>1780.39+1495.19</f>
        <v>3275.58</v>
      </c>
      <c r="J228" s="18">
        <f>1261.55+245.38</f>
        <v>1506.9299999999998</v>
      </c>
      <c r="K228" s="18"/>
      <c r="L228" s="13">
        <f>SUM(F228:K228)</f>
        <v>26012.760000000002</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1097761.1900000002</v>
      </c>
      <c r="G230" s="38">
        <f>SUM(G216:G229)</f>
        <v>606228.22</v>
      </c>
      <c r="H230" s="38">
        <f>SUM(H216:H229)</f>
        <v>356225.07</v>
      </c>
      <c r="I230" s="38">
        <f>SUM(I216:I229)</f>
        <v>130180.01999999999</v>
      </c>
      <c r="J230" s="38">
        <f>SUM(J216:J229)</f>
        <v>13842.740000000002</v>
      </c>
      <c r="K230" s="38">
        <f t="shared" si="3"/>
        <v>4152.5399999999991</v>
      </c>
      <c r="L230" s="38">
        <f t="shared" si="3"/>
        <v>2208389.7799999998</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531482.53</v>
      </c>
      <c r="G234" s="18">
        <v>283091.8</v>
      </c>
      <c r="H234" s="18">
        <f>-69239.45+16868.16+283.02</f>
        <v>-52088.27</v>
      </c>
      <c r="I234" s="18">
        <v>27468.68</v>
      </c>
      <c r="J234" s="18">
        <f>952.83+259.98</f>
        <v>1212.81</v>
      </c>
      <c r="K234" s="18">
        <v>2190</v>
      </c>
      <c r="L234" s="13">
        <f>SUM(F234:K234)</f>
        <v>793357.55000000016</v>
      </c>
      <c r="M234" s="8"/>
      <c r="N234" s="164"/>
    </row>
    <row r="235" spans="1:14" s="3" customFormat="1" ht="12.2" customHeight="1" x14ac:dyDescent="0.15">
      <c r="A235" s="1" t="s">
        <v>439</v>
      </c>
      <c r="B235" s="2" t="s">
        <v>350</v>
      </c>
      <c r="C235" s="2" t="s">
        <v>291</v>
      </c>
      <c r="D235" s="2" t="s">
        <v>431</v>
      </c>
      <c r="E235" s="6">
        <v>1200</v>
      </c>
      <c r="F235" s="18">
        <v>277552.65000000002</v>
      </c>
      <c r="G235" s="18">
        <v>139243.29999999999</v>
      </c>
      <c r="H235" s="18">
        <f>667189.77+3989.8+137.5+35.75</f>
        <v>671352.82000000007</v>
      </c>
      <c r="I235" s="18">
        <f>0</f>
        <v>0</v>
      </c>
      <c r="J235" s="18"/>
      <c r="K235" s="18">
        <v>313.75</v>
      </c>
      <c r="L235" s="13">
        <f>SUM(F235:K235)</f>
        <v>1088462.52</v>
      </c>
      <c r="M235" s="8"/>
      <c r="N235" s="164"/>
    </row>
    <row r="236" spans="1:14" s="3" customFormat="1" ht="12.2" customHeight="1" x14ac:dyDescent="0.15">
      <c r="A236" s="1" t="s">
        <v>440</v>
      </c>
      <c r="B236" s="2" t="s">
        <v>350</v>
      </c>
      <c r="C236" s="2" t="s">
        <v>292</v>
      </c>
      <c r="D236" s="2" t="s">
        <v>431</v>
      </c>
      <c r="E236" s="6">
        <v>1300</v>
      </c>
      <c r="F236" s="18">
        <f>49712</f>
        <v>49712</v>
      </c>
      <c r="G236" s="18">
        <f>4100+4116.56+6725.98</f>
        <v>14942.54</v>
      </c>
      <c r="H236" s="18">
        <f>31922.85</f>
        <v>31922.85</v>
      </c>
      <c r="I236" s="18"/>
      <c r="J236" s="18"/>
      <c r="K236" s="18"/>
      <c r="L236" s="13">
        <f>SUM(F236:K236)</f>
        <v>96577.39</v>
      </c>
      <c r="M236" s="8"/>
      <c r="N236" s="164"/>
    </row>
    <row r="237" spans="1:14" s="3" customFormat="1" ht="12.2" customHeight="1" x14ac:dyDescent="0.15">
      <c r="A237" s="1" t="s">
        <v>441</v>
      </c>
      <c r="B237" s="2" t="s">
        <v>350</v>
      </c>
      <c r="C237" s="2" t="s">
        <v>293</v>
      </c>
      <c r="D237" s="2" t="s">
        <v>431</v>
      </c>
      <c r="E237" s="6">
        <v>1400</v>
      </c>
      <c r="F237" s="18">
        <f>20000+17125.02</f>
        <v>37125.020000000004</v>
      </c>
      <c r="G237" s="18">
        <f>1527.14+1308.79+0</f>
        <v>2835.9300000000003</v>
      </c>
      <c r="H237" s="18">
        <v>3431.5</v>
      </c>
      <c r="I237" s="18">
        <v>13915</v>
      </c>
      <c r="J237" s="18">
        <v>13200.5</v>
      </c>
      <c r="K237" s="18">
        <v>6222.29</v>
      </c>
      <c r="L237" s="13">
        <f>SUM(F237:K237)</f>
        <v>76730.240000000005</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42476+32947.2+15638.65+0</f>
        <v>91061.849999999991</v>
      </c>
      <c r="G239" s="18">
        <f>2050+13525.07+49.28+132.77+156.83+5456.3+2282.6+8342.36+4457.7+1196.75+123.4+13.44+1287.89+3012.59</f>
        <v>42086.979999999996</v>
      </c>
      <c r="H239" s="18">
        <v>489.96</v>
      </c>
      <c r="I239" s="18">
        <f>2900+365.39</f>
        <v>3265.39</v>
      </c>
      <c r="J239" s="18"/>
      <c r="K239" s="18"/>
      <c r="L239" s="13">
        <f t="shared" ref="L239:L245" si="4">SUM(F239:K239)</f>
        <v>136904.18</v>
      </c>
      <c r="M239" s="8"/>
      <c r="N239" s="164"/>
    </row>
    <row r="240" spans="1:14" s="3" customFormat="1" ht="12.2" customHeight="1" x14ac:dyDescent="0.15">
      <c r="A240" s="1" t="s">
        <v>443</v>
      </c>
      <c r="B240" s="2" t="s">
        <v>350</v>
      </c>
      <c r="C240" s="2" t="s">
        <v>295</v>
      </c>
      <c r="D240" s="2" t="s">
        <v>431</v>
      </c>
      <c r="E240" s="6">
        <v>2200</v>
      </c>
      <c r="F240" s="18">
        <v>29894.959999999999</v>
      </c>
      <c r="G240" s="18">
        <v>11643.9</v>
      </c>
      <c r="H240" s="18">
        <f>514.5+165</f>
        <v>679.5</v>
      </c>
      <c r="I240" s="18">
        <f>233.21-52.12</f>
        <v>181.09</v>
      </c>
      <c r="J240" s="18"/>
      <c r="K240" s="18"/>
      <c r="L240" s="13">
        <f t="shared" si="4"/>
        <v>42399.45</v>
      </c>
      <c r="M240" s="8"/>
      <c r="N240" s="164"/>
    </row>
    <row r="241" spans="1:14" s="3" customFormat="1" ht="12.2" customHeight="1" x14ac:dyDescent="0.15">
      <c r="A241" s="1" t="s">
        <v>444</v>
      </c>
      <c r="B241" s="2" t="s">
        <v>350</v>
      </c>
      <c r="C241" s="2" t="s">
        <v>296</v>
      </c>
      <c r="D241" s="2" t="s">
        <v>431</v>
      </c>
      <c r="E241" s="6">
        <v>2300</v>
      </c>
      <c r="F241" s="18">
        <f>1083.22+84+784.62+408.38+29325.01+16658.69+25241.29</f>
        <v>73585.209999999992</v>
      </c>
      <c r="G241" s="18">
        <f>6.43+55.55+31.24+20033.83+658.52+24.45+236.8+2118.55+39.21+1179.89+1867.85+3967.67+2111.97+3408.02</f>
        <v>35739.979999999996</v>
      </c>
      <c r="H241" s="18">
        <f>16396+6363.68+283.33+318.69+255.7+2496.7+31.25+2655.19+551.04+258.15</f>
        <v>29609.730000000003</v>
      </c>
      <c r="I241" s="18">
        <f>342.5</f>
        <v>342.5</v>
      </c>
      <c r="J241" s="18">
        <v>189.25</v>
      </c>
      <c r="K241" s="18">
        <f>1128.3+477.57+61.32</f>
        <v>1667.1899999999998</v>
      </c>
      <c r="L241" s="13">
        <f t="shared" si="4"/>
        <v>141133.85999999999</v>
      </c>
      <c r="M241" s="8"/>
      <c r="N241" s="164"/>
    </row>
    <row r="242" spans="1:14" s="3" customFormat="1" ht="12.2" customHeight="1" x14ac:dyDescent="0.15">
      <c r="A242" s="1" t="s">
        <v>445</v>
      </c>
      <c r="B242" s="2" t="s">
        <v>350</v>
      </c>
      <c r="C242" s="2" t="s">
        <v>297</v>
      </c>
      <c r="D242" s="2" t="s">
        <v>431</v>
      </c>
      <c r="E242" s="6">
        <v>2400</v>
      </c>
      <c r="F242" s="18">
        <v>148603.45000000001</v>
      </c>
      <c r="G242" s="18">
        <v>98026</v>
      </c>
      <c r="H242" s="18">
        <v>12085.25</v>
      </c>
      <c r="I242" s="18">
        <v>3420.16</v>
      </c>
      <c r="J242" s="18"/>
      <c r="K242" s="18">
        <v>4018.68</v>
      </c>
      <c r="L242" s="13">
        <f t="shared" si="4"/>
        <v>266153.54000000004</v>
      </c>
      <c r="M242" s="8"/>
      <c r="N242" s="164"/>
    </row>
    <row r="243" spans="1:14" s="3" customFormat="1" ht="12.2" customHeight="1" x14ac:dyDescent="0.15">
      <c r="A243" s="1" t="s">
        <v>446</v>
      </c>
      <c r="B243" s="2" t="s">
        <v>350</v>
      </c>
      <c r="C243" s="2" t="s">
        <v>298</v>
      </c>
      <c r="D243" s="2" t="s">
        <v>431</v>
      </c>
      <c r="E243" s="6">
        <v>2500</v>
      </c>
      <c r="F243" s="18"/>
      <c r="G243" s="18">
        <v>2587.75</v>
      </c>
      <c r="H243" s="18"/>
      <c r="I243" s="18"/>
      <c r="J243" s="18"/>
      <c r="K243" s="18">
        <v>75.19</v>
      </c>
      <c r="L243" s="13">
        <f t="shared" si="4"/>
        <v>2662.94</v>
      </c>
      <c r="M243" s="8"/>
      <c r="N243" s="164"/>
    </row>
    <row r="244" spans="1:14" s="3" customFormat="1" ht="12.2" customHeight="1" x14ac:dyDescent="0.15">
      <c r="A244" s="1" t="s">
        <v>447</v>
      </c>
      <c r="B244" s="2" t="s">
        <v>350</v>
      </c>
      <c r="C244" s="2" t="s">
        <v>299</v>
      </c>
      <c r="D244" s="2" t="s">
        <v>431</v>
      </c>
      <c r="E244" s="6">
        <v>2600</v>
      </c>
      <c r="F244" s="18">
        <f>19660.97+63035.02+4302.97</f>
        <v>86998.959999999992</v>
      </c>
      <c r="G244" s="18">
        <f>28826.27+238.55+14.72+63.42+1704.32+4354.77+363.16+3218.08+5977.4+832.81+0</f>
        <v>45593.500000000007</v>
      </c>
      <c r="H244" s="18">
        <v>65646.77</v>
      </c>
      <c r="I244" s="18">
        <f>10226.47+34767.08+2151.61+24530.93</f>
        <v>71676.09</v>
      </c>
      <c r="J244" s="18">
        <v>8162.93</v>
      </c>
      <c r="K244" s="18"/>
      <c r="L244" s="13">
        <f t="shared" si="4"/>
        <v>278078.24999999994</v>
      </c>
      <c r="M244" s="8"/>
      <c r="N244" s="164"/>
    </row>
    <row r="245" spans="1:14" s="3" customFormat="1" ht="12.2" customHeight="1" x14ac:dyDescent="0.15">
      <c r="A245" s="1" t="s">
        <v>448</v>
      </c>
      <c r="B245" s="2" t="s">
        <v>350</v>
      </c>
      <c r="C245" s="2" t="s">
        <v>300</v>
      </c>
      <c r="D245" s="2" t="s">
        <v>431</v>
      </c>
      <c r="E245" s="6">
        <v>2700</v>
      </c>
      <c r="F245" s="18">
        <v>85846.85</v>
      </c>
      <c r="G245" s="18">
        <v>36865.620000000003</v>
      </c>
      <c r="H245" s="18">
        <v>36715.050000000003</v>
      </c>
      <c r="I245" s="18">
        <v>13511.48</v>
      </c>
      <c r="J245" s="18">
        <v>880.25</v>
      </c>
      <c r="K245" s="18">
        <v>533.97</v>
      </c>
      <c r="L245" s="13">
        <f t="shared" si="4"/>
        <v>174353.22000000003</v>
      </c>
      <c r="M245" s="8"/>
      <c r="N245" s="164"/>
    </row>
    <row r="246" spans="1:14" s="3" customFormat="1" ht="12.2" customHeight="1" x14ac:dyDescent="0.15">
      <c r="A246" s="1" t="s">
        <v>449</v>
      </c>
      <c r="B246" s="2" t="s">
        <v>350</v>
      </c>
      <c r="C246" s="2" t="s">
        <v>343</v>
      </c>
      <c r="D246" s="2" t="s">
        <v>431</v>
      </c>
      <c r="E246" s="6">
        <v>2800</v>
      </c>
      <c r="F246" s="18"/>
      <c r="G246" s="18"/>
      <c r="H246" s="18">
        <f>20546.17+120+564.09</f>
        <v>21230.26</v>
      </c>
      <c r="I246" s="18">
        <f>1780.39+1495.19</f>
        <v>3275.58</v>
      </c>
      <c r="J246" s="18">
        <f>322.25+245.38</f>
        <v>567.63</v>
      </c>
      <c r="K246" s="18"/>
      <c r="L246" s="13">
        <f>SUM(F246:K246)</f>
        <v>25073.469999999998</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1411863.48</v>
      </c>
      <c r="G248" s="38">
        <f t="shared" si="5"/>
        <v>712657.29999999993</v>
      </c>
      <c r="H248" s="38">
        <f t="shared" si="5"/>
        <v>821075.42</v>
      </c>
      <c r="I248" s="38">
        <f t="shared" si="5"/>
        <v>137055.96999999997</v>
      </c>
      <c r="J248" s="38">
        <f t="shared" si="5"/>
        <v>24213.37</v>
      </c>
      <c r="K248" s="38">
        <f t="shared" si="5"/>
        <v>15021.070000000002</v>
      </c>
      <c r="L248" s="38">
        <f t="shared" si="5"/>
        <v>3121886.6100000008</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4854967.3900000006</v>
      </c>
      <c r="G258" s="38">
        <f t="shared" si="8"/>
        <v>2543378.7499999995</v>
      </c>
      <c r="H258" s="38">
        <f t="shared" si="8"/>
        <v>2264130.89</v>
      </c>
      <c r="I258" s="38">
        <f t="shared" si="8"/>
        <v>476082.95999999996</v>
      </c>
      <c r="J258" s="38">
        <f t="shared" si="8"/>
        <v>50003.979999999996</v>
      </c>
      <c r="K258" s="38">
        <f t="shared" si="8"/>
        <v>24617.760000000002</v>
      </c>
      <c r="L258" s="38">
        <f t="shared" si="8"/>
        <v>10213181.73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135988.6</v>
      </c>
      <c r="L264" s="13">
        <f>SUM(F264:K264)</f>
        <v>135988.6</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121000</v>
      </c>
      <c r="L267" s="13">
        <f t="shared" si="9"/>
        <v>121000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256988.6</v>
      </c>
      <c r="L271" s="38">
        <f t="shared" si="9"/>
        <v>256988.6</v>
      </c>
      <c r="M271" s="8"/>
      <c r="N271" s="164"/>
    </row>
    <row r="272" spans="1:14" s="33" customFormat="1" ht="12.2" customHeight="1" thickTop="1" x14ac:dyDescent="0.2">
      <c r="A272" s="40" t="s">
        <v>464</v>
      </c>
      <c r="B272" s="37">
        <v>10</v>
      </c>
      <c r="C272" s="37">
        <v>18</v>
      </c>
      <c r="D272" s="36" t="s">
        <v>431</v>
      </c>
      <c r="E272" s="37"/>
      <c r="F272" s="39">
        <f t="shared" ref="F272:L272" si="11">F258+F271</f>
        <v>4854967.3900000006</v>
      </c>
      <c r="G272" s="39">
        <f t="shared" si="11"/>
        <v>2543378.7499999995</v>
      </c>
      <c r="H272" s="39">
        <f t="shared" si="11"/>
        <v>2264130.89</v>
      </c>
      <c r="I272" s="39">
        <f t="shared" si="11"/>
        <v>476082.95999999996</v>
      </c>
      <c r="J272" s="39">
        <f t="shared" si="11"/>
        <v>50003.979999999996</v>
      </c>
      <c r="K272" s="39">
        <f t="shared" si="11"/>
        <v>281606.36</v>
      </c>
      <c r="L272" s="39">
        <f t="shared" si="11"/>
        <v>10470170.33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53625.07+42088.8+7620.09+360+693.75+2572.5+7910+2725.27+21454.63</f>
        <v>139050.10999999999</v>
      </c>
      <c r="G277" s="18">
        <f>733.63+27.55+3986.56+50.54+3097.03+528.73+21.92+7152.06+95.72+5480.26+698.43+129.17+5375.02+48.45+52.12+3.72+26.88+82.66-6.59+605.12+304.31+1453.44+1200.01+535.24+4213.81</f>
        <v>35895.79</v>
      </c>
      <c r="H277" s="18">
        <f>520.02</f>
        <v>520.02</v>
      </c>
      <c r="I277" s="18">
        <f>1619.15+16065.98+10292.4+34377.8+12034.14+8593.43+4607.75+37073.68</f>
        <v>124664.32999999999</v>
      </c>
      <c r="J277" s="18">
        <f>8416.5</f>
        <v>8416.5</v>
      </c>
      <c r="K277" s="18"/>
      <c r="L277" s="13">
        <f>SUM(F277:K277)</f>
        <v>308546.75</v>
      </c>
      <c r="M277" s="8"/>
      <c r="N277" s="164"/>
    </row>
    <row r="278" spans="1:14" s="3" customFormat="1" ht="12.2" customHeight="1" x14ac:dyDescent="0.15">
      <c r="A278" s="1" t="s">
        <v>439</v>
      </c>
      <c r="B278" s="2" t="s">
        <v>357</v>
      </c>
      <c r="C278" s="2" t="s">
        <v>291</v>
      </c>
      <c r="D278" s="2" t="s">
        <v>431</v>
      </c>
      <c r="E278" s="6">
        <v>1200</v>
      </c>
      <c r="F278" s="18">
        <f>0</f>
        <v>0</v>
      </c>
      <c r="G278" s="18"/>
      <c r="H278" s="18">
        <f>5214.42+5158.61+6111+5594.88+2200+6506.05+31114.85+23355.15+4752+11910.16+1660.5+35837.5+0+38029.27+1916.4+50.67+302.5</f>
        <v>179713.96</v>
      </c>
      <c r="I278" s="18"/>
      <c r="J278" s="18">
        <v>402</v>
      </c>
      <c r="K278" s="18"/>
      <c r="L278" s="13">
        <f>SUM(F278:K278)</f>
        <v>180115.96</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f>3720+7768.4+600+7700</f>
        <v>19788.400000000001</v>
      </c>
      <c r="G280" s="18">
        <f>625.55+594.29+1018.73+45.9+0+590.97+646.08</f>
        <v>3521.5199999999995</v>
      </c>
      <c r="H280" s="18"/>
      <c r="I280" s="18">
        <f>224+719.58</f>
        <v>943.58</v>
      </c>
      <c r="J280" s="18"/>
      <c r="K280" s="18"/>
      <c r="L280" s="13">
        <f>SUM(F280:K280)</f>
        <v>24253.500000000004</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29601.1</v>
      </c>
      <c r="G282" s="18">
        <f>168.43+20400-992.4+2171.14+107.1+1545.96+107.68+234.74+457.67+115.73+584.8+160.35-410.24+0</f>
        <v>24650.959999999992</v>
      </c>
      <c r="H282" s="18">
        <f>29.46+3014.4+1000+1400+1700+4149+725+30590.6+611.2+462.5</f>
        <v>43682.159999999996</v>
      </c>
      <c r="I282" s="18">
        <f>20368.72</f>
        <v>20368.72</v>
      </c>
      <c r="J282" s="18"/>
      <c r="K282" s="18"/>
      <c r="L282" s="13">
        <f t="shared" ref="L282:L288" si="12">SUM(F282:K282)</f>
        <v>118302.93999999999</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v>10413.299999999999</v>
      </c>
      <c r="I286" s="18"/>
      <c r="J286" s="18"/>
      <c r="K286" s="18"/>
      <c r="L286" s="13">
        <f t="shared" si="12"/>
        <v>10413.299999999999</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v>4047.7</v>
      </c>
      <c r="L287" s="13">
        <f t="shared" si="12"/>
        <v>4047.7</v>
      </c>
      <c r="M287" s="8"/>
      <c r="N287" s="164"/>
    </row>
    <row r="288" spans="1:14" s="3" customFormat="1" ht="12.2" customHeight="1" x14ac:dyDescent="0.15">
      <c r="A288" s="1" t="s">
        <v>448</v>
      </c>
      <c r="B288" s="2" t="s">
        <v>357</v>
      </c>
      <c r="C288" s="2" t="s">
        <v>300</v>
      </c>
      <c r="D288" s="2" t="s">
        <v>431</v>
      </c>
      <c r="E288" s="6">
        <v>2700</v>
      </c>
      <c r="F288" s="18">
        <f>3874.07+13980.66</f>
        <v>17854.73</v>
      </c>
      <c r="G288" s="18">
        <f>992.4+410.24</f>
        <v>1402.6399999999999</v>
      </c>
      <c r="H288" s="18"/>
      <c r="I288" s="18"/>
      <c r="J288" s="18"/>
      <c r="K288" s="18"/>
      <c r="L288" s="13">
        <f t="shared" si="12"/>
        <v>19257.37</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206294.34</v>
      </c>
      <c r="G291" s="39">
        <f t="shared" si="13"/>
        <v>65470.909999999989</v>
      </c>
      <c r="H291" s="39">
        <f t="shared" si="13"/>
        <v>234329.43999999997</v>
      </c>
      <c r="I291" s="39">
        <f t="shared" si="13"/>
        <v>145976.63</v>
      </c>
      <c r="J291" s="39">
        <f t="shared" si="13"/>
        <v>8818.5</v>
      </c>
      <c r="K291" s="39">
        <f t="shared" si="13"/>
        <v>4047.7</v>
      </c>
      <c r="L291" s="38">
        <f t="shared" si="13"/>
        <v>664937.5199999999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f>48593.05</f>
        <v>48593.05</v>
      </c>
      <c r="G296" s="18">
        <f>9166.63+530.42+49.28+173.14+3454.52+9488.01</f>
        <v>22862</v>
      </c>
      <c r="H296" s="18"/>
      <c r="I296" s="18">
        <v>16059.02</v>
      </c>
      <c r="J296" s="18"/>
      <c r="K296" s="18"/>
      <c r="L296" s="13">
        <f>SUM(F296:K296)</f>
        <v>87514.07</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48593.05</v>
      </c>
      <c r="G310" s="39">
        <f t="shared" si="15"/>
        <v>22862</v>
      </c>
      <c r="H310" s="39">
        <f t="shared" si="15"/>
        <v>0</v>
      </c>
      <c r="I310" s="39">
        <f t="shared" si="15"/>
        <v>16059.02</v>
      </c>
      <c r="J310" s="39">
        <f t="shared" si="15"/>
        <v>0</v>
      </c>
      <c r="K310" s="39">
        <f t="shared" si="15"/>
        <v>0</v>
      </c>
      <c r="L310" s="38">
        <f t="shared" si="15"/>
        <v>87514.07</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3000</v>
      </c>
      <c r="G315" s="18">
        <f>589.2+229.5</f>
        <v>818.7</v>
      </c>
      <c r="H315" s="18">
        <f>0</f>
        <v>0</v>
      </c>
      <c r="I315" s="18">
        <f>10245.4+2273.25</f>
        <v>12518.65</v>
      </c>
      <c r="J315" s="18"/>
      <c r="K315" s="18"/>
      <c r="L315" s="13">
        <f>SUM(F315:K315)</f>
        <v>16337.349999999999</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f>5482.5</f>
        <v>5482.5</v>
      </c>
      <c r="G318" s="18">
        <f>419.41+699.67</f>
        <v>1119.08</v>
      </c>
      <c r="H318" s="18"/>
      <c r="I318" s="18">
        <v>1518.02</v>
      </c>
      <c r="J318" s="18"/>
      <c r="K318" s="18"/>
      <c r="L318" s="13">
        <f>SUM(F318:K318)</f>
        <v>8119.6</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v>624.54999999999995</v>
      </c>
      <c r="H320" s="18">
        <v>462.54</v>
      </c>
      <c r="I320" s="18"/>
      <c r="J320" s="18"/>
      <c r="K320" s="18"/>
      <c r="L320" s="13">
        <f t="shared" ref="L320:L326" si="16">SUM(F320:K320)</f>
        <v>1087.0899999999999</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8482.5</v>
      </c>
      <c r="G329" s="39">
        <f t="shared" si="17"/>
        <v>2562.33</v>
      </c>
      <c r="H329" s="39">
        <f t="shared" si="17"/>
        <v>462.54</v>
      </c>
      <c r="I329" s="39">
        <f t="shared" si="17"/>
        <v>14036.67</v>
      </c>
      <c r="J329" s="39">
        <f t="shared" si="17"/>
        <v>0</v>
      </c>
      <c r="K329" s="39">
        <f t="shared" si="17"/>
        <v>0</v>
      </c>
      <c r="L329" s="38">
        <f t="shared" si="17"/>
        <v>25544.039999999997</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263369.89</v>
      </c>
      <c r="G339" s="38">
        <f t="shared" si="20"/>
        <v>90895.239999999991</v>
      </c>
      <c r="H339" s="38">
        <f t="shared" si="20"/>
        <v>234791.97999999998</v>
      </c>
      <c r="I339" s="38">
        <f t="shared" si="20"/>
        <v>176072.32000000001</v>
      </c>
      <c r="J339" s="38">
        <f t="shared" si="20"/>
        <v>8818.5</v>
      </c>
      <c r="K339" s="38">
        <f t="shared" si="20"/>
        <v>4047.7</v>
      </c>
      <c r="L339" s="38">
        <f t="shared" si="20"/>
        <v>777995.62999999989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263369.89</v>
      </c>
      <c r="G353" s="38">
        <f>G339</f>
        <v>90895.239999999991</v>
      </c>
      <c r="H353" s="38">
        <f>H339</f>
        <v>234791.97999999998</v>
      </c>
      <c r="I353" s="38">
        <f>I339</f>
        <v>176072.32000000001</v>
      </c>
      <c r="J353" s="38">
        <f>J339</f>
        <v>8818.5</v>
      </c>
      <c r="K353" s="38">
        <f>K339+K352</f>
        <v>4047.7</v>
      </c>
      <c r="L353" s="38">
        <f>L339+L352</f>
        <v>777995.62999999989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185917.05</v>
      </c>
      <c r="I359" s="18"/>
      <c r="J359" s="18"/>
      <c r="K359" s="18">
        <v>15694.5</v>
      </c>
      <c r="L359" s="13">
        <f>SUM(F359:K359)</f>
        <v>201611.55</v>
      </c>
      <c r="M359" s="8"/>
      <c r="N359" s="164"/>
    </row>
    <row r="360" spans="1:22" s="3" customFormat="1" ht="12.2" customHeight="1" x14ac:dyDescent="0.15">
      <c r="A360" s="1" t="s">
        <v>542</v>
      </c>
      <c r="B360" s="2" t="s">
        <v>366</v>
      </c>
      <c r="C360" s="6">
        <v>2</v>
      </c>
      <c r="D360" s="2" t="s">
        <v>431</v>
      </c>
      <c r="E360" s="6"/>
      <c r="F360" s="18"/>
      <c r="G360" s="18"/>
      <c r="H360" s="18">
        <v>92958.52</v>
      </c>
      <c r="I360" s="18"/>
      <c r="J360" s="18"/>
      <c r="K360" s="18">
        <v>7847.25</v>
      </c>
      <c r="L360" s="13">
        <f>SUM(F360:K360)</f>
        <v>100805.77</v>
      </c>
      <c r="M360" s="8"/>
      <c r="N360" s="164"/>
    </row>
    <row r="361" spans="1:22" s="3" customFormat="1" ht="12.2" customHeight="1" x14ac:dyDescent="0.15">
      <c r="A361" s="3" t="s">
        <v>543</v>
      </c>
      <c r="B361" s="2" t="s">
        <v>366</v>
      </c>
      <c r="C361" s="6">
        <v>3</v>
      </c>
      <c r="D361" s="2" t="s">
        <v>431</v>
      </c>
      <c r="E361" s="6"/>
      <c r="F361" s="18"/>
      <c r="G361" s="18"/>
      <c r="H361" s="18">
        <v>92958.52</v>
      </c>
      <c r="I361" s="18"/>
      <c r="J361" s="18"/>
      <c r="K361" s="18">
        <v>7847.25</v>
      </c>
      <c r="L361" s="13">
        <f>SUM(F361:K361)</f>
        <v>100805.77</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371834.09</v>
      </c>
      <c r="I363" s="38">
        <f t="shared" si="22"/>
        <v>0</v>
      </c>
      <c r="J363" s="38">
        <f t="shared" si="22"/>
        <v>0</v>
      </c>
      <c r="K363" s="38">
        <f t="shared" si="22"/>
        <v>31389</v>
      </c>
      <c r="L363" s="38">
        <f t="shared" si="22"/>
        <v>403223.09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50000</v>
      </c>
      <c r="H390" s="18">
        <f>5344.46</f>
        <v>5344.46</v>
      </c>
      <c r="I390" s="18"/>
      <c r="J390" s="23" t="s">
        <v>288</v>
      </c>
      <c r="K390" s="23" t="s">
        <v>288</v>
      </c>
      <c r="L390" s="13">
        <f t="shared" si="25"/>
        <v>55344.46</v>
      </c>
      <c r="M390" s="8"/>
      <c r="N390" s="164"/>
    </row>
    <row r="391" spans="1:14" s="3" customFormat="1" ht="12.2" customHeight="1" x14ac:dyDescent="0.15">
      <c r="A391" s="62" t="s">
        <v>553</v>
      </c>
      <c r="B391" s="2" t="s">
        <v>381</v>
      </c>
      <c r="C391" s="6">
        <v>4</v>
      </c>
      <c r="D391" s="2" t="s">
        <v>432</v>
      </c>
      <c r="E391" s="6"/>
      <c r="F391" s="18"/>
      <c r="G391" s="18"/>
      <c r="H391" s="18">
        <v>952.1</v>
      </c>
      <c r="I391" s="18"/>
      <c r="J391" s="23" t="s">
        <v>288</v>
      </c>
      <c r="K391" s="23" t="s">
        <v>288</v>
      </c>
      <c r="L391" s="13">
        <f t="shared" si="25"/>
        <v>952.1</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v>21000</v>
      </c>
      <c r="H393" s="18">
        <f>8060.58-6296.56</f>
        <v>1764.0199999999995</v>
      </c>
      <c r="I393" s="18"/>
      <c r="J393" s="23" t="s">
        <v>288</v>
      </c>
      <c r="K393" s="23" t="s">
        <v>288</v>
      </c>
      <c r="L393" s="13">
        <f t="shared" si="25"/>
        <v>22764.02</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71000</v>
      </c>
      <c r="H394" s="97">
        <f>SUM(H388:H393)</f>
        <v>8060.58</v>
      </c>
      <c r="I394" s="54">
        <f>SUM(I388:I393)</f>
        <v>0</v>
      </c>
      <c r="J394" s="42" t="s">
        <v>288</v>
      </c>
      <c r="K394" s="42" t="s">
        <v>288</v>
      </c>
      <c r="L394" s="38">
        <f>SUM(L388:L393)</f>
        <v>79060.58</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50000</v>
      </c>
      <c r="H398" s="18">
        <v>8212.36</v>
      </c>
      <c r="I398" s="18"/>
      <c r="J398" s="23" t="s">
        <v>288</v>
      </c>
      <c r="K398" s="23" t="s">
        <v>288</v>
      </c>
      <c r="L398" s="13">
        <f t="shared" si="26"/>
        <v>58212.36</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50000</v>
      </c>
      <c r="H402" s="38">
        <f>SUM(H396:H401)</f>
        <v>8212.36</v>
      </c>
      <c r="I402" s="38">
        <f>SUM(I396:I401)</f>
        <v>0</v>
      </c>
      <c r="J402" s="42" t="s">
        <v>288</v>
      </c>
      <c r="K402" s="42" t="s">
        <v>288</v>
      </c>
      <c r="L402" s="38">
        <f>SUM(L396:L401)</f>
        <v>58212.36</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121000</v>
      </c>
      <c r="H409" s="38">
        <f>H394+H402+H408</f>
        <v>16272.94</v>
      </c>
      <c r="I409" s="38">
        <f>I394+I402+I408</f>
        <v>0</v>
      </c>
      <c r="J409" s="23" t="s">
        <v>288</v>
      </c>
      <c r="K409" s="23" t="s">
        <v>288</v>
      </c>
      <c r="L409" s="38">
        <f>L394+L402+L408</f>
        <v>137272.94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v>80895.56</v>
      </c>
      <c r="I416" s="18"/>
      <c r="J416" s="18"/>
      <c r="K416" s="18"/>
      <c r="L416" s="13">
        <f t="shared" si="27"/>
        <v>80895.56</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v>57002.77</v>
      </c>
      <c r="I419" s="18"/>
      <c r="J419" s="18">
        <v>19368.52</v>
      </c>
      <c r="K419" s="18"/>
      <c r="L419" s="13">
        <f t="shared" si="27"/>
        <v>76371.289999999994</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137898.32999999999</v>
      </c>
      <c r="I420" s="97">
        <f t="shared" si="28"/>
        <v>0</v>
      </c>
      <c r="J420" s="97">
        <f t="shared" si="28"/>
        <v>19368.52</v>
      </c>
      <c r="K420" s="97">
        <f t="shared" si="28"/>
        <v>0</v>
      </c>
      <c r="L420" s="38">
        <f t="shared" si="28"/>
        <v>157266.84999999998</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v>8898.84</v>
      </c>
      <c r="I424" s="18"/>
      <c r="J424" s="18"/>
      <c r="K424" s="18"/>
      <c r="L424" s="13">
        <f t="shared" si="29"/>
        <v>8898.84</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8898.84</v>
      </c>
      <c r="I428" s="38">
        <f t="shared" si="30"/>
        <v>0</v>
      </c>
      <c r="J428" s="38">
        <f t="shared" si="30"/>
        <v>0</v>
      </c>
      <c r="K428" s="38">
        <f t="shared" si="30"/>
        <v>0</v>
      </c>
      <c r="L428" s="38">
        <f t="shared" si="30"/>
        <v>8898.84</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146797.16999999998</v>
      </c>
      <c r="I435" s="38">
        <f t="shared" si="32"/>
        <v>0</v>
      </c>
      <c r="J435" s="38">
        <f t="shared" si="32"/>
        <v>19368.52</v>
      </c>
      <c r="K435" s="38">
        <f t="shared" si="32"/>
        <v>0</v>
      </c>
      <c r="L435" s="38">
        <f t="shared" si="32"/>
        <v>166165.68999999997</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386836.98</v>
      </c>
      <c r="G441" s="18">
        <v>392760.06</v>
      </c>
      <c r="H441" s="18"/>
      <c r="I441" s="13">
        <f t="shared" si="33"/>
        <v>779597.04</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386836.98</v>
      </c>
      <c r="G447" s="13">
        <f>SUM(G440:G446)</f>
        <v>392760.06</v>
      </c>
      <c r="H447" s="13">
        <f>SUM(H440:H446)</f>
        <v>0</v>
      </c>
      <c r="I447" s="13">
        <f>SUM(I440:I446)</f>
        <v>779597.04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v>157266.85</v>
      </c>
      <c r="G449" s="18">
        <v>8898.84</v>
      </c>
      <c r="H449" s="18"/>
      <c r="I449" s="13">
        <f>SUM(F449:H449)</f>
        <v>166165.69</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157266.85</v>
      </c>
      <c r="G453" s="57">
        <f>SUM(G449:G452)</f>
        <v>8898.84</v>
      </c>
      <c r="H453" s="57">
        <f>SUM(H449:H452)</f>
        <v>0</v>
      </c>
      <c r="I453" s="57">
        <f>SUM(I449:I452)</f>
        <v>166165.69</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386836.98-157266.85</f>
        <v>229570.12999999998</v>
      </c>
      <c r="G460" s="18">
        <f>392760.06-8898.84</f>
        <v>383861.22</v>
      </c>
      <c r="H460" s="18"/>
      <c r="I460" s="13">
        <f t="shared" si="34"/>
        <v>613431.35</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229570.12999999998</v>
      </c>
      <c r="G461" s="65">
        <f>SUM(G455:G460)</f>
        <v>383861.22</v>
      </c>
      <c r="H461" s="65">
        <f>SUM(H455:H460)</f>
        <v>0</v>
      </c>
      <c r="I461" s="65">
        <f>SUM(I455:I460)</f>
        <v>613431.35</v>
      </c>
      <c r="J461" s="23" t="s">
        <v>288</v>
      </c>
      <c r="K461" s="23" t="s">
        <v>288</v>
      </c>
      <c r="L461" s="23" t="s">
        <v>288</v>
      </c>
      <c r="N461" s="130"/>
    </row>
    <row r="462" spans="1:86" ht="12.2" customHeight="1" thickTop="1" x14ac:dyDescent="0.2">
      <c r="A462" s="40" t="s">
        <v>424</v>
      </c>
      <c r="B462" s="41">
        <v>18</v>
      </c>
      <c r="C462" s="64">
        <v>21</v>
      </c>
      <c r="D462" s="114" t="s">
        <v>432</v>
      </c>
      <c r="E462" s="64"/>
      <c r="F462" s="39">
        <f>F453+F461</f>
        <v>386836.98</v>
      </c>
      <c r="G462" s="39">
        <f>G453+G461</f>
        <v>392760.06</v>
      </c>
      <c r="H462" s="39">
        <f>H453+H461</f>
        <v>0</v>
      </c>
      <c r="I462" s="39">
        <f>I453+I461</f>
        <v>779597.04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718668.14</v>
      </c>
      <c r="G466" s="18">
        <v>-98714.39</v>
      </c>
      <c r="H466" s="18"/>
      <c r="I466" s="18"/>
      <c r="J466" s="18">
        <v>642324.1</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10540733.1</v>
      </c>
      <c r="G469" s="18">
        <f>403223.09</f>
        <v>403223.09</v>
      </c>
      <c r="H469" s="18">
        <v>777995.63</v>
      </c>
      <c r="I469" s="18"/>
      <c r="J469" s="18">
        <f>50000+8212.36+71000+8060.58</f>
        <v>137272.94</v>
      </c>
      <c r="K469" s="23" t="s">
        <v>288</v>
      </c>
      <c r="L469" s="23" t="s">
        <v>288</v>
      </c>
      <c r="N469" s="130"/>
    </row>
    <row r="470" spans="1:14" ht="12.2" customHeight="1" x14ac:dyDescent="0.2">
      <c r="A470" s="71" t="s">
        <v>611</v>
      </c>
      <c r="B470" s="22">
        <v>19</v>
      </c>
      <c r="C470" s="31">
        <v>3</v>
      </c>
      <c r="D470" s="2" t="s">
        <v>432</v>
      </c>
      <c r="E470" s="31"/>
      <c r="F470" s="18">
        <f>986215.46-718668.14</f>
        <v>267547.31999999995</v>
      </c>
      <c r="G470" s="18">
        <v>98714.39</v>
      </c>
      <c r="H470" s="18"/>
      <c r="I470" s="18"/>
      <c r="J470" s="18"/>
      <c r="K470" s="23" t="s">
        <v>288</v>
      </c>
      <c r="L470" s="23" t="s">
        <v>288</v>
      </c>
      <c r="N470" s="130"/>
    </row>
    <row r="471" spans="1:14" ht="12.2" customHeight="1" x14ac:dyDescent="0.2">
      <c r="A471" s="32" t="s">
        <v>425</v>
      </c>
      <c r="B471" s="22">
        <v>19</v>
      </c>
      <c r="C471" s="31">
        <v>4</v>
      </c>
      <c r="D471" s="2" t="s">
        <v>432</v>
      </c>
      <c r="E471" s="31"/>
      <c r="F471" s="19">
        <f>SUM(F469:F470)</f>
        <v>10808280.42</v>
      </c>
      <c r="G471" s="19">
        <f>SUM(G469:G470)</f>
        <v>501937.48000000004</v>
      </c>
      <c r="H471" s="19">
        <f>SUM(H469:H470)</f>
        <v>777995.63</v>
      </c>
      <c r="I471" s="19">
        <f>SUM(I469:I470)</f>
        <v>0</v>
      </c>
      <c r="J471" s="19">
        <f>SUM(J469:J470)</f>
        <v>137272.94</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10470170.33</v>
      </c>
      <c r="G473" s="18">
        <v>403223.09</v>
      </c>
      <c r="H473" s="18">
        <v>777995.63</v>
      </c>
      <c r="I473" s="18"/>
      <c r="J473" s="18">
        <f>157266.85+8898.84</f>
        <v>166165.69</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10470170.33</v>
      </c>
      <c r="G475" s="19">
        <f>SUM(G473:G474)</f>
        <v>403223.09</v>
      </c>
      <c r="H475" s="19">
        <f>SUM(H473:H474)</f>
        <v>777995.63</v>
      </c>
      <c r="I475" s="19">
        <f>SUM(I473:I474)</f>
        <v>0</v>
      </c>
      <c r="J475" s="19">
        <f>SUM(J473:J474)</f>
        <v>166165.69</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1056778.2300000004</v>
      </c>
      <c r="G477" s="19">
        <f>(G466+G471)- G475</f>
        <v>0</v>
      </c>
      <c r="H477" s="19">
        <f>(H466+H471)- H475</f>
        <v>0</v>
      </c>
      <c r="I477" s="19">
        <f>(I466+I471)- I475</f>
        <v>0</v>
      </c>
      <c r="J477" s="19">
        <f>(J466+J471)- J475</f>
        <v>613431.35000000009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1841</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549911.7-13460.52</f>
        <v>536451.17999999993</v>
      </c>
      <c r="G522" s="18">
        <f>302650.15-6187.11</f>
        <v>296463.04000000004</v>
      </c>
      <c r="H522" s="18"/>
      <c r="I522" s="18"/>
      <c r="J522" s="18"/>
      <c r="K522" s="18"/>
      <c r="L522" s="69">
        <f>SUM(F522:K522)</f>
        <v>832914.22</v>
      </c>
      <c r="N522" s="130"/>
    </row>
    <row r="523" spans="1:14" ht="12.2" customHeight="1" x14ac:dyDescent="0.2">
      <c r="A523" s="21" t="s">
        <v>634</v>
      </c>
      <c r="B523" s="22">
        <v>21</v>
      </c>
      <c r="C523" s="22">
        <v>2</v>
      </c>
      <c r="D523" s="2" t="s">
        <v>432</v>
      </c>
      <c r="E523" s="22"/>
      <c r="F523" s="18">
        <v>191131.82</v>
      </c>
      <c r="G523" s="18">
        <f>121352.7-12254.29</f>
        <v>109098.41</v>
      </c>
      <c r="H523" s="18"/>
      <c r="I523" s="18"/>
      <c r="J523" s="18"/>
      <c r="K523" s="18"/>
      <c r="L523" s="69">
        <f>SUM(F523:K523)</f>
        <v>300230.23</v>
      </c>
      <c r="N523" s="130"/>
    </row>
    <row r="524" spans="1:14" ht="12.2" customHeight="1" thickBot="1" x14ac:dyDescent="0.25">
      <c r="A524" s="21" t="s">
        <v>635</v>
      </c>
      <c r="B524" s="22">
        <v>21</v>
      </c>
      <c r="C524" s="22">
        <v>3</v>
      </c>
      <c r="D524" s="2" t="s">
        <v>432</v>
      </c>
      <c r="E524" s="22"/>
      <c r="F524" s="18">
        <v>277552.65000000002</v>
      </c>
      <c r="G524" s="18">
        <f>671352.82-5348.3</f>
        <v>666004.5199999999</v>
      </c>
      <c r="H524" s="18"/>
      <c r="I524" s="18"/>
      <c r="J524" s="18"/>
      <c r="K524" s="18"/>
      <c r="L524" s="69">
        <f>SUM(F524:K524)</f>
        <v>943557.16999999993</v>
      </c>
      <c r="N524" s="130"/>
    </row>
    <row r="525" spans="1:14" ht="12.2" customHeight="1" thickTop="1" x14ac:dyDescent="0.2">
      <c r="A525" s="97" t="s">
        <v>63</v>
      </c>
      <c r="B525" s="41">
        <v>21</v>
      </c>
      <c r="C525" s="41">
        <v>4</v>
      </c>
      <c r="D525" s="115" t="s">
        <v>432</v>
      </c>
      <c r="E525" s="41"/>
      <c r="F525" s="81">
        <f>SUM(F522:F524)</f>
        <v>1005135.65</v>
      </c>
      <c r="G525" s="81">
        <f t="shared" ref="G525:L525" si="36">SUM(G522:G524)</f>
        <v>1071565.97</v>
      </c>
      <c r="H525" s="81">
        <f t="shared" si="36"/>
        <v>0</v>
      </c>
      <c r="I525" s="81">
        <f t="shared" si="36"/>
        <v>0</v>
      </c>
      <c r="J525" s="81">
        <f t="shared" si="36"/>
        <v>0</v>
      </c>
      <c r="K525" s="81">
        <f t="shared" si="36"/>
        <v>0</v>
      </c>
      <c r="L525" s="70">
        <f t="shared" si="36"/>
        <v>2076701.6199999999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v>746149.52</v>
      </c>
      <c r="I527" s="18"/>
      <c r="J527" s="18"/>
      <c r="K527" s="18"/>
      <c r="L527" s="69">
        <f>SUM(F527:K527)</f>
        <v>746149.52</v>
      </c>
      <c r="M527" s="8"/>
      <c r="N527" s="164"/>
    </row>
    <row r="528" spans="1:14" s="3" customFormat="1" ht="12.2" customHeight="1" x14ac:dyDescent="0.15">
      <c r="A528" s="21" t="s">
        <v>634</v>
      </c>
      <c r="B528" s="22">
        <v>21</v>
      </c>
      <c r="C528" s="22">
        <v>6</v>
      </c>
      <c r="D528" s="2" t="s">
        <v>432</v>
      </c>
      <c r="E528" s="22"/>
      <c r="F528" s="18"/>
      <c r="G528" s="18"/>
      <c r="H528" s="18">
        <v>184265.95</v>
      </c>
      <c r="I528" s="18"/>
      <c r="J528" s="18"/>
      <c r="K528" s="18"/>
      <c r="L528" s="69">
        <f>SUM(F528:K528)</f>
        <v>184265.95</v>
      </c>
      <c r="M528" s="8"/>
      <c r="N528" s="164"/>
    </row>
    <row r="529" spans="1:14" s="3" customFormat="1" ht="12.2" customHeight="1" thickBot="1" x14ac:dyDescent="0.2">
      <c r="A529" s="21" t="s">
        <v>635</v>
      </c>
      <c r="B529" s="22">
        <v>21</v>
      </c>
      <c r="C529" s="22">
        <v>7</v>
      </c>
      <c r="D529" s="2" t="s">
        <v>432</v>
      </c>
      <c r="E529" s="22"/>
      <c r="F529" s="18"/>
      <c r="G529" s="18"/>
      <c r="H529" s="18">
        <v>671352.82</v>
      </c>
      <c r="I529" s="18"/>
      <c r="J529" s="18"/>
      <c r="K529" s="18"/>
      <c r="L529" s="69">
        <f>SUM(F529:K529)</f>
        <v>671352.82</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1601768.29</v>
      </c>
      <c r="I530" s="70">
        <f t="shared" si="37"/>
        <v>0</v>
      </c>
      <c r="J530" s="70">
        <f t="shared" si="37"/>
        <v>0</v>
      </c>
      <c r="K530" s="70">
        <f t="shared" si="37"/>
        <v>0</v>
      </c>
      <c r="L530" s="70">
        <f t="shared" si="37"/>
        <v>1601768.29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13460.52</v>
      </c>
      <c r="G532" s="18">
        <f>2529.64+3657.47</f>
        <v>6187.11</v>
      </c>
      <c r="H532" s="18"/>
      <c r="I532" s="18"/>
      <c r="J532" s="18"/>
      <c r="K532" s="18"/>
      <c r="L532" s="69">
        <f>SUM(F532:K532)</f>
        <v>19647.63</v>
      </c>
      <c r="M532" s="8"/>
      <c r="N532" s="164"/>
    </row>
    <row r="533" spans="1:14" s="3" customFormat="1" ht="12.2" customHeight="1" x14ac:dyDescent="0.15">
      <c r="A533" s="21" t="s">
        <v>634</v>
      </c>
      <c r="B533" s="22">
        <v>21</v>
      </c>
      <c r="C533" s="22">
        <v>10</v>
      </c>
      <c r="D533" s="2" t="s">
        <v>432</v>
      </c>
      <c r="E533" s="22"/>
      <c r="F533" s="18">
        <v>38897.79</v>
      </c>
      <c r="G533" s="18">
        <f>3938.06+8316.23</f>
        <v>12254.289999999999</v>
      </c>
      <c r="H533" s="18"/>
      <c r="I533" s="18"/>
      <c r="J533" s="18"/>
      <c r="K533" s="18"/>
      <c r="L533" s="69">
        <f>SUM(F533:K533)</f>
        <v>51152.08</v>
      </c>
      <c r="M533" s="8"/>
      <c r="N533" s="164"/>
    </row>
    <row r="534" spans="1:14" s="3" customFormat="1" ht="12.2" customHeight="1" thickBot="1" x14ac:dyDescent="0.2">
      <c r="A534" s="21" t="s">
        <v>635</v>
      </c>
      <c r="B534" s="22">
        <v>21</v>
      </c>
      <c r="C534" s="22">
        <v>11</v>
      </c>
      <c r="D534" s="2" t="s">
        <v>432</v>
      </c>
      <c r="E534" s="22"/>
      <c r="F534" s="18">
        <v>18620.650000000001</v>
      </c>
      <c r="G534" s="18">
        <f>1976.5+3371.8</f>
        <v>5348.3</v>
      </c>
      <c r="H534" s="18"/>
      <c r="I534" s="18"/>
      <c r="J534" s="18"/>
      <c r="K534" s="18"/>
      <c r="L534" s="69">
        <f>SUM(F534:K534)</f>
        <v>23968.95</v>
      </c>
      <c r="M534" s="8"/>
      <c r="N534" s="164"/>
    </row>
    <row r="535" spans="1:14" s="3" customFormat="1" ht="12.2" customHeight="1" thickTop="1" x14ac:dyDescent="0.15">
      <c r="A535" s="97" t="s">
        <v>67</v>
      </c>
      <c r="B535" s="41">
        <v>21</v>
      </c>
      <c r="C535" s="41">
        <v>12</v>
      </c>
      <c r="D535" s="115" t="s">
        <v>432</v>
      </c>
      <c r="E535" s="41"/>
      <c r="F535" s="70">
        <f>SUM(F532:F534)</f>
        <v>70978.959999999992</v>
      </c>
      <c r="G535" s="70">
        <f t="shared" ref="G535:L535" si="38">SUM(G532:G534)</f>
        <v>23789.699999999997</v>
      </c>
      <c r="H535" s="70">
        <f t="shared" si="38"/>
        <v>0</v>
      </c>
      <c r="I535" s="70">
        <f t="shared" si="38"/>
        <v>0</v>
      </c>
      <c r="J535" s="70">
        <f t="shared" si="38"/>
        <v>0</v>
      </c>
      <c r="K535" s="70">
        <f t="shared" si="38"/>
        <v>0</v>
      </c>
      <c r="L535" s="70">
        <f t="shared" si="38"/>
        <v>94768.66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44421.27</v>
      </c>
      <c r="G542" s="18">
        <f>33.11+3052.69</f>
        <v>3085.8</v>
      </c>
      <c r="H542" s="18"/>
      <c r="I542" s="18"/>
      <c r="J542" s="18"/>
      <c r="K542" s="18"/>
      <c r="L542" s="69">
        <f>SUM(F542:K542)</f>
        <v>47507.07</v>
      </c>
      <c r="M542" s="8"/>
      <c r="N542" s="164"/>
    </row>
    <row r="543" spans="1:14" s="3" customFormat="1" ht="12.2" customHeight="1" x14ac:dyDescent="0.15">
      <c r="A543" s="21" t="s">
        <v>634</v>
      </c>
      <c r="B543" s="22">
        <v>21</v>
      </c>
      <c r="C543" s="22">
        <v>18</v>
      </c>
      <c r="D543" s="2" t="s">
        <v>432</v>
      </c>
      <c r="E543" s="22"/>
      <c r="F543" s="18">
        <v>21610</v>
      </c>
      <c r="G543" s="18">
        <f>1891.47+8.78</f>
        <v>1900.25</v>
      </c>
      <c r="H543" s="18"/>
      <c r="I543" s="18"/>
      <c r="J543" s="18"/>
      <c r="K543" s="18"/>
      <c r="L543" s="69">
        <f>SUM(F543:K543)</f>
        <v>23510.25</v>
      </c>
      <c r="M543" s="8"/>
      <c r="N543" s="164"/>
    </row>
    <row r="544" spans="1:14" s="3" customFormat="1" ht="12.2" customHeight="1" thickBot="1" x14ac:dyDescent="0.2">
      <c r="A544" s="21" t="s">
        <v>635</v>
      </c>
      <c r="B544" s="22">
        <v>21</v>
      </c>
      <c r="C544" s="22">
        <v>19</v>
      </c>
      <c r="D544" s="2" t="s">
        <v>432</v>
      </c>
      <c r="E544" s="22"/>
      <c r="F544" s="18">
        <v>21609.16</v>
      </c>
      <c r="G544" s="18">
        <f>1483.98+903.64</f>
        <v>2387.62</v>
      </c>
      <c r="H544" s="18"/>
      <c r="I544" s="18"/>
      <c r="J544" s="18"/>
      <c r="K544" s="18"/>
      <c r="L544" s="69">
        <f>SUM(F544:K544)</f>
        <v>23996.78</v>
      </c>
      <c r="M544" s="8"/>
      <c r="N544" s="164"/>
    </row>
    <row r="545" spans="1:14" s="3" customFormat="1" ht="12.2" customHeight="1" thickTop="1" thickBot="1" x14ac:dyDescent="0.2">
      <c r="A545" s="93" t="s">
        <v>71</v>
      </c>
      <c r="B545" s="63">
        <v>21</v>
      </c>
      <c r="C545" s="63">
        <v>20</v>
      </c>
      <c r="D545" s="139" t="s">
        <v>432</v>
      </c>
      <c r="E545" s="63"/>
      <c r="F545" s="140">
        <f>SUM(F542:F544)</f>
        <v>87640.43</v>
      </c>
      <c r="G545" s="140">
        <f t="shared" ref="G545:L545" si="40">SUM(G542:G544)</f>
        <v>7373.67</v>
      </c>
      <c r="H545" s="140">
        <f t="shared" si="40"/>
        <v>0</v>
      </c>
      <c r="I545" s="140">
        <f t="shared" si="40"/>
        <v>0</v>
      </c>
      <c r="J545" s="140">
        <f t="shared" si="40"/>
        <v>0</v>
      </c>
      <c r="K545" s="140">
        <f t="shared" si="40"/>
        <v>0</v>
      </c>
      <c r="L545" s="140">
        <f t="shared" si="40"/>
        <v>95014.1</v>
      </c>
      <c r="M545" s="8"/>
      <c r="N545" s="164"/>
    </row>
    <row r="546" spans="1:14" s="3" customFormat="1" ht="12.2" customHeight="1" thickTop="1" x14ac:dyDescent="0.15">
      <c r="A546" s="75" t="s">
        <v>72</v>
      </c>
      <c r="B546" s="41">
        <v>21</v>
      </c>
      <c r="C546" s="41">
        <v>21</v>
      </c>
      <c r="D546" s="115" t="s">
        <v>432</v>
      </c>
      <c r="E546" s="41"/>
      <c r="F546" s="70">
        <f>F525+F530+F535+F540+F545</f>
        <v>1163755.04</v>
      </c>
      <c r="G546" s="70">
        <f t="shared" ref="G546:L546" si="41">G525+G530+G535+G540+G545</f>
        <v>1102729.3399999999</v>
      </c>
      <c r="H546" s="70">
        <f t="shared" si="41"/>
        <v>1601768.29</v>
      </c>
      <c r="I546" s="70">
        <f t="shared" si="41"/>
        <v>0</v>
      </c>
      <c r="J546" s="70">
        <f t="shared" si="41"/>
        <v>0</v>
      </c>
      <c r="K546" s="70">
        <f t="shared" si="41"/>
        <v>0</v>
      </c>
      <c r="L546" s="70">
        <f t="shared" si="41"/>
        <v>3868252.6700000004</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832914.22</v>
      </c>
      <c r="G550" s="69">
        <f>L527</f>
        <v>746149.52</v>
      </c>
      <c r="H550" s="69">
        <f>L532</f>
        <v>19647.63</v>
      </c>
      <c r="I550" s="69">
        <f>L537</f>
        <v>0</v>
      </c>
      <c r="J550" s="69">
        <f>L542</f>
        <v>47507.07</v>
      </c>
      <c r="K550" s="69">
        <f>SUM(F550:J550)</f>
        <v>1646218.44</v>
      </c>
      <c r="L550" s="23" t="s">
        <v>288</v>
      </c>
      <c r="M550" s="8"/>
      <c r="N550" s="164"/>
    </row>
    <row r="551" spans="1:14" s="3" customFormat="1" ht="12.2" customHeight="1" x14ac:dyDescent="0.15">
      <c r="A551" s="21" t="s">
        <v>634</v>
      </c>
      <c r="B551" s="22">
        <v>21</v>
      </c>
      <c r="C551" s="22">
        <v>23</v>
      </c>
      <c r="D551" s="2" t="s">
        <v>432</v>
      </c>
      <c r="E551" s="22"/>
      <c r="F551" s="69">
        <f>L523</f>
        <v>300230.23</v>
      </c>
      <c r="G551" s="69">
        <f>L528</f>
        <v>184265.95</v>
      </c>
      <c r="H551" s="69">
        <f>L533</f>
        <v>51152.08</v>
      </c>
      <c r="I551" s="69">
        <f>L538</f>
        <v>0</v>
      </c>
      <c r="J551" s="69">
        <f>L543</f>
        <v>23510.25</v>
      </c>
      <c r="K551" s="69">
        <f>SUM(F551:J551)</f>
        <v>559158.51</v>
      </c>
      <c r="L551" s="23" t="s">
        <v>288</v>
      </c>
      <c r="M551" s="8"/>
      <c r="N551" s="164"/>
    </row>
    <row r="552" spans="1:14" s="3" customFormat="1" ht="12.2" customHeight="1" thickBot="1" x14ac:dyDescent="0.2">
      <c r="A552" s="21" t="s">
        <v>635</v>
      </c>
      <c r="B552" s="22">
        <v>21</v>
      </c>
      <c r="C552" s="22">
        <v>24</v>
      </c>
      <c r="D552" s="2" t="s">
        <v>432</v>
      </c>
      <c r="E552" s="22"/>
      <c r="F552" s="69">
        <f>L524</f>
        <v>943557.16999999993</v>
      </c>
      <c r="G552" s="69">
        <f>L529</f>
        <v>671352.82</v>
      </c>
      <c r="H552" s="69">
        <f>L534</f>
        <v>23968.95</v>
      </c>
      <c r="I552" s="69">
        <f>L539</f>
        <v>0</v>
      </c>
      <c r="J552" s="69">
        <f>L544</f>
        <v>23996.78</v>
      </c>
      <c r="K552" s="69">
        <f>SUM(F552:J552)</f>
        <v>1662875.7199999997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2076701.6199999999</v>
      </c>
      <c r="G553" s="70">
        <f t="shared" si="42"/>
        <v>1601768.29</v>
      </c>
      <c r="H553" s="70">
        <f t="shared" si="42"/>
        <v>94768.66</v>
      </c>
      <c r="I553" s="70">
        <f t="shared" si="42"/>
        <v>0</v>
      </c>
      <c r="J553" s="70">
        <f t="shared" si="42"/>
        <v>95014.1</v>
      </c>
      <c r="K553" s="70">
        <f t="shared" si="42"/>
        <v>3868252.67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16868.16</v>
      </c>
      <c r="I576" s="69">
        <f>SUM(F576:H576)</f>
        <v>16868.16</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3052.69</v>
      </c>
      <c r="G580" s="18">
        <v>1967.5</v>
      </c>
      <c r="H580" s="18">
        <v>0</v>
      </c>
      <c r="I580" s="69">
        <f t="shared" si="47"/>
        <v>5020.1900000000005</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153261.24</v>
      </c>
      <c r="G583" s="18">
        <v>138401.51</v>
      </c>
      <c r="H583" s="18">
        <v>621729.59</v>
      </c>
      <c r="I583" s="69">
        <f t="shared" si="47"/>
        <v>913392.34</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31922.85</v>
      </c>
      <c r="I585" s="69">
        <f t="shared" si="47"/>
        <v>31922.85</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156313.93</v>
      </c>
      <c r="G589" s="79">
        <f t="shared" ref="G589:I589" si="48">SUM(G576:G588)</f>
        <v>140369.01</v>
      </c>
      <c r="H589" s="79">
        <f t="shared" si="48"/>
        <v>670520.6</v>
      </c>
      <c r="I589" s="79">
        <f t="shared" si="48"/>
        <v>967203.53999999992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248051.22-1937.38-47507.07</f>
        <v>198606.77</v>
      </c>
      <c r="I592" s="18">
        <f>140366.63-2567.62-23510.25</f>
        <v>114288.76000000001</v>
      </c>
      <c r="J592" s="18">
        <f>174353.22-40653.42-23996.78</f>
        <v>109703.01999999999</v>
      </c>
      <c r="K592" s="80">
        <f t="shared" ref="K592:K598" si="49">SUM(H592:J592)</f>
        <v>422598.55000000005</v>
      </c>
      <c r="L592" s="23" t="s">
        <v>288</v>
      </c>
      <c r="M592" s="8"/>
      <c r="N592" s="164"/>
    </row>
    <row r="593" spans="1:14" s="3" customFormat="1" ht="12.2" customHeight="1" x14ac:dyDescent="0.15">
      <c r="A593" s="3" t="s">
        <v>638</v>
      </c>
      <c r="B593" s="22">
        <v>23</v>
      </c>
      <c r="C593" s="22">
        <v>2</v>
      </c>
      <c r="D593" s="2" t="s">
        <v>432</v>
      </c>
      <c r="E593" s="22"/>
      <c r="F593" s="78">
        <v>2722</v>
      </c>
      <c r="G593" s="79" t="s">
        <v>97</v>
      </c>
      <c r="H593" s="18">
        <v>47507.07</v>
      </c>
      <c r="I593" s="18">
        <v>23510.25</v>
      </c>
      <c r="J593" s="18">
        <v>23996.78</v>
      </c>
      <c r="K593" s="80">
        <f t="shared" si="49"/>
        <v>95014.1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v>0</v>
      </c>
      <c r="J594" s="18">
        <f>28026.47+6159.7</f>
        <v>34186.17</v>
      </c>
      <c r="K594" s="80">
        <f t="shared" si="49"/>
        <v>34186.17</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2531.4699999999998</v>
      </c>
      <c r="J595" s="18">
        <v>5123.88</v>
      </c>
      <c r="K595" s="80">
        <f t="shared" si="49"/>
        <v>7655.35</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1937.38</v>
      </c>
      <c r="I596" s="18">
        <v>36.15</v>
      </c>
      <c r="J596" s="18">
        <v>1343.37</v>
      </c>
      <c r="K596" s="80">
        <f t="shared" si="49"/>
        <v>3316.9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248051.22</v>
      </c>
      <c r="I599" s="81">
        <f>SUM(I592:I598)</f>
        <v>140366.63</v>
      </c>
      <c r="J599" s="81">
        <f>SUM(J592:J598)</f>
        <v>174353.21999999997</v>
      </c>
      <c r="K599" s="81">
        <f>SUM(K592:K598)</f>
        <v>562771.07000000007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8818.5+10968.63</f>
        <v>19787.129999999997</v>
      </c>
      <c r="I605" s="18">
        <v>13408.11</v>
      </c>
      <c r="J605" s="18">
        <f>24760.24+867</f>
        <v>25627.24</v>
      </c>
      <c r="K605" s="80">
        <f>SUM(H605:J605)</f>
        <v>58822.479999999996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19787.129999999997</v>
      </c>
      <c r="I606" s="81">
        <f>SUM(I603:I605)</f>
        <v>13408.11</v>
      </c>
      <c r="J606" s="81">
        <f>SUM(J603:J605)</f>
        <v>25627.24</v>
      </c>
      <c r="K606" s="81">
        <f>SUM(K603:K605)</f>
        <v>58822.479999999996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2416221.85</v>
      </c>
      <c r="H618" s="80">
        <f>SUM(F52)</f>
        <v>2416221.85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25616.720000000001</v>
      </c>
      <c r="H619" s="80">
        <f>SUM(G52)</f>
        <v>25616.720000000001</v>
      </c>
      <c r="I619" s="87" t="s">
        <v>872</v>
      </c>
      <c r="J619" s="80">
        <f>G619-H619</f>
        <v>0</v>
      </c>
      <c r="K619" s="80"/>
      <c r="L619" s="80"/>
      <c r="M619" s="8"/>
    </row>
    <row r="620" spans="1:14" s="3" customFormat="1" ht="12.2" customHeight="1" x14ac:dyDescent="0.15">
      <c r="A620" s="74"/>
      <c r="B620" s="22"/>
      <c r="C620" s="22"/>
      <c r="D620" s="22"/>
      <c r="E620" s="22"/>
      <c r="F620" s="87" t="s">
        <v>685</v>
      </c>
      <c r="G620" s="80">
        <f>SUM(H19)</f>
        <v>190779.42</v>
      </c>
      <c r="H620" s="80">
        <f>SUM(H52)</f>
        <v>190779.42</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779597.04</v>
      </c>
      <c r="H622" s="80">
        <f>SUM(J52)</f>
        <v>779597.04</v>
      </c>
      <c r="I622" s="87" t="s">
        <v>875</v>
      </c>
      <c r="J622" s="80">
        <f>G622-H622</f>
        <v>0</v>
      </c>
      <c r="K622" s="80"/>
      <c r="L622" s="80"/>
      <c r="M622" s="8"/>
    </row>
    <row r="623" spans="1:14" s="3" customFormat="1" ht="12.2" customHeight="1" x14ac:dyDescent="0.15">
      <c r="A623" s="74"/>
      <c r="B623" s="22"/>
      <c r="C623" s="22"/>
      <c r="D623" s="22"/>
      <c r="E623" s="22"/>
      <c r="F623" s="87" t="s">
        <v>861</v>
      </c>
      <c r="G623" s="80">
        <f>F51</f>
        <v>1056778.23</v>
      </c>
      <c r="H623" s="80">
        <f>F477</f>
        <v>1056778.2300000004</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613431.35</v>
      </c>
      <c r="H627" s="80">
        <f>J477</f>
        <v>613431.35000000009</v>
      </c>
      <c r="I627" s="87" t="s">
        <v>105</v>
      </c>
      <c r="J627" s="80">
        <f t="shared" si="51"/>
        <v>0</v>
      </c>
      <c r="K627" s="67"/>
      <c r="L627" s="69"/>
      <c r="M627" s="8"/>
    </row>
    <row r="628" spans="1:13" s="3" customFormat="1" ht="12.2" customHeight="1" x14ac:dyDescent="0.15">
      <c r="A628" s="21"/>
      <c r="B628" s="22"/>
      <c r="C628" s="22"/>
      <c r="D628" s="22"/>
      <c r="E628" s="22"/>
      <c r="F628" s="86" t="s">
        <v>658</v>
      </c>
      <c r="G628" s="80">
        <f>F194</f>
        <v>10540733.1</v>
      </c>
      <c r="H628" s="80">
        <f>SUM(F469)</f>
        <v>10540733.1</v>
      </c>
      <c r="I628" s="87" t="s">
        <v>106</v>
      </c>
      <c r="J628" s="80">
        <f>G628-H628</f>
        <v>0</v>
      </c>
      <c r="K628" s="67"/>
      <c r="L628" s="69"/>
      <c r="M628" s="8"/>
    </row>
    <row r="629" spans="1:13" s="3" customFormat="1" ht="12.2" customHeight="1" x14ac:dyDescent="0.15">
      <c r="A629" s="21"/>
      <c r="B629" s="22"/>
      <c r="C629" s="22"/>
      <c r="D629" s="22"/>
      <c r="E629" s="22"/>
      <c r="F629" s="86" t="s">
        <v>659</v>
      </c>
      <c r="G629" s="80">
        <f>G194</f>
        <v>403223.08999999997</v>
      </c>
      <c r="H629" s="80">
        <f>SUM(G469)</f>
        <v>403223.09</v>
      </c>
      <c r="I629" s="87" t="s">
        <v>107</v>
      </c>
      <c r="J629" s="80">
        <f>G629-H629</f>
        <v>0</v>
      </c>
      <c r="K629" s="67"/>
      <c r="L629" s="69"/>
      <c r="M629" s="8"/>
    </row>
    <row r="630" spans="1:13" s="3" customFormat="1" ht="12.2" customHeight="1" x14ac:dyDescent="0.15">
      <c r="A630" s="21"/>
      <c r="B630" s="22"/>
      <c r="C630" s="22"/>
      <c r="D630" s="22"/>
      <c r="E630" s="22"/>
      <c r="F630" s="86" t="s">
        <v>660</v>
      </c>
      <c r="G630" s="80">
        <f>H194</f>
        <v>777995.63</v>
      </c>
      <c r="H630" s="80">
        <f>SUM(H469)</f>
        <v>777995.63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137272.94</v>
      </c>
      <c r="H632" s="80">
        <f>SUM(J469)</f>
        <v>137272.94</v>
      </c>
      <c r="I632" s="87" t="s">
        <v>110</v>
      </c>
      <c r="J632" s="80">
        <f>G632-H632</f>
        <v>0</v>
      </c>
      <c r="K632" s="67"/>
      <c r="L632" s="69"/>
      <c r="M632" s="8"/>
    </row>
    <row r="633" spans="1:13" s="3" customFormat="1" ht="12.2" customHeight="1" x14ac:dyDescent="0.15">
      <c r="A633" s="21"/>
      <c r="B633" s="22"/>
      <c r="C633" s="22"/>
      <c r="D633" s="22"/>
      <c r="E633" s="22"/>
      <c r="F633" s="86" t="s">
        <v>394</v>
      </c>
      <c r="G633" s="80">
        <f>SUM(L272)</f>
        <v>10470170.33</v>
      </c>
      <c r="H633" s="80">
        <f>SUM(F473)</f>
        <v>10470170.33</v>
      </c>
      <c r="I633" s="87" t="s">
        <v>111</v>
      </c>
      <c r="J633" s="80">
        <f t="shared" si="51"/>
        <v>0</v>
      </c>
      <c r="K633" s="67"/>
      <c r="L633" s="69"/>
      <c r="M633" s="8"/>
    </row>
    <row r="634" spans="1:13" s="3" customFormat="1" ht="12.2" customHeight="1" x14ac:dyDescent="0.15">
      <c r="A634" s="21"/>
      <c r="B634" s="22"/>
      <c r="C634" s="22"/>
      <c r="D634" s="22"/>
      <c r="E634" s="22"/>
      <c r="F634" s="86" t="s">
        <v>395</v>
      </c>
      <c r="G634" s="80">
        <f>SUM(L353)</f>
        <v>777995.62999999989</v>
      </c>
      <c r="H634" s="80">
        <f>SUM(H473)</f>
        <v>777995.63</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403223.09</v>
      </c>
      <c r="H636" s="80">
        <f>SUM(G473)</f>
        <v>403223.09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137272.94</v>
      </c>
      <c r="H638" s="108">
        <f>SUM(J469)</f>
        <v>137272.94</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166165.68999999997</v>
      </c>
      <c r="H639" s="108">
        <f>SUM(J473)</f>
        <v>166165.69</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386836.98</v>
      </c>
      <c r="H640" s="80">
        <f>SUM(F462)</f>
        <v>386836.98</v>
      </c>
      <c r="I640" s="87" t="s">
        <v>837</v>
      </c>
      <c r="J640" s="80">
        <f t="shared" si="51"/>
        <v>0</v>
      </c>
      <c r="K640" s="67"/>
      <c r="L640" s="69"/>
      <c r="M640" s="8"/>
    </row>
    <row r="641" spans="1:13" s="3" customFormat="1" ht="12.2" customHeight="1" x14ac:dyDescent="0.15">
      <c r="A641" s="21"/>
      <c r="B641" s="22"/>
      <c r="C641" s="22"/>
      <c r="D641" s="22"/>
      <c r="E641" s="22"/>
      <c r="F641" s="86" t="s">
        <v>119</v>
      </c>
      <c r="G641" s="80">
        <f>SUM(G447)</f>
        <v>392760.06</v>
      </c>
      <c r="H641" s="80">
        <f>SUM(G462)</f>
        <v>392760.06</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779597.04</v>
      </c>
      <c r="H643" s="80">
        <f>SUM(I462)</f>
        <v>779597.04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16272.94</v>
      </c>
      <c r="H645" s="80">
        <f>H409</f>
        <v>16272.94</v>
      </c>
      <c r="I645" s="87" t="s">
        <v>480</v>
      </c>
      <c r="J645" s="80">
        <f t="shared" si="51"/>
        <v>0</v>
      </c>
      <c r="K645" s="67"/>
      <c r="L645" s="69"/>
      <c r="M645" s="8"/>
    </row>
    <row r="646" spans="1:13" s="3" customFormat="1" ht="12.2" customHeight="1" x14ac:dyDescent="0.15">
      <c r="A646" s="21"/>
      <c r="B646" s="22"/>
      <c r="C646" s="22"/>
      <c r="D646" s="22"/>
      <c r="E646" s="22"/>
      <c r="F646" s="86" t="s">
        <v>664</v>
      </c>
      <c r="G646" s="80">
        <f>J184</f>
        <v>121000</v>
      </c>
      <c r="H646" s="80">
        <f>G409</f>
        <v>121000</v>
      </c>
      <c r="I646" s="87" t="s">
        <v>481</v>
      </c>
      <c r="J646" s="80">
        <f t="shared" si="51"/>
        <v>0</v>
      </c>
      <c r="K646" s="67"/>
      <c r="L646" s="69"/>
      <c r="M646" s="8"/>
    </row>
    <row r="647" spans="1:13" s="3" customFormat="1" ht="12.2" customHeight="1" x14ac:dyDescent="0.15">
      <c r="A647" s="21"/>
      <c r="B647" s="22"/>
      <c r="C647" s="22"/>
      <c r="D647" s="22"/>
      <c r="E647" s="22"/>
      <c r="F647" s="86" t="s">
        <v>662</v>
      </c>
      <c r="G647" s="80">
        <f>J194</f>
        <v>137272.94</v>
      </c>
      <c r="H647" s="80">
        <f>L409</f>
        <v>137272.94</v>
      </c>
      <c r="I647" s="87" t="s">
        <v>477</v>
      </c>
      <c r="J647" s="80">
        <f t="shared" si="51"/>
        <v>0</v>
      </c>
      <c r="K647" s="67"/>
      <c r="L647" s="69"/>
      <c r="M647" s="8"/>
    </row>
    <row r="648" spans="1:13" s="3" customFormat="1" ht="12.2" customHeight="1" x14ac:dyDescent="0.15">
      <c r="A648" s="21"/>
      <c r="B648" s="22"/>
      <c r="C648" s="22"/>
      <c r="D648" s="22"/>
      <c r="E648" s="22"/>
      <c r="F648" s="86" t="s">
        <v>51</v>
      </c>
      <c r="G648" s="80">
        <f>K599</f>
        <v>562771.07000000007</v>
      </c>
      <c r="H648" s="80">
        <f>L209+L227+L245</f>
        <v>562771.07000000007</v>
      </c>
      <c r="I648" s="87" t="s">
        <v>396</v>
      </c>
      <c r="J648" s="80">
        <f t="shared" si="51"/>
        <v>0</v>
      </c>
      <c r="K648" s="67"/>
      <c r="L648" s="69"/>
      <c r="M648" s="8"/>
    </row>
    <row r="649" spans="1:13" s="3" customFormat="1" ht="12.2" customHeight="1" x14ac:dyDescent="0.15">
      <c r="A649" s="21"/>
      <c r="B649" s="22"/>
      <c r="C649" s="22"/>
      <c r="D649" s="22"/>
      <c r="E649" s="22"/>
      <c r="F649" s="86" t="s">
        <v>52</v>
      </c>
      <c r="G649" s="80">
        <f>K606</f>
        <v>58822.479999999996</v>
      </c>
      <c r="H649" s="80">
        <f>(J258+J339)-(J256+J337)</f>
        <v>58822.479999999996</v>
      </c>
      <c r="I649" s="87" t="s">
        <v>699</v>
      </c>
      <c r="J649" s="80">
        <f t="shared" si="51"/>
        <v>0</v>
      </c>
      <c r="K649" s="67"/>
      <c r="L649" s="69"/>
      <c r="M649" s="8"/>
    </row>
    <row r="650" spans="1:13" s="3" customFormat="1" ht="12.2" customHeight="1" x14ac:dyDescent="0.15">
      <c r="A650" s="21"/>
      <c r="B650" s="22"/>
      <c r="C650" s="22"/>
      <c r="D650" s="22"/>
      <c r="E650" s="22"/>
      <c r="F650" s="86" t="s">
        <v>387</v>
      </c>
      <c r="G650" s="80">
        <f>L209</f>
        <v>248051.22000000003</v>
      </c>
      <c r="H650" s="80">
        <f>H599</f>
        <v>248051.22</v>
      </c>
      <c r="I650" s="87" t="s">
        <v>388</v>
      </c>
      <c r="J650" s="80">
        <f t="shared" si="51"/>
        <v>0</v>
      </c>
      <c r="K650" s="67"/>
      <c r="L650" s="69"/>
      <c r="M650" s="8"/>
    </row>
    <row r="651" spans="1:13" s="3" customFormat="1" ht="12.2" customHeight="1" x14ac:dyDescent="0.15">
      <c r="A651" s="21"/>
      <c r="B651" s="22"/>
      <c r="C651" s="22"/>
      <c r="D651" s="22"/>
      <c r="E651" s="22"/>
      <c r="F651" s="86" t="s">
        <v>392</v>
      </c>
      <c r="G651" s="80">
        <f>L227</f>
        <v>140366.63</v>
      </c>
      <c r="H651" s="80">
        <f>I599</f>
        <v>140366.63</v>
      </c>
      <c r="I651" s="87" t="s">
        <v>389</v>
      </c>
      <c r="J651" s="80">
        <f t="shared" si="51"/>
        <v>0</v>
      </c>
      <c r="K651" s="67"/>
      <c r="L651" s="69"/>
      <c r="M651" s="8"/>
    </row>
    <row r="652" spans="1:13" s="3" customFormat="1" ht="12.2" customHeight="1" x14ac:dyDescent="0.15">
      <c r="A652" s="21"/>
      <c r="B652" s="22"/>
      <c r="C652" s="22"/>
      <c r="D652" s="22"/>
      <c r="E652" s="22"/>
      <c r="F652" s="86" t="s">
        <v>393</v>
      </c>
      <c r="G652" s="80">
        <f>L245</f>
        <v>174353.22000000003</v>
      </c>
      <c r="H652" s="80">
        <f>J599</f>
        <v>174353.21999999997</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135988.6</v>
      </c>
      <c r="H653" s="80">
        <f>K264+K346</f>
        <v>135988.6</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121000</v>
      </c>
      <c r="H656" s="80">
        <f>K267+K348</f>
        <v>121000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5749454.4099999992</v>
      </c>
      <c r="G661" s="13">
        <f>(L230+L310+L360)</f>
        <v>2396709.6199999996</v>
      </c>
      <c r="H661" s="13">
        <f>(L248+L329+L361)</f>
        <v>3248236.4200000009</v>
      </c>
      <c r="I661" s="13">
        <f>SUM(F661:H661)</f>
        <v>11394400.449999999</v>
      </c>
      <c r="J661" s="13"/>
      <c r="K661" s="13"/>
      <c r="L661" s="13"/>
      <c r="M661" s="9"/>
    </row>
    <row r="662" spans="1:13" s="3" customFormat="1" ht="12.2" customHeight="1" x14ac:dyDescent="0.2">
      <c r="A662" s="1" t="s">
        <v>127</v>
      </c>
      <c r="F662" s="13">
        <f>(L359/IF(SUM(L359:L361)=0,1,SUM(L359:L361))*(SUM(G97:G110)))</f>
        <v>56510.161401461402</v>
      </c>
      <c r="G662" s="13">
        <f>(L360/IF(SUM(L359:L361)=0,1,SUM(L359:L361))*(SUM(G97:G110)))</f>
        <v>28255.079299269291</v>
      </c>
      <c r="H662" s="13">
        <f>(L361/IF(SUM(L359:L361)=0,1,SUM(L359:L361))*(SUM(G97:G110)))</f>
        <v>28255.079299269291</v>
      </c>
      <c r="I662" s="13">
        <f>SUM(F662:H662)</f>
        <v>113020.31999999998</v>
      </c>
      <c r="J662"/>
      <c r="K662" s="13"/>
      <c r="L662" s="13"/>
      <c r="M662" s="8"/>
    </row>
    <row r="663" spans="1:13" s="3" customFormat="1" ht="12.2" customHeight="1" x14ac:dyDescent="0.2">
      <c r="A663" s="1" t="s">
        <v>128</v>
      </c>
      <c r="F663" s="13">
        <f>(L209+L288)-(J209+J288)</f>
        <v>265548.09000000003</v>
      </c>
      <c r="G663" s="13">
        <f>(L227+L307)-(J227+J307)</f>
        <v>139486.38</v>
      </c>
      <c r="H663" s="13">
        <f>(L245+L326)-(J245+J326)</f>
        <v>173472.97000000003</v>
      </c>
      <c r="I663" s="13">
        <f>SUM(F663:H663)</f>
        <v>578507.44000000006</v>
      </c>
      <c r="J663"/>
      <c r="K663" s="13"/>
      <c r="L663" s="13"/>
      <c r="M663" s="9"/>
    </row>
    <row r="664" spans="1:13" s="3" customFormat="1" ht="12.2" customHeight="1" x14ac:dyDescent="0.15">
      <c r="A664" s="141" t="s">
        <v>129</v>
      </c>
      <c r="B664" s="124"/>
      <c r="C664" s="124"/>
      <c r="D664" s="124"/>
      <c r="E664" s="124"/>
      <c r="F664" s="142">
        <f>SUM(F576:F588)+SUM(H603:H605)+SUM(L612)</f>
        <v>176101.06</v>
      </c>
      <c r="G664" s="142">
        <f>SUM(G576:G588)+SUM(I603:I605)+L613</f>
        <v>153777.12</v>
      </c>
      <c r="H664" s="142">
        <f>SUM(H576:H588)+SUM(J603:J605)+L614</f>
        <v>696147.84</v>
      </c>
      <c r="I664" s="13">
        <f>SUM(F664:H664)</f>
        <v>1026026.02</v>
      </c>
      <c r="J664" s="13"/>
      <c r="K664" s="13"/>
      <c r="L664" s="13"/>
      <c r="M664" s="9"/>
    </row>
    <row r="665" spans="1:13" s="3" customFormat="1" ht="12.2" customHeight="1" x14ac:dyDescent="0.15">
      <c r="A665" s="1" t="s">
        <v>130</v>
      </c>
      <c r="F665" s="13">
        <f>F661-SUM(F662:F664)</f>
        <v>5251295.098598538</v>
      </c>
      <c r="G665" s="13">
        <f>G661-SUM(G662:G664)</f>
        <v>2075191.0407007304</v>
      </c>
      <c r="H665" s="13">
        <f>H661-SUM(H662:H664)</f>
        <v>2350360.5307007316</v>
      </c>
      <c r="I665" s="13">
        <f>I661-SUM(I662:I664)</f>
        <v>9676846.6699999999</v>
      </c>
      <c r="J665" s="13"/>
      <c r="K665" s="13"/>
      <c r="L665" s="13"/>
      <c r="M665" s="8"/>
    </row>
    <row r="666" spans="1:13" s="3" customFormat="1" ht="12.2" customHeight="1" x14ac:dyDescent="0.2">
      <c r="A666" s="1" t="s">
        <v>131</v>
      </c>
      <c r="F666" s="182">
        <v>240.3</v>
      </c>
      <c r="G666" s="183">
        <v>107.55</v>
      </c>
      <c r="H666" s="183">
        <v>156.49</v>
      </c>
      <c r="I666" s="13">
        <f>SUM(F666:H666)</f>
        <v>504.34000000000003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21853.08</v>
      </c>
      <c r="G668" s="13">
        <f>ROUND(G665/G666,2)</f>
        <v>19295.13</v>
      </c>
      <c r="H668" s="13">
        <f>ROUND(H665/H666,2)</f>
        <v>15019.24</v>
      </c>
      <c r="I668" s="13">
        <f>ROUND(I665/I666,2)</f>
        <v>19187.150000000001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-7.66</v>
      </c>
      <c r="I671" s="13">
        <f>SUM(F671:H671)</f>
        <v>-7.66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21853.08</v>
      </c>
      <c r="G673" s="13">
        <f>ROUND((G665+G670)/(G666+G671),2)</f>
        <v>19295.13</v>
      </c>
      <c r="H673" s="13">
        <f>ROUND((H665+H670)/(H666+H671),2)</f>
        <v>15792.25</v>
      </c>
      <c r="I673" s="13">
        <f>ROUND((I665+I670)/(I666+I671),2)</f>
        <v>19483.060000000001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7" sqref="E17"/>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20789.309999999998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9552.86+9617.3</f>
        <v>19170.16</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1619.15+0</f>
        <v>1619.15</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2"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Milton</v>
      </c>
      <c r="C5" s="321"/>
      <c r="D5" s="321"/>
      <c r="E5" s="321"/>
      <c r="F5" s="321"/>
    </row>
    <row r="8" spans="1:9" ht="18" x14ac:dyDescent="0.25">
      <c r="A8" s="239" t="s">
        <v>1548</v>
      </c>
      <c r="F8" s="246" t="s">
        <v>1566</v>
      </c>
    </row>
    <row r="9" spans="1:9" ht="15" x14ac:dyDescent="0.2">
      <c r="A9" s="237" t="s">
        <v>1549</v>
      </c>
      <c r="B9" s="240">
        <f>'DOE25'!G97</f>
        <v>113020.31999999999</v>
      </c>
      <c r="F9" s="237" t="s">
        <v>1562</v>
      </c>
    </row>
    <row r="10" spans="1:9" ht="15" x14ac:dyDescent="0.2">
      <c r="A10" s="237" t="s">
        <v>1550</v>
      </c>
      <c r="B10" s="240">
        <f>'DOE25'!G112-'DOE25'!G97</f>
        <v>0</v>
      </c>
      <c r="F10" s="237" t="s">
        <v>1563</v>
      </c>
    </row>
    <row r="11" spans="1:9" ht="15" x14ac:dyDescent="0.2">
      <c r="A11" s="237" t="s">
        <v>1551</v>
      </c>
      <c r="B11" s="240">
        <f>'DOE25'!G140</f>
        <v>6253.66</v>
      </c>
      <c r="F11" s="237" t="s">
        <v>1564</v>
      </c>
    </row>
    <row r="12" spans="1:9" ht="15" x14ac:dyDescent="0.2">
      <c r="A12" s="237" t="s">
        <v>1552</v>
      </c>
      <c r="B12" s="240">
        <f>'DOE25'!G170</f>
        <v>147960.51</v>
      </c>
      <c r="F12" s="237" t="s">
        <v>1565</v>
      </c>
    </row>
    <row r="13" spans="1:9" ht="15" x14ac:dyDescent="0.2">
      <c r="A13" s="237" t="s">
        <v>1553</v>
      </c>
      <c r="B13" s="240">
        <f>'DOE25'!G193-'DOE25'!G180</f>
        <v>0</v>
      </c>
      <c r="F13" s="237" t="s">
        <v>1575</v>
      </c>
    </row>
    <row r="14" spans="1:9" ht="18" x14ac:dyDescent="0.25">
      <c r="A14" s="239" t="s">
        <v>732</v>
      </c>
      <c r="B14" s="241">
        <f>SUM(B9:B13)</f>
        <v>267234.49</v>
      </c>
    </row>
    <row r="16" spans="1:9" ht="18" x14ac:dyDescent="0.25">
      <c r="A16" s="239" t="s">
        <v>783</v>
      </c>
      <c r="F16" s="246" t="s">
        <v>1567</v>
      </c>
    </row>
    <row r="17" spans="1:6" ht="15" x14ac:dyDescent="0.2">
      <c r="A17" s="237" t="s">
        <v>1554</v>
      </c>
      <c r="B17" s="240">
        <f>'DOE25'!L363-'DOE25'!L362</f>
        <v>403223.09</v>
      </c>
      <c r="F17" s="237" t="s">
        <v>1568</v>
      </c>
    </row>
    <row r="18" spans="1:6" ht="15" x14ac:dyDescent="0.2">
      <c r="A18" s="237" t="s">
        <v>1555</v>
      </c>
      <c r="B18" s="250"/>
      <c r="F18" s="246" t="s">
        <v>1592</v>
      </c>
    </row>
    <row r="19" spans="1:6" ht="18" x14ac:dyDescent="0.25">
      <c r="A19" s="239" t="s">
        <v>725</v>
      </c>
      <c r="B19" s="241">
        <f>SUM(B17:B18)</f>
        <v>403223.09</v>
      </c>
    </row>
    <row r="21" spans="1:6" ht="18.75" thickBot="1" x14ac:dyDescent="0.3">
      <c r="A21" s="239" t="s">
        <v>1556</v>
      </c>
    </row>
    <row r="22" spans="1:6" ht="18.75" thickTop="1" x14ac:dyDescent="0.25">
      <c r="A22" s="239" t="s">
        <v>1557</v>
      </c>
      <c r="B22" s="245">
        <f>B14-B19</f>
        <v>-135988.60000000003</v>
      </c>
      <c r="F22" s="237" t="s">
        <v>1569</v>
      </c>
    </row>
    <row r="26" spans="1:6" ht="18" x14ac:dyDescent="0.25">
      <c r="A26" s="239" t="s">
        <v>186</v>
      </c>
    </row>
    <row r="27" spans="1:6" ht="15" x14ac:dyDescent="0.2">
      <c r="A27" s="237" t="s">
        <v>1558</v>
      </c>
      <c r="B27" s="240">
        <f>'DOE25'!G180</f>
        <v>135988.6</v>
      </c>
      <c r="F27" s="237" t="s">
        <v>1570</v>
      </c>
    </row>
    <row r="28" spans="1:6" ht="15" x14ac:dyDescent="0.2">
      <c r="A28" s="237" t="s">
        <v>1560</v>
      </c>
      <c r="B28" s="240">
        <f>'DOE25'!L362</f>
        <v>0</v>
      </c>
      <c r="F28" s="237" t="s">
        <v>1571</v>
      </c>
    </row>
    <row r="31" spans="1:6" ht="15" x14ac:dyDescent="0.2">
      <c r="A31" s="237" t="s">
        <v>1789</v>
      </c>
      <c r="B31" s="240">
        <f>'DOE25'!G466</f>
        <v>-98714.39</v>
      </c>
      <c r="F31" s="237" t="s">
        <v>1572</v>
      </c>
    </row>
    <row r="33" spans="1:6" ht="15" x14ac:dyDescent="0.2">
      <c r="A33" s="237" t="s">
        <v>1790</v>
      </c>
      <c r="B33" s="240">
        <f>'DOE25'!G477</f>
        <v>0</v>
      </c>
      <c r="F33" s="237" t="s">
        <v>1573</v>
      </c>
    </row>
    <row r="36" spans="1:6" ht="15" x14ac:dyDescent="0.2">
      <c r="A36" s="237" t="s">
        <v>1559</v>
      </c>
      <c r="B36" s="251">
        <v>28413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9" sqref="B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Milton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2167085.44</v>
      </c>
      <c r="C9" s="166">
        <f>'DOE25'!G198+'DOE25'!G216+'DOE25'!G234+'DOE25'!G277+'DOE25'!G296+'DOE25'!G315</f>
        <v>1056399.2</v>
      </c>
    </row>
    <row r="10" spans="1:3" x14ac:dyDescent="0.2">
      <c r="A10" t="s">
        <v>772</v>
      </c>
      <c r="B10" s="176">
        <f>845066.36+369826.17+440918.75</f>
        <v>1655811.28</v>
      </c>
      <c r="C10" s="176">
        <v>802863.39</v>
      </c>
    </row>
    <row r="11" spans="1:3" x14ac:dyDescent="0.2">
      <c r="A11" t="s">
        <v>773</v>
      </c>
      <c r="B11" s="176">
        <f>12233.15+8884.23+9207.72</f>
        <v>30325.1</v>
      </c>
      <c r="C11" s="176">
        <v>10563.99</v>
      </c>
    </row>
    <row r="12" spans="1:3" x14ac:dyDescent="0.2">
      <c r="A12" t="s">
        <v>774</v>
      </c>
      <c r="B12" s="176">
        <f>2167085.44-1686136.38</f>
        <v>480949.06000000006</v>
      </c>
      <c r="C12" s="176">
        <f>1056399.2-813427.38</f>
        <v>242971.81999999995</v>
      </c>
    </row>
    <row r="13" spans="1:3" x14ac:dyDescent="0.2">
      <c r="A13" t="str">
        <f>IF(B9=B13,IF(C9=C13,"Check Total OK","Check Total Error"),"Check Total Error")</f>
        <v>Check Total OK</v>
      </c>
      <c r="B13" s="168">
        <f>SUM(B10:B12)</f>
        <v>2167085.4400000004</v>
      </c>
      <c r="C13" s="168">
        <f>SUM(C10:C12)</f>
        <v>1056399.2</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1018596.17</v>
      </c>
      <c r="C18" s="166">
        <f>'DOE25'!G199+'DOE25'!G217+'DOE25'!G235+'DOE25'!G278+'DOE25'!G297+'DOE25'!G316</f>
        <v>563246.15</v>
      </c>
    </row>
    <row r="19" spans="1:3" x14ac:dyDescent="0.2">
      <c r="A19" t="s">
        <v>772</v>
      </c>
      <c r="B19" s="176">
        <f>40714.23+91009.54+266345.01+76311.6+109178.59+13460.52+38897.79+18620.65</f>
        <v>654537.93000000005</v>
      </c>
      <c r="C19" s="176">
        <v>360477.54</v>
      </c>
    </row>
    <row r="20" spans="1:3" x14ac:dyDescent="0.2">
      <c r="A20" t="s">
        <v>773</v>
      </c>
      <c r="B20" s="176">
        <f>1018596.17-654537.93</f>
        <v>364058.24</v>
      </c>
      <c r="C20" s="176">
        <f>563246.15-360477.54</f>
        <v>202768.61000000004</v>
      </c>
    </row>
    <row r="21" spans="1:3" x14ac:dyDescent="0.2">
      <c r="A21" t="s">
        <v>774</v>
      </c>
      <c r="B21" s="176"/>
      <c r="C21" s="176"/>
    </row>
    <row r="22" spans="1:3" x14ac:dyDescent="0.2">
      <c r="A22" t="str">
        <f>IF(B18=B22,IF(C18=C22,"Check Total OK","Check Total Error"),"Check Total Error")</f>
        <v>Check Total OK</v>
      </c>
      <c r="B22" s="168">
        <f>SUM(B19:B21)</f>
        <v>1018596.17</v>
      </c>
      <c r="C22" s="168">
        <f>SUM(C19:C21)</f>
        <v>563246.15</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49712</v>
      </c>
      <c r="C27" s="171">
        <f>'DOE25'!G200+'DOE25'!G218+'DOE25'!G236+'DOE25'!G279+'DOE25'!G298+'DOE25'!G317</f>
        <v>14942.54</v>
      </c>
    </row>
    <row r="28" spans="1:3" x14ac:dyDescent="0.2">
      <c r="A28" t="s">
        <v>772</v>
      </c>
      <c r="B28" s="176">
        <v>49712</v>
      </c>
      <c r="C28" s="176">
        <v>14942.54</v>
      </c>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49712</v>
      </c>
      <c r="C31" s="168">
        <f>SUM(C28:C30)</f>
        <v>14942.54</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102855.9</v>
      </c>
      <c r="C36" s="172">
        <f>'DOE25'!G201+'DOE25'!G219+'DOE25'!G237+'DOE25'!G280+'DOE25'!G299+'DOE25'!G318</f>
        <v>11335.800000000001</v>
      </c>
    </row>
    <row r="37" spans="1:3" x14ac:dyDescent="0.2">
      <c r="A37" t="s">
        <v>772</v>
      </c>
      <c r="B37" s="176"/>
      <c r="C37" s="176"/>
    </row>
    <row r="38" spans="1:3" x14ac:dyDescent="0.2">
      <c r="A38" t="s">
        <v>773</v>
      </c>
      <c r="B38" s="176"/>
      <c r="C38" s="176"/>
    </row>
    <row r="39" spans="1:3" x14ac:dyDescent="0.2">
      <c r="A39" t="s">
        <v>774</v>
      </c>
      <c r="B39" s="176">
        <v>102855.9</v>
      </c>
      <c r="C39" s="176">
        <v>11335.8</v>
      </c>
    </row>
    <row r="40" spans="1:3" x14ac:dyDescent="0.2">
      <c r="A40" t="str">
        <f>IF(B36=B40,IF(C36=C40,"Check Total OK","Check Total Error"),"Check Total Error")</f>
        <v>Check Total OK</v>
      </c>
      <c r="B40" s="168">
        <f>SUM(B37:B39)</f>
        <v>102855.9</v>
      </c>
      <c r="C40" s="168">
        <f>SUM(C37:C39)</f>
        <v>11335.8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Milton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6428099.3000000007</v>
      </c>
      <c r="D5" s="19">
        <f>SUM('DOE25'!L198:L201)+SUM('DOE25'!L216:L219)+SUM('DOE25'!L234:L237)-F5-G5-H5</f>
        <v>6397070.2000000011</v>
      </c>
      <c r="E5" s="179"/>
      <c r="F5" s="180"/>
      <c r="G5" s="19">
        <f>SUM('DOE25'!J198:J201)+SUM('DOE25'!J216:J219)+SUM('DOE25'!J234:J237)</f>
        <v>20561.809999999998</v>
      </c>
      <c r="H5" s="19">
        <f>SUM('DOE25'!K198:K201)+SUM('DOE25'!K216:K219)+SUM('DOE25'!K234:K237)</f>
        <v>10467.290000000001</v>
      </c>
      <c r="I5" s="191"/>
    </row>
    <row r="6" spans="1:9" x14ac:dyDescent="0.2">
      <c r="A6" s="31">
        <v>2100</v>
      </c>
      <c r="B6" t="s">
        <v>793</v>
      </c>
      <c r="C6" s="205">
        <f t="shared" si="0"/>
        <v>463410.51999999996</v>
      </c>
      <c r="D6" s="19">
        <f>'DOE25'!L203+'DOE25'!L221+'DOE25'!L239-F6-G6-H6</f>
        <v>463261.51999999996</v>
      </c>
      <c r="E6" s="179"/>
      <c r="F6" s="180"/>
      <c r="G6" s="19">
        <f>'DOE25'!J203+'DOE25'!J221+'DOE25'!J239</f>
        <v>0</v>
      </c>
      <c r="H6" s="19">
        <f>'DOE25'!K203+'DOE25'!K221+'DOE25'!K239</f>
        <v>149</v>
      </c>
      <c r="I6" s="191"/>
    </row>
    <row r="7" spans="1:9" x14ac:dyDescent="0.2">
      <c r="A7" s="31">
        <v>2200</v>
      </c>
      <c r="B7" t="s">
        <v>817</v>
      </c>
      <c r="C7" s="205">
        <f t="shared" si="0"/>
        <v>165571.76</v>
      </c>
      <c r="D7" s="19">
        <f>'DOE25'!L204+'DOE25'!L222+'DOE25'!L240-F7-G7-H7</f>
        <v>165571.76</v>
      </c>
      <c r="E7" s="179"/>
      <c r="F7" s="180"/>
      <c r="G7" s="19">
        <f>'DOE25'!J204+'DOE25'!J222+'DOE25'!J240</f>
        <v>0</v>
      </c>
      <c r="H7" s="19">
        <f>'DOE25'!K204+'DOE25'!K222+'DOE25'!K240</f>
        <v>0</v>
      </c>
      <c r="I7" s="191"/>
    </row>
    <row r="8" spans="1:9" x14ac:dyDescent="0.2">
      <c r="A8" s="31">
        <v>2300</v>
      </c>
      <c r="B8" t="s">
        <v>794</v>
      </c>
      <c r="C8" s="205">
        <f t="shared" si="0"/>
        <v>559196.99</v>
      </c>
      <c r="D8" s="179"/>
      <c r="E8" s="19">
        <f>'DOE25'!L205+'DOE25'!L223+'DOE25'!L241-F8-G8-H8-D9-D11</f>
        <v>552523.41</v>
      </c>
      <c r="F8" s="180"/>
      <c r="G8" s="19">
        <f>'DOE25'!J205+'DOE25'!J223+'DOE25'!J241</f>
        <v>757</v>
      </c>
      <c r="H8" s="19">
        <f>'DOE25'!K205+'DOE25'!K223+'DOE25'!K241</f>
        <v>5916.58</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792375.52</v>
      </c>
      <c r="D12" s="19">
        <f>'DOE25'!L206+'DOE25'!L224+'DOE25'!L242-F12-G12-H12</f>
        <v>786501.69000000006</v>
      </c>
      <c r="E12" s="179"/>
      <c r="F12" s="180"/>
      <c r="G12" s="19">
        <f>'DOE25'!J206+'DOE25'!J224+'DOE25'!J242</f>
        <v>0</v>
      </c>
      <c r="H12" s="19">
        <f>'DOE25'!K206+'DOE25'!K224+'DOE25'!K242</f>
        <v>5873.83</v>
      </c>
      <c r="I12" s="191"/>
    </row>
    <row r="13" spans="1:9" x14ac:dyDescent="0.2">
      <c r="A13" s="31">
        <v>2500</v>
      </c>
      <c r="B13" t="s">
        <v>795</v>
      </c>
      <c r="C13" s="205">
        <f t="shared" si="0"/>
        <v>49740.19</v>
      </c>
      <c r="D13" s="179"/>
      <c r="E13" s="19">
        <f>'DOE25'!L207+'DOE25'!L225+'DOE25'!L243-F13-G13-H13</f>
        <v>49665</v>
      </c>
      <c r="F13" s="180"/>
      <c r="G13" s="19">
        <f>'DOE25'!J207+'DOE25'!J225+'DOE25'!J243</f>
        <v>0</v>
      </c>
      <c r="H13" s="19">
        <f>'DOE25'!K207+'DOE25'!K225+'DOE25'!K243</f>
        <v>75.19</v>
      </c>
      <c r="I13" s="191"/>
    </row>
    <row r="14" spans="1:9" x14ac:dyDescent="0.2">
      <c r="A14" s="31">
        <v>2600</v>
      </c>
      <c r="B14" t="s">
        <v>815</v>
      </c>
      <c r="C14" s="205">
        <f t="shared" si="0"/>
        <v>1087999.8399999999</v>
      </c>
      <c r="D14" s="19">
        <f>'DOE25'!L208+'DOE25'!L226+'DOE25'!L244-F14-G14-H14</f>
        <v>1066256.9799999997</v>
      </c>
      <c r="E14" s="179"/>
      <c r="F14" s="180"/>
      <c r="G14" s="19">
        <f>'DOE25'!J208+'DOE25'!J226+'DOE25'!J244</f>
        <v>21742.86</v>
      </c>
      <c r="H14" s="19">
        <f>'DOE25'!K208+'DOE25'!K226+'DOE25'!K244</f>
        <v>0</v>
      </c>
      <c r="I14" s="191"/>
    </row>
    <row r="15" spans="1:9" x14ac:dyDescent="0.2">
      <c r="A15" s="31">
        <v>2700</v>
      </c>
      <c r="B15" t="s">
        <v>796</v>
      </c>
      <c r="C15" s="205">
        <f t="shared" si="0"/>
        <v>562771.07000000007</v>
      </c>
      <c r="D15" s="19">
        <f>'DOE25'!L209+'DOE25'!L227+'DOE25'!L245-F15-G15-H15</f>
        <v>557114.20000000007</v>
      </c>
      <c r="E15" s="179"/>
      <c r="F15" s="180"/>
      <c r="G15" s="19">
        <f>'DOE25'!J209+'DOE25'!J227+'DOE25'!J245</f>
        <v>3521</v>
      </c>
      <c r="H15" s="19">
        <f>'DOE25'!K209+'DOE25'!K227+'DOE25'!K245</f>
        <v>2135.87</v>
      </c>
      <c r="I15" s="191"/>
    </row>
    <row r="16" spans="1:9" x14ac:dyDescent="0.2">
      <c r="A16" s="31">
        <v>2800</v>
      </c>
      <c r="B16" t="s">
        <v>797</v>
      </c>
      <c r="C16" s="205">
        <f t="shared" si="0"/>
        <v>104016.54000000001</v>
      </c>
      <c r="D16" s="179"/>
      <c r="E16" s="19">
        <f>'DOE25'!L210+'DOE25'!L228+'DOE25'!L246-F16-G16-H16</f>
        <v>100595.23000000001</v>
      </c>
      <c r="F16" s="180"/>
      <c r="G16" s="19">
        <f>'DOE25'!J210+'DOE25'!J228+'DOE25'!J246</f>
        <v>3421.31</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258500.09000000003</v>
      </c>
      <c r="D29" s="211">
        <f>'DOE25'!L359+'DOE25'!L360+'DOE25'!L361-'DOE25'!I368-F29-G29-H29-F39</f>
        <v>227111.09000000003</v>
      </c>
      <c r="E29" s="179"/>
      <c r="F29" s="179"/>
      <c r="G29" s="19">
        <f>'DOE25'!J359+'DOE25'!J360+'DOE25'!J361</f>
        <v>0</v>
      </c>
      <c r="H29" s="19">
        <f>'DOE25'!K359+'DOE25'!K360+'DOE25'!K361</f>
        <v>31389</v>
      </c>
      <c r="I29" s="191"/>
    </row>
    <row r="30" spans="1:9" x14ac:dyDescent="0.2">
      <c r="A30" s="31"/>
      <c r="C30" s="206"/>
      <c r="D30" s="19"/>
      <c r="F30" s="200"/>
      <c r="G30" s="19"/>
      <c r="H30" s="19"/>
      <c r="I30" s="191"/>
    </row>
    <row r="31" spans="1:9" x14ac:dyDescent="0.2">
      <c r="A31" s="31" t="s">
        <v>814</v>
      </c>
      <c r="B31" t="s">
        <v>813</v>
      </c>
      <c r="C31" s="205">
        <f>SUM(D31:I31)</f>
        <v>777995.62999999989</v>
      </c>
      <c r="D31" s="19">
        <f>'DOE25'!L291+'DOE25'!L310+'DOE25'!L329+'DOE25'!L334+'DOE25'!L335+'DOE25'!L336-F31-G31-H31</f>
        <v>765129.42999999993</v>
      </c>
      <c r="E31" s="179"/>
      <c r="F31" s="180"/>
      <c r="G31" s="19">
        <f>'DOE25'!J291+'DOE25'!J310+'DOE25'!J329+'DOE25'!J334+'DOE25'!J335+'DOE25'!J336</f>
        <v>8818.5</v>
      </c>
      <c r="H31" s="19">
        <f>'DOE25'!K291+'DOE25'!K310+'DOE25'!K329+'DOE25'!K334+'DOE25'!K335+'DOE25'!K336</f>
        <v>4047.7</v>
      </c>
      <c r="I31" s="191"/>
    </row>
    <row r="32" spans="1:9" ht="12" thickBot="1" x14ac:dyDescent="0.25">
      <c r="C32" s="206"/>
      <c r="G32" s="187"/>
      <c r="H32" s="187"/>
      <c r="I32" s="193"/>
    </row>
    <row r="33" spans="1:9" ht="12" thickTop="1" x14ac:dyDescent="0.2">
      <c r="B33" t="s">
        <v>806</v>
      </c>
      <c r="D33" s="181">
        <f t="shared" ref="D33:I33" si="1">SUM(D5:D31)</f>
        <v>10428016.869999999</v>
      </c>
      <c r="E33" s="181">
        <f t="shared" si="1"/>
        <v>702783.64</v>
      </c>
      <c r="F33" s="181">
        <f t="shared" si="1"/>
        <v>0</v>
      </c>
      <c r="G33" s="181">
        <f t="shared" si="1"/>
        <v>58822.479999999996</v>
      </c>
      <c r="H33" s="181">
        <f t="shared" si="1"/>
        <v>60054.46</v>
      </c>
      <c r="I33" s="181">
        <f t="shared" si="1"/>
        <v>0</v>
      </c>
    </row>
    <row r="34" spans="1:9" ht="12" thickBot="1" x14ac:dyDescent="0.25"/>
    <row r="35" spans="1:9" ht="12" thickBot="1" x14ac:dyDescent="0.25">
      <c r="B35" s="187" t="s">
        <v>827</v>
      </c>
      <c r="D35" s="188">
        <f>E33</f>
        <v>702783.64</v>
      </c>
      <c r="E35" s="184"/>
      <c r="F35" s="294" t="s">
        <v>1596</v>
      </c>
      <c r="G35" s="295"/>
      <c r="H35" s="295"/>
      <c r="I35" s="296"/>
    </row>
    <row r="36" spans="1:9" ht="12" thickTop="1" x14ac:dyDescent="0.2">
      <c r="B36" t="s">
        <v>807</v>
      </c>
      <c r="D36" s="19">
        <f>D33</f>
        <v>10428016.869999999</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144723</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6" zoomScale="75" zoomScaleNormal="75" workbookViewId="0">
      <selection activeCell="A31" sqref="A3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Milton</v>
      </c>
      <c r="B2">
        <f>'DOE25'!B2</f>
        <v>359</v>
      </c>
      <c r="J2" s="223" t="s">
        <v>1799</v>
      </c>
      <c r="K2" s="308">
        <f>SUM('DOE25'!L198:L201)+SUM('DOE25'!L277:L280)</f>
        <v>3672833.1900000004</v>
      </c>
      <c r="L2" s="308">
        <f>'DOE25'!L203+'DOE25'!L282</f>
        <v>296067.65999999997</v>
      </c>
      <c r="M2" s="308">
        <f>'DOE25'!L204+'DOE25'!L283</f>
        <v>83589.11</v>
      </c>
      <c r="N2" s="308">
        <f>'DOE25'!L206+'DOE25'!L285</f>
        <v>327670.10000000003</v>
      </c>
      <c r="O2" s="316">
        <f>'Salaries-Benefits'!B10+'Salaries-Benefits'!B12+'Salaries-Benefits'!B19+'Salaries-Benefits'!B21+'Salaries-Benefits'!B28+'Salaries-Benefits'!B30+'Salaries-Benefits'!B37+'Salaries-Benefits'!B39</f>
        <v>2943866.17</v>
      </c>
      <c r="P2" s="316">
        <f>'Salaries-Benefits'!B11+'Salaries-Benefits'!B20+'Salaries-Benefits'!B29+'Salaries-Benefits'!B38</f>
        <v>394383.33999999997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5547842.8599999994</v>
      </c>
      <c r="G4" s="228">
        <f>'DOE25'!L212+'DOE25'!L291</f>
        <v>5547842.8599999994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156313.93</v>
      </c>
      <c r="E5" s="219">
        <v>0</v>
      </c>
      <c r="F5" s="231">
        <f>D5+E5</f>
        <v>156313.93</v>
      </c>
      <c r="G5" s="222"/>
      <c r="H5" s="222"/>
      <c r="J5" s="71" t="s">
        <v>1840</v>
      </c>
      <c r="K5" s="20">
        <v>156313.93</v>
      </c>
      <c r="L5" s="20">
        <v>0</v>
      </c>
      <c r="M5" s="20">
        <v>0</v>
      </c>
      <c r="N5" s="20">
        <v>0</v>
      </c>
      <c r="O5" s="20">
        <v>0</v>
      </c>
      <c r="P5" s="20">
        <v>0</v>
      </c>
      <c r="Q5" s="20">
        <v>0</v>
      </c>
    </row>
    <row r="6" spans="1:22" x14ac:dyDescent="0.2">
      <c r="A6" t="str" cm="1">
        <f t="array" ref="A6">IFERROR(INDEX('School Tables'!$A$4:$G$365,'School Tables'!$J4,3),"")</f>
        <v>Milton Elementary School</v>
      </c>
      <c r="B6" s="229">
        <f>IFERROR(VLOOKUP(A6,'School Tables'!$C$3:$D$365,2,FALSE),"")</f>
        <v>22075</v>
      </c>
      <c r="C6" s="222" t="str">
        <f>IFERROR(INDEX('School Tables'!$B$3:$B$365,MATCH('School Level Expenditures'!B6,'School Tables'!$D$3:$D$365,0)),"")</f>
        <v>Milton</v>
      </c>
      <c r="D6" s="219">
        <f>-156313.93+4882905.34</f>
        <v>4726591.41</v>
      </c>
      <c r="E6" s="219">
        <v>664937.52</v>
      </c>
      <c r="F6" s="231">
        <f t="shared" ref="F6:F20" si="2">D6+E6</f>
        <v>5391528.9299999997</v>
      </c>
      <c r="G6" s="222"/>
      <c r="H6" s="222"/>
      <c r="J6" t="str">
        <f t="shared" ref="J6:J20" si="3">A6</f>
        <v>Milton Elementary School</v>
      </c>
      <c r="K6" s="20">
        <f>-156313.93+3672833.19</f>
        <v>3516519.26</v>
      </c>
      <c r="L6" s="20">
        <v>296067.65999999997</v>
      </c>
      <c r="M6" s="307">
        <v>83589.11</v>
      </c>
      <c r="N6" s="20">
        <v>327670.09999999998</v>
      </c>
      <c r="O6" s="20">
        <f>1420919.89-200754.35+206294.34+130941.87</f>
        <v>1557401.75</v>
      </c>
      <c r="P6" s="20">
        <f>12233.15+188521.2</f>
        <v>200754.35</v>
      </c>
      <c r="Q6" s="20">
        <v>21159.39</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4882905.34</v>
      </c>
      <c r="E21" s="261">
        <f>SUM(E5:E20)</f>
        <v>664937.52</v>
      </c>
      <c r="F21" s="216"/>
      <c r="G21" s="216"/>
      <c r="H21" s="216"/>
      <c r="K21" s="262">
        <f t="shared" ref="K21:Q21" si="4">SUM(K5:K20)</f>
        <v>3672833.19</v>
      </c>
      <c r="L21" s="262">
        <f t="shared" si="4"/>
        <v>296067.65999999997</v>
      </c>
      <c r="M21" s="262">
        <f t="shared" si="4"/>
        <v>83589.11</v>
      </c>
      <c r="N21" s="262">
        <f t="shared" si="4"/>
        <v>327670.09999999998</v>
      </c>
      <c r="O21" s="262">
        <f t="shared" si="4"/>
        <v>1557401.75</v>
      </c>
      <c r="P21" s="262">
        <f t="shared" si="4"/>
        <v>200754.35</v>
      </c>
      <c r="Q21" s="262">
        <f t="shared" si="4"/>
        <v>21159.39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1300568.6900000002</v>
      </c>
      <c r="L23" s="19">
        <f>'DOE25'!L221+'DOE25'!L301</f>
        <v>148741.62</v>
      </c>
      <c r="M23" s="19">
        <f>'DOE25'!L222+'DOE25'!L302</f>
        <v>39583.199999999997</v>
      </c>
      <c r="N23" s="19">
        <f>'DOE25'!L224+'DOE25'!L304</f>
        <v>198551.88</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2295903.8499999996</v>
      </c>
      <c r="G25" s="228">
        <f>'DOE25'!L230+'DOE25'!L310</f>
        <v>2295903.8499999996</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140369.01</v>
      </c>
      <c r="E26" s="219">
        <v>0</v>
      </c>
      <c r="F26" s="231">
        <f>D26+E26</f>
        <v>140369.01</v>
      </c>
      <c r="G26" s="222"/>
      <c r="H26" s="222"/>
      <c r="J26" s="71" t="s">
        <v>1840</v>
      </c>
      <c r="K26" s="315">
        <v>140369.01</v>
      </c>
      <c r="L26" s="315">
        <v>0</v>
      </c>
      <c r="M26" s="315">
        <v>0</v>
      </c>
      <c r="N26" s="315">
        <v>0</v>
      </c>
      <c r="O26" s="315">
        <v>0</v>
      </c>
      <c r="P26" s="315">
        <v>0</v>
      </c>
      <c r="Q26" s="315">
        <v>0</v>
      </c>
    </row>
    <row r="27" spans="1:17" x14ac:dyDescent="0.2">
      <c r="A27" t="str" cm="1">
        <f t="array" ref="A27">IFERROR(INDEX('School Tables'!$L$4:$R$100,'School Tables'!$U4,3),"")</f>
        <v>Nute Junior High School</v>
      </c>
      <c r="B27" s="229">
        <f>IFERROR(VLOOKUP(A27,'School Tables'!$N$4:$O$100,2,FALSE),"")</f>
        <v>26540</v>
      </c>
      <c r="C27" s="222" t="str">
        <f>IFERROR(INDEX('School Tables'!$M$4:$M$100,MATCH('School Level Expenditures'!A27,'School Tables'!$N$4:$N$100,0)),"")</f>
        <v>Milton</v>
      </c>
      <c r="D27" s="219">
        <f>2208389.78-140369.01</f>
        <v>2068020.7699999998</v>
      </c>
      <c r="E27" s="219">
        <v>87514.07</v>
      </c>
      <c r="F27" s="231">
        <f t="shared" ref="F27:F33" si="6">D27+E27</f>
        <v>2155534.84</v>
      </c>
      <c r="G27" s="222"/>
      <c r="H27" s="222"/>
      <c r="J27" t="str">
        <f t="shared" ref="J27:J33" si="7">A27</f>
        <v>Nute Junior High School</v>
      </c>
      <c r="K27" s="20">
        <f>-140369.01+1300568.69</f>
        <v>1160199.6799999999</v>
      </c>
      <c r="L27" s="20">
        <v>148741.62</v>
      </c>
      <c r="M27" s="307">
        <v>39583.199999999997</v>
      </c>
      <c r="N27" s="20">
        <v>198551.88</v>
      </c>
      <c r="O27" s="20">
        <f>592949.29-P27+48593.05+65470.94</f>
        <v>644132.32000000007</v>
      </c>
      <c r="P27" s="20">
        <f>8884.23+53996.73</f>
        <v>62880.960000000006</v>
      </c>
      <c r="Q27" s="20">
        <v>10579.7</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2208389.7799999998</v>
      </c>
      <c r="E34" s="261">
        <f>SUM(E26:E33)</f>
        <v>87514.07</v>
      </c>
      <c r="F34" s="216"/>
      <c r="G34" s="216"/>
      <c r="H34" s="216"/>
      <c r="K34" s="262">
        <f t="shared" ref="K34:Q34" si="8">SUM(K26:K33)</f>
        <v>1300568.69</v>
      </c>
      <c r="L34" s="262">
        <f t="shared" si="8"/>
        <v>148741.62</v>
      </c>
      <c r="M34" s="262">
        <f t="shared" si="8"/>
        <v>39583.199999999997</v>
      </c>
      <c r="N34" s="262">
        <f t="shared" si="8"/>
        <v>198551.88</v>
      </c>
      <c r="O34" s="262">
        <f t="shared" si="8"/>
        <v>644132.32000000007</v>
      </c>
      <c r="P34" s="262">
        <f t="shared" si="8"/>
        <v>62880.960000000006</v>
      </c>
      <c r="Q34" s="262">
        <f t="shared" si="8"/>
        <v>10579.7</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2079584.6500000001</v>
      </c>
      <c r="L36" s="19">
        <f>'DOE25'!L239+'DOE25'!L320</f>
        <v>137991.26999999999</v>
      </c>
      <c r="M36" s="19">
        <f>'DOE25'!L240+'DOE25'!L321</f>
        <v>42399.45</v>
      </c>
      <c r="N36" s="19">
        <f>'DOE25'!L242+'DOE25'!L323</f>
        <v>266153.54000000004</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3147430.65</v>
      </c>
      <c r="G38" s="228">
        <f>'DOE25'!L248+'DOE25'!L329</f>
        <v>3147430.6500000008</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670520.6</v>
      </c>
      <c r="E39" s="219">
        <v>0</v>
      </c>
      <c r="F39" s="231">
        <f t="shared" ref="F39:F44" si="10">D39+E39</f>
        <v>670520.6</v>
      </c>
      <c r="G39" s="222"/>
      <c r="H39" s="222"/>
      <c r="J39" s="71" t="s">
        <v>1840</v>
      </c>
      <c r="K39" s="315">
        <v>670520.6</v>
      </c>
      <c r="L39" s="315">
        <v>0</v>
      </c>
      <c r="M39" s="315">
        <v>0</v>
      </c>
      <c r="N39" s="315">
        <v>0</v>
      </c>
      <c r="O39" s="315"/>
      <c r="P39" s="315"/>
      <c r="Q39" s="315">
        <v>0</v>
      </c>
    </row>
    <row r="40" spans="1:17" x14ac:dyDescent="0.2">
      <c r="A40" t="str" cm="1">
        <f t="array" ref="A40">IFERROR(INDEX('School Tables'!$W$4:$AC$120,'School Tables'!$AF4,3),"")</f>
        <v>Nute High School</v>
      </c>
      <c r="B40" s="229">
        <f>IFERROR(VLOOKUP(A40,'School Tables'!$Y$4:$Z$120,2,FALSE),"")</f>
        <v>22070</v>
      </c>
      <c r="C40" s="222" t="str">
        <f>IFERROR(INDEX('School Tables'!$X$4:$X$120,MATCH('School Level Expenditures'!A40,'School Tables'!$Y$4:$Y$120,0)),"")</f>
        <v>Milton</v>
      </c>
      <c r="D40" s="219">
        <f>-670520.6+3121886.61</f>
        <v>2451366.0099999998</v>
      </c>
      <c r="E40" s="219">
        <v>25544.04</v>
      </c>
      <c r="F40" s="231">
        <f t="shared" si="10"/>
        <v>2476910.0499999998</v>
      </c>
      <c r="G40" s="222"/>
      <c r="H40" s="222"/>
      <c r="J40" t="str">
        <f>A40</f>
        <v>Nute High School</v>
      </c>
      <c r="K40" s="20">
        <f>-670520.6+2079584.65</f>
        <v>1409064.0499999998</v>
      </c>
      <c r="L40" s="20">
        <v>137991.26999999999</v>
      </c>
      <c r="M40" s="307">
        <v>42399.45</v>
      </c>
      <c r="N40" s="20">
        <v>266153.53999999998</v>
      </c>
      <c r="O40" s="20">
        <f>804609.2-130748.03+3000+65470.93</f>
        <v>742332.1</v>
      </c>
      <c r="P40" s="20">
        <f>9207.72+121540.31</f>
        <v>130748.03</v>
      </c>
      <c r="Q40" s="20">
        <v>10579.69</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3121886.61</v>
      </c>
      <c r="E45" s="262">
        <f>SUM(E39:E44)</f>
        <v>25544.04</v>
      </c>
      <c r="K45" s="262">
        <f t="shared" ref="K45:Q45" si="11">SUM(K39:K44)</f>
        <v>2079584.65</v>
      </c>
      <c r="L45" s="262">
        <f t="shared" si="11"/>
        <v>137991.26999999999</v>
      </c>
      <c r="M45" s="262">
        <f t="shared" si="11"/>
        <v>42399.45</v>
      </c>
      <c r="N45" s="262">
        <f t="shared" si="11"/>
        <v>266153.53999999998</v>
      </c>
      <c r="O45" s="262">
        <f t="shared" si="11"/>
        <v>742332.1</v>
      </c>
      <c r="P45" s="262">
        <f t="shared" si="11"/>
        <v>130748.03</v>
      </c>
      <c r="Q45" s="262">
        <f t="shared" si="11"/>
        <v>10579.69</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Milton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2044080.76</v>
      </c>
      <c r="D8" s="73">
        <f>'DOE25'!G9</f>
        <v>0</v>
      </c>
      <c r="E8" s="73">
        <f>'DOE25'!H9</f>
        <v>0</v>
      </c>
      <c r="F8" s="73">
        <f>'DOE25'!I9</f>
        <v>0</v>
      </c>
      <c r="G8" s="73">
        <f>'DOE25'!J9</f>
        <v>0</v>
      </c>
      <c r="H8" s="13">
        <f>SUM(C8:G8)</f>
        <v>2044080.76</v>
      </c>
      <c r="I8" s="90"/>
    </row>
    <row r="9" spans="1:9" x14ac:dyDescent="0.2">
      <c r="A9" s="1" t="s">
        <v>140</v>
      </c>
      <c r="B9" s="6">
        <v>110</v>
      </c>
      <c r="C9" s="73">
        <f>'DOE25'!F10</f>
        <v>0</v>
      </c>
      <c r="D9" s="73">
        <f>'DOE25'!G10</f>
        <v>0</v>
      </c>
      <c r="E9" s="73">
        <f>'DOE25'!H10</f>
        <v>0</v>
      </c>
      <c r="F9" s="73">
        <f>'DOE25'!I10</f>
        <v>0</v>
      </c>
      <c r="G9" s="73">
        <f>'DOE25'!J10</f>
        <v>779597.04</v>
      </c>
      <c r="H9" s="13">
        <f t="shared" ref="H9:H18" si="0">SUM(C9:G9)</f>
        <v>779597.04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368815.49000000005</v>
      </c>
      <c r="D11" s="73">
        <f>'DOE25'!G12</f>
        <v>0</v>
      </c>
      <c r="E11" s="73">
        <f>'DOE25'!H12</f>
        <v>0</v>
      </c>
      <c r="F11" s="73">
        <f>'DOE25'!I12</f>
        <v>0</v>
      </c>
      <c r="G11" s="73">
        <f>'DOE25'!J12</f>
        <v>0</v>
      </c>
      <c r="H11" s="13">
        <f t="shared" si="0"/>
        <v>368815.49000000005</v>
      </c>
      <c r="I11" s="90"/>
    </row>
    <row r="12" spans="1:9" x14ac:dyDescent="0.2">
      <c r="A12" s="1" t="s">
        <v>143</v>
      </c>
      <c r="B12" s="6">
        <v>140</v>
      </c>
      <c r="C12" s="73">
        <f>'DOE25'!F13</f>
        <v>0</v>
      </c>
      <c r="D12" s="73">
        <f>'DOE25'!G13</f>
        <v>25616.720000000001</v>
      </c>
      <c r="E12" s="73">
        <f>'DOE25'!H13</f>
        <v>190779.42</v>
      </c>
      <c r="F12" s="73">
        <f>'DOE25'!I13</f>
        <v>0</v>
      </c>
      <c r="G12" s="73">
        <f>'DOE25'!J13</f>
        <v>0</v>
      </c>
      <c r="H12" s="13">
        <f t="shared" si="0"/>
        <v>216396.14</v>
      </c>
      <c r="I12" s="90"/>
    </row>
    <row r="13" spans="1:9" x14ac:dyDescent="0.2">
      <c r="A13" s="1" t="s">
        <v>144</v>
      </c>
      <c r="B13" s="6">
        <v>150</v>
      </c>
      <c r="C13" s="73">
        <f>'DOE25'!F14</f>
        <v>3325.6</v>
      </c>
      <c r="D13" s="73">
        <f>'DOE25'!G14</f>
        <v>0</v>
      </c>
      <c r="E13" s="73">
        <f>'DOE25'!H14</f>
        <v>0</v>
      </c>
      <c r="F13" s="73">
        <f>'DOE25'!I14</f>
        <v>0</v>
      </c>
      <c r="G13" s="73">
        <f>'DOE25'!J14</f>
        <v>0</v>
      </c>
      <c r="H13" s="13">
        <f t="shared" si="0"/>
        <v>3325.6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2416221.85</v>
      </c>
      <c r="D18" s="38">
        <f>SUM(D8:D17)</f>
        <v>25616.720000000001</v>
      </c>
      <c r="E18" s="38">
        <f>SUM(E8:E17)</f>
        <v>190779.42</v>
      </c>
      <c r="F18" s="38">
        <f>SUM(F8:F17)</f>
        <v>0</v>
      </c>
      <c r="G18" s="38">
        <f>SUM(G8:G17)</f>
        <v>779597.04</v>
      </c>
      <c r="H18" s="38">
        <f t="shared" si="0"/>
        <v>3412215.0300000003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9790.7199999999993</v>
      </c>
      <c r="E21" s="73">
        <f>'DOE25'!H22</f>
        <v>190779.42</v>
      </c>
      <c r="F21" s="73">
        <f>'DOE25'!I22</f>
        <v>0</v>
      </c>
      <c r="G21" s="73">
        <f>'DOE25'!J22</f>
        <v>166165.69</v>
      </c>
      <c r="H21" s="13">
        <f t="shared" ref="H21:H31" si="1">SUM(C21:G21)</f>
        <v>366735.83</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1359443.62</v>
      </c>
      <c r="D27" s="73">
        <f>'DOE25'!G28</f>
        <v>0</v>
      </c>
      <c r="E27" s="73">
        <f>'DOE25'!H28</f>
        <v>0</v>
      </c>
      <c r="F27" s="73">
        <f>'DOE25'!I28</f>
        <v>0</v>
      </c>
      <c r="G27" s="23" t="s">
        <v>288</v>
      </c>
      <c r="H27" s="13">
        <f t="shared" si="1"/>
        <v>1359443.62</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15826</v>
      </c>
      <c r="E29" s="73">
        <f>'DOE25'!H30</f>
        <v>0</v>
      </c>
      <c r="F29" s="73">
        <f>'DOE25'!I30</f>
        <v>0</v>
      </c>
      <c r="G29" s="23" t="s">
        <v>288</v>
      </c>
      <c r="H29" s="13">
        <f t="shared" si="1"/>
        <v>15826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1359443.62</v>
      </c>
      <c r="D31" s="38">
        <f>SUM(D21:D30)</f>
        <v>25616.720000000001</v>
      </c>
      <c r="E31" s="38">
        <f>SUM(E21:E30)</f>
        <v>190779.42</v>
      </c>
      <c r="F31" s="38">
        <f>SUM(F21:F30)</f>
        <v>0</v>
      </c>
      <c r="G31" s="38">
        <f>SUM(G21:G30)</f>
        <v>166165.69</v>
      </c>
      <c r="H31" s="38">
        <f t="shared" si="1"/>
        <v>1742005.45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613431.35</v>
      </c>
      <c r="H47" s="13">
        <f t="shared" si="2"/>
        <v>613431.35</v>
      </c>
      <c r="I47" s="90"/>
    </row>
    <row r="48" spans="1:9" x14ac:dyDescent="0.2">
      <c r="A48" s="1" t="s">
        <v>878</v>
      </c>
      <c r="B48" s="6">
        <v>753</v>
      </c>
      <c r="C48" s="73">
        <f>'DOE25'!F49</f>
        <v>76644.929999999993</v>
      </c>
      <c r="D48" s="73">
        <f>'DOE25'!G49</f>
        <v>0</v>
      </c>
      <c r="E48" s="73">
        <f>'DOE25'!H49</f>
        <v>0</v>
      </c>
      <c r="F48" s="73">
        <f>'DOE25'!I49</f>
        <v>0</v>
      </c>
      <c r="G48" s="73">
        <f>'DOE25'!J49</f>
        <v>0</v>
      </c>
      <c r="H48" s="13">
        <f t="shared" si="2"/>
        <v>76644.929999999993</v>
      </c>
      <c r="I48" s="90"/>
    </row>
    <row r="49" spans="1:9" ht="12" thickBot="1" x14ac:dyDescent="0.25">
      <c r="A49" s="28" t="s">
        <v>879</v>
      </c>
      <c r="B49" s="56">
        <v>770</v>
      </c>
      <c r="C49" s="73">
        <f>'DOE25'!F50</f>
        <v>980133.3</v>
      </c>
      <c r="D49" s="23" t="s">
        <v>288</v>
      </c>
      <c r="E49" s="23" t="s">
        <v>288</v>
      </c>
      <c r="F49" s="23" t="s">
        <v>288</v>
      </c>
      <c r="G49" s="23" t="s">
        <v>288</v>
      </c>
      <c r="H49" s="13">
        <f t="shared" si="2"/>
        <v>980133.3</v>
      </c>
      <c r="I49" s="90"/>
    </row>
    <row r="50" spans="1:9" ht="12.75" thickTop="1" thickBot="1" x14ac:dyDescent="0.25">
      <c r="A50" s="35" t="s">
        <v>880</v>
      </c>
      <c r="B50" s="44"/>
      <c r="C50" s="38">
        <f>SUM(C34:C49)</f>
        <v>1056778.23</v>
      </c>
      <c r="D50" s="38">
        <f>SUM(D34:D49)</f>
        <v>0</v>
      </c>
      <c r="E50" s="38">
        <f>SUM(E34:E49)</f>
        <v>0</v>
      </c>
      <c r="F50" s="38">
        <f>SUM(F34:F49)</f>
        <v>0</v>
      </c>
      <c r="G50" s="38">
        <f>SUM(G34:G49)</f>
        <v>613431.35</v>
      </c>
      <c r="H50" s="38">
        <f t="shared" si="2"/>
        <v>1670209.58</v>
      </c>
      <c r="I50" s="90"/>
    </row>
    <row r="51" spans="1:9" ht="12" thickTop="1" x14ac:dyDescent="0.2">
      <c r="A51" s="35" t="s">
        <v>881</v>
      </c>
      <c r="B51" s="2"/>
      <c r="C51" s="38">
        <f>C50+C31</f>
        <v>2416221.85</v>
      </c>
      <c r="D51" s="38">
        <f>D50+D31</f>
        <v>25616.720000000001</v>
      </c>
      <c r="E51" s="38">
        <f>E50+E31</f>
        <v>190779.42</v>
      </c>
      <c r="F51" s="38">
        <f>F50+F31</f>
        <v>0</v>
      </c>
      <c r="G51" s="38">
        <f>G50+G31</f>
        <v>779597.04</v>
      </c>
      <c r="H51" s="38">
        <f t="shared" si="2"/>
        <v>3412215.0300000003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5972053</v>
      </c>
      <c r="D56" s="73">
        <f>'DOE25'!G60</f>
        <v>0</v>
      </c>
      <c r="E56" s="73">
        <f>'DOE25'!H60</f>
        <v>0</v>
      </c>
      <c r="F56" s="73">
        <f>'DOE25'!I60</f>
        <v>0</v>
      </c>
      <c r="G56" s="73">
        <f>'DOE25'!J60</f>
        <v>0</v>
      </c>
      <c r="H56" s="13">
        <f t="shared" ref="H56:H63" si="3">SUM(C56:G56)</f>
        <v>5972053</v>
      </c>
      <c r="I56"/>
    </row>
    <row r="57" spans="1:9" x14ac:dyDescent="0.2">
      <c r="A57" s="1" t="s">
        <v>164</v>
      </c>
      <c r="B57" s="6" t="s">
        <v>165</v>
      </c>
      <c r="C57" s="73">
        <f>'DOE25'!F79</f>
        <v>57660.52</v>
      </c>
      <c r="D57" s="23" t="s">
        <v>288</v>
      </c>
      <c r="E57" s="73">
        <f>'DOE25'!H79</f>
        <v>0</v>
      </c>
      <c r="F57" s="23" t="s">
        <v>288</v>
      </c>
      <c r="G57" s="23" t="s">
        <v>288</v>
      </c>
      <c r="H57" s="13">
        <f t="shared" si="3"/>
        <v>57660.52</v>
      </c>
      <c r="I57"/>
    </row>
    <row r="58" spans="1:9" x14ac:dyDescent="0.2">
      <c r="A58" s="1" t="s">
        <v>166</v>
      </c>
      <c r="B58" s="6" t="s">
        <v>167</v>
      </c>
      <c r="C58" s="73">
        <f>'DOE25'!F94</f>
        <v>3109.01</v>
      </c>
      <c r="D58" s="23" t="s">
        <v>288</v>
      </c>
      <c r="E58" s="73">
        <f>'DOE25'!H94</f>
        <v>0</v>
      </c>
      <c r="F58" s="23" t="s">
        <v>288</v>
      </c>
      <c r="G58" s="23" t="s">
        <v>288</v>
      </c>
      <c r="H58" s="13">
        <f t="shared" si="3"/>
        <v>3109.01</v>
      </c>
      <c r="I58"/>
    </row>
    <row r="59" spans="1:9" x14ac:dyDescent="0.2">
      <c r="A59" s="1" t="s">
        <v>168</v>
      </c>
      <c r="B59" s="6" t="s">
        <v>169</v>
      </c>
      <c r="C59" s="73">
        <f>'DOE25'!F96</f>
        <v>0</v>
      </c>
      <c r="D59" s="73">
        <f>'DOE25'!G96</f>
        <v>0</v>
      </c>
      <c r="E59" s="73">
        <f>'DOE25'!H96</f>
        <v>0</v>
      </c>
      <c r="F59" s="73">
        <f>'DOE25'!I96</f>
        <v>0</v>
      </c>
      <c r="G59" s="73">
        <f>'DOE25'!J96</f>
        <v>16272.94</v>
      </c>
      <c r="H59" s="13">
        <f t="shared" si="3"/>
        <v>16272.94</v>
      </c>
      <c r="I59"/>
    </row>
    <row r="60" spans="1:9" x14ac:dyDescent="0.2">
      <c r="A60" s="1" t="s">
        <v>170</v>
      </c>
      <c r="B60" s="22" t="s">
        <v>171</v>
      </c>
      <c r="C60" s="23" t="s">
        <v>288</v>
      </c>
      <c r="D60" s="73">
        <f>'DOE25'!G97</f>
        <v>113020.31999999999</v>
      </c>
      <c r="E60" s="23" t="s">
        <v>288</v>
      </c>
      <c r="F60" s="23" t="s">
        <v>288</v>
      </c>
      <c r="G60" s="23" t="s">
        <v>288</v>
      </c>
      <c r="H60" s="13">
        <f t="shared" si="3"/>
        <v>113020.31999999999</v>
      </c>
      <c r="I60"/>
    </row>
    <row r="61" spans="1:9" ht="12" thickBot="1" x14ac:dyDescent="0.25">
      <c r="A61" s="1" t="s">
        <v>172</v>
      </c>
      <c r="B61" s="22" t="s">
        <v>173</v>
      </c>
      <c r="C61" s="73">
        <f>SUM('DOE25'!F98:F110)</f>
        <v>73817.919999999998</v>
      </c>
      <c r="D61" s="73">
        <f>SUM('DOE25'!G98:G110)</f>
        <v>0</v>
      </c>
      <c r="E61" s="73">
        <f>SUM('DOE25'!H98:H110)</f>
        <v>0</v>
      </c>
      <c r="F61" s="73">
        <f>SUM('DOE25'!I98:I110)</f>
        <v>0</v>
      </c>
      <c r="G61" s="73">
        <f>SUM('DOE25'!J98:J110)</f>
        <v>0</v>
      </c>
      <c r="H61" s="13">
        <f t="shared" si="3"/>
        <v>73817.919999999998</v>
      </c>
      <c r="I61"/>
    </row>
    <row r="62" spans="1:9" ht="12.75" thickTop="1" thickBot="1" x14ac:dyDescent="0.25">
      <c r="A62" s="28" t="s">
        <v>174</v>
      </c>
      <c r="B62" s="6"/>
      <c r="C62" s="93">
        <f>SUM(C57:C61)</f>
        <v>134587.45000000001</v>
      </c>
      <c r="D62" s="93">
        <f>SUM(D57:D61)</f>
        <v>113020.31999999999</v>
      </c>
      <c r="E62" s="93">
        <f>SUM(E57:E61)</f>
        <v>0</v>
      </c>
      <c r="F62" s="93">
        <f>SUM(F57:F61)</f>
        <v>0</v>
      </c>
      <c r="G62" s="93">
        <f>SUM(G57:G61)</f>
        <v>16272.94</v>
      </c>
      <c r="H62" s="13">
        <f t="shared" si="3"/>
        <v>263880.71000000002</v>
      </c>
      <c r="I62"/>
    </row>
    <row r="63" spans="1:9" ht="12" thickTop="1" x14ac:dyDescent="0.2">
      <c r="A63" s="28" t="s">
        <v>175</v>
      </c>
      <c r="B63" s="6"/>
      <c r="C63" s="21">
        <f>C56+C62</f>
        <v>6106640.4500000002</v>
      </c>
      <c r="D63" s="21">
        <f>D56+D62</f>
        <v>113020.31999999999</v>
      </c>
      <c r="E63" s="21">
        <f>E56+E62</f>
        <v>0</v>
      </c>
      <c r="F63" s="21">
        <f>F56+F62</f>
        <v>0</v>
      </c>
      <c r="G63" s="21">
        <f>G56+G62</f>
        <v>16272.94</v>
      </c>
      <c r="H63" s="13">
        <f t="shared" si="3"/>
        <v>6235933.7100000009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3055909.84</v>
      </c>
      <c r="D66" s="23" t="s">
        <v>288</v>
      </c>
      <c r="E66" s="23" t="s">
        <v>288</v>
      </c>
      <c r="F66" s="23" t="s">
        <v>288</v>
      </c>
      <c r="G66" s="23" t="s">
        <v>288</v>
      </c>
      <c r="H66" s="13">
        <f t="shared" ref="H66:H81" si="4">SUM(C66:G66)</f>
        <v>3055909.84</v>
      </c>
      <c r="I66"/>
    </row>
    <row r="67" spans="1:9" x14ac:dyDescent="0.2">
      <c r="A67" s="1" t="s">
        <v>767</v>
      </c>
      <c r="B67" s="6">
        <v>3112</v>
      </c>
      <c r="C67" s="73">
        <f>'DOE25'!F118</f>
        <v>1027685</v>
      </c>
      <c r="D67" s="23"/>
      <c r="E67" s="23"/>
      <c r="F67" s="23"/>
      <c r="G67" s="23"/>
      <c r="H67" s="13">
        <f t="shared" si="4"/>
        <v>1027685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9084.6</v>
      </c>
      <c r="D69" s="73">
        <f>'DOE25'!G120</f>
        <v>0</v>
      </c>
      <c r="E69" s="73">
        <f>'DOE25'!H120</f>
        <v>0</v>
      </c>
      <c r="F69" s="73">
        <f>'DOE25'!I120</f>
        <v>0</v>
      </c>
      <c r="G69" s="73">
        <f>'DOE25'!J120</f>
        <v>0</v>
      </c>
      <c r="H69" s="13">
        <f t="shared" si="4"/>
        <v>9084.6</v>
      </c>
      <c r="I69"/>
    </row>
    <row r="70" spans="1:9" ht="12" thickTop="1" x14ac:dyDescent="0.2">
      <c r="A70" s="28" t="s">
        <v>252</v>
      </c>
      <c r="B70" s="2"/>
      <c r="C70" s="97">
        <f>SUM(C66:C69)</f>
        <v>4092679.44</v>
      </c>
      <c r="D70" s="97">
        <f>D69</f>
        <v>0</v>
      </c>
      <c r="E70" s="97">
        <f>E69</f>
        <v>0</v>
      </c>
      <c r="F70" s="97">
        <f>F69</f>
        <v>0</v>
      </c>
      <c r="G70" s="97">
        <f>G69</f>
        <v>0</v>
      </c>
      <c r="H70" s="13">
        <f t="shared" si="4"/>
        <v>4092679.44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246164.21</v>
      </c>
      <c r="D75" s="23" t="s">
        <v>288</v>
      </c>
      <c r="E75" s="23" t="s">
        <v>288</v>
      </c>
      <c r="F75" s="23" t="s">
        <v>288</v>
      </c>
      <c r="G75" s="23" t="s">
        <v>288</v>
      </c>
      <c r="H75" s="13">
        <f t="shared" si="4"/>
        <v>246164.21</v>
      </c>
      <c r="I75"/>
    </row>
    <row r="76" spans="1:9" x14ac:dyDescent="0.2">
      <c r="A76" s="1" t="s">
        <v>257</v>
      </c>
      <c r="B76" s="6" t="s">
        <v>179</v>
      </c>
      <c r="C76" s="73">
        <f>SUM('DOE25'!F127:F130)</f>
        <v>9946.6</v>
      </c>
      <c r="D76" s="23" t="s">
        <v>288</v>
      </c>
      <c r="E76" s="73">
        <f>SUM('DOE25'!H127:H130)</f>
        <v>0</v>
      </c>
      <c r="F76" s="73">
        <f>SUM('DOE25'!I127:I130)</f>
        <v>0</v>
      </c>
      <c r="G76" s="23" t="s">
        <v>288</v>
      </c>
      <c r="H76" s="13">
        <f t="shared" si="4"/>
        <v>9946.6</v>
      </c>
      <c r="I76"/>
    </row>
    <row r="77" spans="1:9" ht="12" thickBot="1" x14ac:dyDescent="0.25">
      <c r="A77" s="1" t="s">
        <v>258</v>
      </c>
      <c r="B77" s="6" t="s">
        <v>180</v>
      </c>
      <c r="C77" s="73">
        <f>SUM('DOE25'!F131:F135)</f>
        <v>0</v>
      </c>
      <c r="D77" s="73">
        <f>SUM('DOE25'!G131:G135)</f>
        <v>6253.66</v>
      </c>
      <c r="E77" s="73">
        <f>SUM('DOE25'!H131:H135)</f>
        <v>0</v>
      </c>
      <c r="F77" s="73">
        <f>SUM('DOE25'!I131:I135)</f>
        <v>0</v>
      </c>
      <c r="G77" s="73">
        <f>SUM('DOE25'!J131:J135)</f>
        <v>0</v>
      </c>
      <c r="H77" s="13">
        <f t="shared" si="4"/>
        <v>6253.66</v>
      </c>
      <c r="I77"/>
    </row>
    <row r="78" spans="1:9" ht="12.75" thickTop="1" thickBot="1" x14ac:dyDescent="0.25">
      <c r="A78" s="28" t="s">
        <v>259</v>
      </c>
      <c r="B78" s="6"/>
      <c r="C78" s="93">
        <f>SUM(C72:C77)</f>
        <v>256110.81</v>
      </c>
      <c r="D78" s="93">
        <f>SUM(D72:D77)</f>
        <v>6253.66</v>
      </c>
      <c r="E78" s="93">
        <f>SUM(E72:E77)</f>
        <v>0</v>
      </c>
      <c r="F78" s="93">
        <f>SUM(F72:F77)</f>
        <v>0</v>
      </c>
      <c r="G78" s="93">
        <f>SUM(G72:G77)</f>
        <v>0</v>
      </c>
      <c r="H78" s="13">
        <f t="shared" si="4"/>
        <v>262364.46999999997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4348790.25</v>
      </c>
      <c r="D81" s="93">
        <f>SUM(D79:D80)+D78+D70</f>
        <v>6253.66</v>
      </c>
      <c r="E81" s="93">
        <f>SUM(E79:E80)+E78+E70</f>
        <v>0</v>
      </c>
      <c r="F81" s="93">
        <f>SUM(F79:F80)+F78+F70</f>
        <v>0</v>
      </c>
      <c r="G81" s="93">
        <f>SUM(G79:G80)+G78+G70</f>
        <v>0</v>
      </c>
      <c r="H81" s="93">
        <f t="shared" si="4"/>
        <v>4355043.91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85302.399999999994</v>
      </c>
      <c r="D85" s="73">
        <f>'DOE25'!G147</f>
        <v>0</v>
      </c>
      <c r="E85" s="73">
        <f>'DOE25'!H147</f>
        <v>0</v>
      </c>
      <c r="F85" s="73">
        <f>'DOE25'!I147</f>
        <v>0</v>
      </c>
      <c r="G85" s="23" t="s">
        <v>288</v>
      </c>
      <c r="H85" s="13">
        <f t="shared" ref="H85:H104" si="5">SUM(C85:G85)</f>
        <v>85302.399999999994</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147960.51</v>
      </c>
      <c r="E88" s="252">
        <f>SUM('DOE25'!H153:H162)</f>
        <v>777995.63</v>
      </c>
      <c r="F88" s="252">
        <f>SUM('DOE25'!I153:I162)</f>
        <v>0</v>
      </c>
      <c r="G88" s="23" t="s">
        <v>288</v>
      </c>
      <c r="H88" s="13">
        <f t="shared" si="5"/>
        <v>925956.14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85302.399999999994</v>
      </c>
      <c r="D91" s="94">
        <f>SUM(D85:D90)</f>
        <v>147960.51</v>
      </c>
      <c r="E91" s="94">
        <f>SUM(E85:E90)</f>
        <v>777995.63</v>
      </c>
      <c r="F91" s="94">
        <f>SUM(F85:F90)</f>
        <v>0</v>
      </c>
      <c r="G91" s="23" t="s">
        <v>288</v>
      </c>
      <c r="H91" s="13">
        <f t="shared" si="5"/>
        <v>1011258.54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135988.6</v>
      </c>
      <c r="E96" s="73">
        <f>'DOE25'!H180</f>
        <v>0</v>
      </c>
      <c r="F96" s="73">
        <f>'DOE25'!I180</f>
        <v>0</v>
      </c>
      <c r="G96" s="73">
        <f>'DOE25'!J180</f>
        <v>121000</v>
      </c>
      <c r="H96" s="13">
        <f t="shared" si="5"/>
        <v>256988.6</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135988.6</v>
      </c>
      <c r="E103" s="68">
        <f>SUM(E93:E102)</f>
        <v>0</v>
      </c>
      <c r="F103" s="68">
        <f>SUM(F93:F102)</f>
        <v>0</v>
      </c>
      <c r="G103" s="68">
        <f>SUM(G93:G102)</f>
        <v>121000</v>
      </c>
      <c r="H103" s="68">
        <f t="shared" si="5"/>
        <v>256988.6</v>
      </c>
    </row>
    <row r="104" spans="1:8" ht="12.75" thickTop="1" thickBot="1" x14ac:dyDescent="0.25">
      <c r="A104" s="32" t="s">
        <v>758</v>
      </c>
      <c r="C104" s="68">
        <f>C63+C81+C91+C103</f>
        <v>10540733.1</v>
      </c>
      <c r="D104" s="68">
        <f>D63+D81+D91+D103</f>
        <v>403223.08999999997</v>
      </c>
      <c r="E104" s="68">
        <f>E63+E81+E91+E103</f>
        <v>777995.63</v>
      </c>
      <c r="F104" s="68">
        <f>F63+F81+F91+F103</f>
        <v>0</v>
      </c>
      <c r="G104" s="68">
        <f>G63+G81+G103</f>
        <v>137272.94</v>
      </c>
      <c r="H104" s="68">
        <f t="shared" si="5"/>
        <v>11859224.76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3012762.0500000003</v>
      </c>
      <c r="D109" s="23" t="s">
        <v>288</v>
      </c>
      <c r="E109" s="73">
        <f>('DOE25'!L277)+('DOE25'!L296)+('DOE25'!L315)</f>
        <v>412398.17</v>
      </c>
      <c r="F109" s="23" t="s">
        <v>288</v>
      </c>
      <c r="G109" s="23" t="s">
        <v>288</v>
      </c>
      <c r="H109" s="13">
        <f t="shared" ref="H109:H115" si="6">SUM(C109:G109)</f>
        <v>3425160.22</v>
      </c>
    </row>
    <row r="110" spans="1:8" x14ac:dyDescent="0.2">
      <c r="A110" t="s">
        <v>198</v>
      </c>
      <c r="B110" s="31" t="s">
        <v>199</v>
      </c>
      <c r="C110" s="73">
        <f>('DOE25'!L199)+('DOE25'!L217)+('DOE25'!L235)</f>
        <v>3184915.49</v>
      </c>
      <c r="D110" s="23" t="s">
        <v>288</v>
      </c>
      <c r="E110" s="73">
        <f>('DOE25'!L278)+('DOE25'!L297)+('DOE25'!L316)</f>
        <v>180115.96</v>
      </c>
      <c r="F110" s="23" t="s">
        <v>288</v>
      </c>
      <c r="G110" s="23" t="s">
        <v>288</v>
      </c>
      <c r="H110" s="13">
        <f t="shared" si="6"/>
        <v>3365031.45</v>
      </c>
    </row>
    <row r="111" spans="1:8" x14ac:dyDescent="0.2">
      <c r="A111" t="s">
        <v>200</v>
      </c>
      <c r="B111" s="31" t="s">
        <v>165</v>
      </c>
      <c r="C111" s="73">
        <f>('DOE25'!L200)+('DOE25'!L218)+('DOE25'!L236)</f>
        <v>96577.39</v>
      </c>
      <c r="D111" s="23" t="s">
        <v>288</v>
      </c>
      <c r="E111" s="73">
        <f>('DOE25'!L279)+('DOE25'!L298)+('DOE25'!L317)</f>
        <v>0</v>
      </c>
      <c r="F111" s="23" t="s">
        <v>288</v>
      </c>
      <c r="G111" s="23" t="s">
        <v>288</v>
      </c>
      <c r="H111" s="13">
        <f t="shared" si="6"/>
        <v>96577.39</v>
      </c>
    </row>
    <row r="112" spans="1:8" x14ac:dyDescent="0.2">
      <c r="A112" t="s">
        <v>201</v>
      </c>
      <c r="B112" s="31" t="s">
        <v>167</v>
      </c>
      <c r="C112" s="73">
        <f>('DOE25'!L201)+('DOE25'!L219)+('DOE25'!L237)</f>
        <v>133844.37</v>
      </c>
      <c r="D112" s="23" t="s">
        <v>288</v>
      </c>
      <c r="E112" s="73">
        <f>+('DOE25'!L280)+('DOE25'!L299)+('DOE25'!L318)</f>
        <v>32373.100000000006</v>
      </c>
      <c r="F112" s="23" t="s">
        <v>288</v>
      </c>
      <c r="G112" s="23" t="s">
        <v>288</v>
      </c>
      <c r="H112" s="13">
        <f t="shared" si="6"/>
        <v>166217.47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6428099.3000000007</v>
      </c>
      <c r="D115" s="68">
        <f>SUM(D109:D114)</f>
        <v>0</v>
      </c>
      <c r="E115" s="68">
        <f>SUM(E109:E114)</f>
        <v>624887.23</v>
      </c>
      <c r="F115" s="68">
        <f>SUM(F109:F114)</f>
        <v>0</v>
      </c>
      <c r="G115" s="68">
        <f>SUM(G109:G114)</f>
        <v>0</v>
      </c>
      <c r="H115" s="68">
        <f t="shared" si="6"/>
        <v>7052986.5300000012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463410.51999999996</v>
      </c>
      <c r="D118" s="23" t="s">
        <v>288</v>
      </c>
      <c r="E118" s="73">
        <f>+('DOE25'!L282)+('DOE25'!L301)+('DOE25'!L320)</f>
        <v>119390.02999999998</v>
      </c>
      <c r="F118" s="23" t="s">
        <v>288</v>
      </c>
      <c r="G118" s="23" t="s">
        <v>288</v>
      </c>
      <c r="H118" s="13">
        <f t="shared" ref="H118:H145" si="7">SUM(C118:G118)</f>
        <v>582800.54999999993</v>
      </c>
    </row>
    <row r="119" spans="1:8" x14ac:dyDescent="0.2">
      <c r="A119" t="s">
        <v>208</v>
      </c>
      <c r="B119" s="31" t="s">
        <v>209</v>
      </c>
      <c r="C119" s="73">
        <f>('DOE25'!L204)+('DOE25'!L222)+('DOE25'!L240)</f>
        <v>165571.76</v>
      </c>
      <c r="D119" s="23" t="s">
        <v>288</v>
      </c>
      <c r="E119" s="73">
        <f>+('DOE25'!L283)+('DOE25'!L302)+('DOE25'!L321)</f>
        <v>0</v>
      </c>
      <c r="F119" s="23" t="s">
        <v>288</v>
      </c>
      <c r="G119" s="23" t="s">
        <v>288</v>
      </c>
      <c r="H119" s="13">
        <f t="shared" si="7"/>
        <v>165571.76</v>
      </c>
    </row>
    <row r="120" spans="1:8" x14ac:dyDescent="0.2">
      <c r="A120" t="s">
        <v>210</v>
      </c>
      <c r="B120" s="31" t="s">
        <v>211</v>
      </c>
      <c r="C120" s="73">
        <f>('DOE25'!L205)+('DOE25'!L223)+('DOE25'!L241)</f>
        <v>559196.99</v>
      </c>
      <c r="D120" s="23" t="s">
        <v>288</v>
      </c>
      <c r="E120" s="73">
        <f>+('DOE25'!L284)+('DOE25'!L303)+('DOE25'!L322)</f>
        <v>0</v>
      </c>
      <c r="F120" s="23" t="s">
        <v>288</v>
      </c>
      <c r="G120" s="23" t="s">
        <v>288</v>
      </c>
      <c r="H120" s="13">
        <f t="shared" si="7"/>
        <v>559196.99</v>
      </c>
    </row>
    <row r="121" spans="1:8" x14ac:dyDescent="0.2">
      <c r="A121" t="s">
        <v>212</v>
      </c>
      <c r="B121" s="31" t="s">
        <v>213</v>
      </c>
      <c r="C121" s="73">
        <f>('DOE25'!L206)+('DOE25'!L224)+('DOE25'!L242)</f>
        <v>792375.52</v>
      </c>
      <c r="D121" s="23" t="s">
        <v>288</v>
      </c>
      <c r="E121" s="73">
        <f>+('DOE25'!L285)+('DOE25'!L304)+('DOE25'!L323)</f>
        <v>0</v>
      </c>
      <c r="F121" s="23" t="s">
        <v>288</v>
      </c>
      <c r="G121" s="23" t="s">
        <v>288</v>
      </c>
      <c r="H121" s="13">
        <f t="shared" si="7"/>
        <v>792375.52</v>
      </c>
    </row>
    <row r="122" spans="1:8" x14ac:dyDescent="0.2">
      <c r="A122" t="s">
        <v>214</v>
      </c>
      <c r="B122" s="31" t="s">
        <v>215</v>
      </c>
      <c r="C122" s="73">
        <f>('DOE25'!L207)+('DOE25'!L225)+('DOE25'!L243)</f>
        <v>49740.19</v>
      </c>
      <c r="D122" s="23" t="s">
        <v>288</v>
      </c>
      <c r="E122" s="73">
        <f>+('DOE25'!L286)+('DOE25'!L305)+('DOE25'!L324)</f>
        <v>10413.299999999999</v>
      </c>
      <c r="F122" s="23" t="s">
        <v>288</v>
      </c>
      <c r="G122" s="23" t="s">
        <v>288</v>
      </c>
      <c r="H122" s="13">
        <f t="shared" si="7"/>
        <v>60153.490000000005</v>
      </c>
    </row>
    <row r="123" spans="1:8" x14ac:dyDescent="0.2">
      <c r="A123" t="s">
        <v>216</v>
      </c>
      <c r="B123" s="31" t="s">
        <v>217</v>
      </c>
      <c r="C123" s="73">
        <f>('DOE25'!L208)+('DOE25'!L226)+('DOE25'!L244)</f>
        <v>1087999.8399999999</v>
      </c>
      <c r="D123" s="23" t="s">
        <v>288</v>
      </c>
      <c r="E123" s="73">
        <f>+('DOE25'!L287)+('DOE25'!L306)+('DOE25'!L325)</f>
        <v>4047.7</v>
      </c>
      <c r="F123" s="23" t="s">
        <v>288</v>
      </c>
      <c r="G123" s="23" t="s">
        <v>288</v>
      </c>
      <c r="H123" s="13">
        <f t="shared" si="7"/>
        <v>1092047.5399999998</v>
      </c>
    </row>
    <row r="124" spans="1:8" x14ac:dyDescent="0.2">
      <c r="A124" t="s">
        <v>218</v>
      </c>
      <c r="B124" s="31" t="s">
        <v>219</v>
      </c>
      <c r="C124" s="73">
        <f>('DOE25'!L209)+('DOE25'!L227)+('DOE25'!L245+'DOE25'!L255)</f>
        <v>562771.07000000007</v>
      </c>
      <c r="D124" s="23" t="s">
        <v>288</v>
      </c>
      <c r="E124" s="73">
        <f>+('DOE25'!L288)+('DOE25'!L307)+('DOE25'!L326)</f>
        <v>19257.37</v>
      </c>
      <c r="F124" s="23" t="s">
        <v>288</v>
      </c>
      <c r="G124" s="23" t="s">
        <v>288</v>
      </c>
      <c r="H124" s="13">
        <f t="shared" si="7"/>
        <v>582028.44000000006</v>
      </c>
    </row>
    <row r="125" spans="1:8" x14ac:dyDescent="0.2">
      <c r="A125" t="s">
        <v>220</v>
      </c>
      <c r="B125" s="31" t="s">
        <v>221</v>
      </c>
      <c r="C125" s="73">
        <f>('DOE25'!L210)+('DOE25'!L228)+('DOE25'!L246)</f>
        <v>104016.54000000001</v>
      </c>
      <c r="D125" s="23" t="s">
        <v>288</v>
      </c>
      <c r="E125" s="73">
        <f>+('DOE25'!L289)+('DOE25'!L308)+('DOE25'!L327)</f>
        <v>0</v>
      </c>
      <c r="F125" s="23" t="s">
        <v>288</v>
      </c>
      <c r="G125" s="23" t="s">
        <v>288</v>
      </c>
      <c r="H125" s="13">
        <f t="shared" si="7"/>
        <v>104016.54000000001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403223.09</v>
      </c>
      <c r="E127" s="23" t="s">
        <v>288</v>
      </c>
      <c r="F127" s="23" t="s">
        <v>288</v>
      </c>
      <c r="G127" s="23" t="s">
        <v>288</v>
      </c>
      <c r="H127" s="13">
        <f t="shared" si="7"/>
        <v>403223.09</v>
      </c>
    </row>
    <row r="128" spans="1:8" ht="12.75" thickTop="1" thickBot="1" x14ac:dyDescent="0.25">
      <c r="A128" s="32" t="s">
        <v>226</v>
      </c>
      <c r="C128" s="68">
        <f>SUM(C118:C127)</f>
        <v>3785082.4299999997</v>
      </c>
      <c r="D128" s="68">
        <f>SUM(D118:D127)</f>
        <v>403223.09</v>
      </c>
      <c r="E128" s="68">
        <f>SUM(E118:E127)</f>
        <v>153108.4</v>
      </c>
      <c r="F128" s="68">
        <f>SUM(F118:F127)</f>
        <v>0</v>
      </c>
      <c r="G128" s="68">
        <f>SUM(G118:G127)</f>
        <v>0</v>
      </c>
      <c r="H128" s="68">
        <f t="shared" si="7"/>
        <v>4341413.92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135988.6</v>
      </c>
      <c r="D135" s="23" t="s">
        <v>288</v>
      </c>
      <c r="E135" s="92">
        <f>'DOE25'!L346</f>
        <v>0</v>
      </c>
      <c r="F135" s="23" t="s">
        <v>288</v>
      </c>
      <c r="G135" s="23" t="s">
        <v>288</v>
      </c>
      <c r="H135" s="13">
        <f t="shared" si="7"/>
        <v>135988.6</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79060.58</v>
      </c>
      <c r="D138" s="23" t="s">
        <v>288</v>
      </c>
      <c r="E138" s="23" t="s">
        <v>288</v>
      </c>
      <c r="F138" s="23" t="s">
        <v>288</v>
      </c>
      <c r="G138" s="23" t="s">
        <v>288</v>
      </c>
      <c r="H138" s="13">
        <f t="shared" si="7"/>
        <v>79060.58</v>
      </c>
    </row>
    <row r="139" spans="1:8" x14ac:dyDescent="0.2">
      <c r="A139" t="s">
        <v>239</v>
      </c>
      <c r="B139" s="31">
        <v>5252</v>
      </c>
      <c r="C139" s="73">
        <f>'DOE25'!L402</f>
        <v>58212.36</v>
      </c>
      <c r="D139" s="23" t="s">
        <v>288</v>
      </c>
      <c r="E139" s="23" t="s">
        <v>288</v>
      </c>
      <c r="F139" s="23" t="s">
        <v>288</v>
      </c>
      <c r="G139" s="23" t="s">
        <v>288</v>
      </c>
      <c r="H139" s="13">
        <f t="shared" si="7"/>
        <v>58212.36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-16272.940000000002</v>
      </c>
      <c r="D141" s="23" t="s">
        <v>288</v>
      </c>
      <c r="E141" s="23" t="s">
        <v>288</v>
      </c>
      <c r="F141" s="23" t="s">
        <v>288</v>
      </c>
      <c r="G141" s="23" t="s">
        <v>288</v>
      </c>
      <c r="H141" s="13">
        <f t="shared" si="7"/>
        <v>-16272.940000000002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256988.59999999998</v>
      </c>
      <c r="D144" s="98">
        <f>SUM(D130:D143)</f>
        <v>0</v>
      </c>
      <c r="E144" s="98">
        <f>SUM(E130:E143)</f>
        <v>0</v>
      </c>
      <c r="F144" s="98">
        <f>SUM(F130:F143)</f>
        <v>0</v>
      </c>
      <c r="G144" s="98">
        <f>SUM(G130:G143)</f>
        <v>0</v>
      </c>
      <c r="H144" s="98">
        <f t="shared" si="7"/>
        <v>256988.59999999998</v>
      </c>
    </row>
    <row r="145" spans="1:9" ht="12.75" thickTop="1" thickBot="1" x14ac:dyDescent="0.25">
      <c r="A145" s="32" t="s">
        <v>244</v>
      </c>
      <c r="C145" s="68">
        <f>(C115+C128+C144)</f>
        <v>10470170.33</v>
      </c>
      <c r="D145" s="68">
        <f>(D115+D128+D144)</f>
        <v>403223.09</v>
      </c>
      <c r="E145" s="68">
        <f>(E115+E128+E144)</f>
        <v>777995.63</v>
      </c>
      <c r="F145" s="68">
        <f>(F115+F128+F144)</f>
        <v>0</v>
      </c>
      <c r="G145" s="68">
        <f>(G115+G128+G144)</f>
        <v>0</v>
      </c>
      <c r="H145" s="68">
        <f t="shared" si="7"/>
        <v>11651389.050000001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Milton</v>
      </c>
    </row>
    <row r="3" spans="1:4" x14ac:dyDescent="0.2">
      <c r="B3" s="136" t="s">
        <v>1792</v>
      </c>
    </row>
    <row r="4" spans="1:4" x14ac:dyDescent="0.2">
      <c r="B4" t="s">
        <v>61</v>
      </c>
      <c r="C4" s="128">
        <f>IF('DOE25'!F666+'DOE25'!F671=0,0,ROUND('DOE25'!F673,0))</f>
        <v>21853</v>
      </c>
    </row>
    <row r="5" spans="1:4" x14ac:dyDescent="0.2">
      <c r="B5" t="s">
        <v>700</v>
      </c>
      <c r="C5" s="128">
        <f>IF('DOE25'!G666+'DOE25'!G671=0,0,ROUND('DOE25'!G673,0))</f>
        <v>19295</v>
      </c>
    </row>
    <row r="6" spans="1:4" x14ac:dyDescent="0.2">
      <c r="B6" t="s">
        <v>62</v>
      </c>
      <c r="C6" s="128">
        <f>IF('DOE25'!H666+'DOE25'!H671=0,0,ROUND('DOE25'!H673,0))</f>
        <v>15792</v>
      </c>
    </row>
    <row r="7" spans="1:4" x14ac:dyDescent="0.2">
      <c r="B7" t="s">
        <v>701</v>
      </c>
      <c r="C7" s="128">
        <f>IF('DOE25'!I666+'DOE25'!I671=0,0,ROUND('DOE25'!I673,0))</f>
        <v>19483</v>
      </c>
    </row>
    <row r="9" spans="1:4" x14ac:dyDescent="0.2">
      <c r="A9" s="135" t="s">
        <v>94</v>
      </c>
      <c r="B9" s="136" t="s">
        <v>1793</v>
      </c>
      <c r="C9" s="130" t="s">
        <v>720</v>
      </c>
      <c r="D9" s="130" t="s">
        <v>721</v>
      </c>
    </row>
    <row r="10" spans="1:4" x14ac:dyDescent="0.2">
      <c r="A10">
        <v>1100</v>
      </c>
      <c r="B10" t="s">
        <v>702</v>
      </c>
      <c r="C10" s="128">
        <f>ROUND('DOE25'!L198+'DOE25'!L216+'DOE25'!L234+'DOE25'!L277+'DOE25'!L296+'DOE25'!L315,0)</f>
        <v>3425160</v>
      </c>
      <c r="D10" s="131">
        <f>ROUND((C10/$C$28)*100,1)</f>
        <v>30.4</v>
      </c>
    </row>
    <row r="11" spans="1:4" x14ac:dyDescent="0.2">
      <c r="A11">
        <v>1200</v>
      </c>
      <c r="B11" t="s">
        <v>703</v>
      </c>
      <c r="C11" s="128">
        <f>ROUND('DOE25'!L199+'DOE25'!L217+'DOE25'!L235+'DOE25'!L278+'DOE25'!L297+'DOE25'!L316,0)</f>
        <v>3365031</v>
      </c>
      <c r="D11" s="131">
        <f>ROUND((C11/$C$28)*100,1)</f>
        <v>29.8</v>
      </c>
    </row>
    <row r="12" spans="1:4" x14ac:dyDescent="0.2">
      <c r="A12">
        <v>1300</v>
      </c>
      <c r="B12" t="s">
        <v>704</v>
      </c>
      <c r="C12" s="128">
        <f>ROUND('DOE25'!L200+'DOE25'!L218+'DOE25'!L236+'DOE25'!L279+'DOE25'!L298+'DOE25'!L317,0)</f>
        <v>96577</v>
      </c>
      <c r="D12" s="131">
        <f>ROUND((C12/$C$28)*100,1)</f>
        <v>0.9</v>
      </c>
    </row>
    <row r="13" spans="1:4" x14ac:dyDescent="0.2">
      <c r="A13">
        <v>1400</v>
      </c>
      <c r="B13" t="s">
        <v>705</v>
      </c>
      <c r="C13" s="128">
        <f>ROUND('DOE25'!L201+'DOE25'!L219+'DOE25'!L237+'DOE25'!L280+'DOE25'!L299+'DOE25'!L318,0)</f>
        <v>166217</v>
      </c>
      <c r="D13" s="131">
        <f>ROUND((C13/$C$28)*100,1)</f>
        <v>1.5</v>
      </c>
    </row>
    <row r="14" spans="1:4" x14ac:dyDescent="0.2">
      <c r="D14" s="131"/>
    </row>
    <row r="15" spans="1:4" x14ac:dyDescent="0.2">
      <c r="A15">
        <v>2100</v>
      </c>
      <c r="B15" t="s">
        <v>706</v>
      </c>
      <c r="C15" s="128">
        <f>ROUND('DOE25'!L203+'DOE25'!L221+'DOE25'!L239+'DOE25'!L282+'DOE25'!L301+'DOE25'!L320,0)</f>
        <v>582801</v>
      </c>
      <c r="D15" s="131">
        <f t="shared" ref="D15:D27" si="0">ROUND((C15/$C$28)*100,1)</f>
        <v>5.2</v>
      </c>
    </row>
    <row r="16" spans="1:4" x14ac:dyDescent="0.2">
      <c r="A16">
        <v>2200</v>
      </c>
      <c r="B16" t="s">
        <v>707</v>
      </c>
      <c r="C16" s="128">
        <f>ROUND('DOE25'!L204+'DOE25'!L222+'DOE25'!L240+'DOE25'!L283+'DOE25'!L302+'DOE25'!L321,0)</f>
        <v>165572</v>
      </c>
      <c r="D16" s="131">
        <f t="shared" si="0"/>
        <v>1.5</v>
      </c>
    </row>
    <row r="17" spans="1:4" x14ac:dyDescent="0.2">
      <c r="A17" s="132" t="s">
        <v>723</v>
      </c>
      <c r="B17" t="s">
        <v>738</v>
      </c>
      <c r="C17" s="128">
        <f>ROUND('DOE25'!L205+'DOE25'!L210+'DOE25'!L223+'DOE25'!L228+'DOE25'!L241+'DOE25'!L246+'DOE25'!L284+'DOE25'!L289+'DOE25'!L303+'DOE25'!L308+'DOE25'!L322+'DOE25'!L327,0)</f>
        <v>663214</v>
      </c>
      <c r="D17" s="131">
        <f t="shared" si="0"/>
        <v>5.9</v>
      </c>
    </row>
    <row r="18" spans="1:4" x14ac:dyDescent="0.2">
      <c r="A18">
        <v>2400</v>
      </c>
      <c r="B18" t="s">
        <v>711</v>
      </c>
      <c r="C18" s="128">
        <f>ROUND('DOE25'!L206+'DOE25'!L224+'DOE25'!L242+'DOE25'!L285+'DOE25'!L304+'DOE25'!L323,0)</f>
        <v>792376</v>
      </c>
      <c r="D18" s="131">
        <f t="shared" si="0"/>
        <v>7</v>
      </c>
    </row>
    <row r="19" spans="1:4" x14ac:dyDescent="0.2">
      <c r="A19">
        <v>2500</v>
      </c>
      <c r="B19" t="s">
        <v>708</v>
      </c>
      <c r="C19" s="128">
        <f>ROUND('DOE25'!L207+'DOE25'!L225+'DOE25'!L243+'DOE25'!L286+'DOE25'!L305+'DOE25'!L324,0)</f>
        <v>60153</v>
      </c>
      <c r="D19" s="131">
        <f t="shared" si="0"/>
        <v>0.5</v>
      </c>
    </row>
    <row r="20" spans="1:4" x14ac:dyDescent="0.2">
      <c r="A20">
        <v>2600</v>
      </c>
      <c r="B20" t="s">
        <v>709</v>
      </c>
      <c r="C20" s="128">
        <f>ROUND('DOE25'!L208+'DOE25'!L226+'DOE25'!L244+'DOE25'!L287+'DOE25'!L306+'DOE25'!L325,0)</f>
        <v>1092048</v>
      </c>
      <c r="D20" s="131">
        <f t="shared" si="0"/>
        <v>9.6999999999999993</v>
      </c>
    </row>
    <row r="21" spans="1:4" x14ac:dyDescent="0.2">
      <c r="A21">
        <v>2700</v>
      </c>
      <c r="B21" t="s">
        <v>710</v>
      </c>
      <c r="C21" s="128">
        <f>ROUND('DOE25'!L209+'DOE25'!L227+'DOE25'!L245+'DOE25'!L288+'DOE25'!L307+'DOE25'!L326,0)</f>
        <v>582028</v>
      </c>
      <c r="D21" s="131">
        <f t="shared" si="0"/>
        <v>5.2</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290202.68</v>
      </c>
      <c r="D27" s="131">
        <f t="shared" si="0"/>
        <v>2.6</v>
      </c>
    </row>
    <row r="28" spans="1:4" x14ac:dyDescent="0.2">
      <c r="B28" s="135" t="s">
        <v>719</v>
      </c>
      <c r="C28" s="129">
        <f>SUM(C10:C27)</f>
        <v>11281379.68</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11281379.68</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5972053</v>
      </c>
      <c r="D35" s="131">
        <f t="shared" ref="D35:D40" si="1">ROUND((C35/$C$41)*100,1)</f>
        <v>52</v>
      </c>
    </row>
    <row r="36" spans="1:4" x14ac:dyDescent="0.2">
      <c r="B36" s="71" t="s">
        <v>739</v>
      </c>
      <c r="C36" s="128">
        <f>SUM('DOE25'!F112:J112)-SUM('DOE25'!G97:G110)+('DOE25'!F175+'DOE25'!F176+'DOE25'!I175+'DOE25'!I176)-C35</f>
        <v>150860.38999999966</v>
      </c>
      <c r="D36" s="131">
        <f t="shared" si="1"/>
        <v>1.3</v>
      </c>
    </row>
    <row r="37" spans="1:4" x14ac:dyDescent="0.2">
      <c r="A37" s="132" t="s">
        <v>831</v>
      </c>
      <c r="B37" s="71" t="s">
        <v>728</v>
      </c>
      <c r="C37" s="128">
        <f>ROUND('DOE25'!F117+'DOE25'!F118,0)</f>
        <v>4083595</v>
      </c>
      <c r="D37" s="131">
        <f t="shared" si="1"/>
        <v>35.5</v>
      </c>
    </row>
    <row r="38" spans="1:4" x14ac:dyDescent="0.2">
      <c r="A38" s="132" t="s">
        <v>734</v>
      </c>
      <c r="B38" s="71" t="s">
        <v>729</v>
      </c>
      <c r="C38" s="128">
        <f>ROUND(SUM('DOE25'!F140:J140)-SUM('DOE25'!F117:F119),0)</f>
        <v>271449</v>
      </c>
      <c r="D38" s="131">
        <f t="shared" si="1"/>
        <v>2.4</v>
      </c>
    </row>
    <row r="39" spans="1:4" x14ac:dyDescent="0.2">
      <c r="A39">
        <v>4000</v>
      </c>
      <c r="B39" s="71" t="s">
        <v>730</v>
      </c>
      <c r="C39" s="128">
        <f>ROUND('DOE25'!F170+'DOE25'!G170+'DOE25'!H170+'DOE25'!I170,0)</f>
        <v>1011259</v>
      </c>
      <c r="D39" s="131">
        <f t="shared" si="1"/>
        <v>8.8000000000000007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11489216.390000001</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Milton</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201</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55</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71</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f>IF('School Level Expenditures'!$B$2='School Tables'!L58,'School Tables'!S58,"")</f>
        <v>55</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f>IF('School Level Expenditures'!$B$2='School Tables'!W74,'School Tables'!AD74,"")</f>
        <v>71</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f>IF('School Level Expenditures'!$B$2=A204,'School Tables'!H204,"")</f>
        <v>201</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2024-12-20T19:16:30Z</dcterms:modified>
</cp:coreProperties>
</file>