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3F6850E-6A82-4BE0-A2BC-1E4FC0ED7B9A}"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42" i="1" l="1"/>
  <c r="H544" i="1"/>
  <c r="H543" i="1"/>
  <c r="J593" i="1"/>
  <c r="I529" i="1" l="1"/>
  <c r="H529" i="1"/>
  <c r="G529" i="1"/>
  <c r="F529" i="1"/>
  <c r="I528" i="1"/>
  <c r="H528" i="1"/>
  <c r="G528" i="1"/>
  <c r="F528" i="1"/>
  <c r="I527" i="1"/>
  <c r="H527" i="1"/>
  <c r="G527" i="1"/>
  <c r="F527" i="1"/>
  <c r="I524" i="1"/>
  <c r="H524" i="1"/>
  <c r="G524" i="1"/>
  <c r="F524" i="1"/>
  <c r="I523" i="1"/>
  <c r="H523" i="1"/>
  <c r="G523" i="1"/>
  <c r="F523" i="1"/>
  <c r="I522" i="1"/>
  <c r="H522" i="1"/>
  <c r="G522" i="1"/>
  <c r="F522" i="1"/>
  <c r="F532" i="1"/>
  <c r="K529" i="1"/>
  <c r="K528" i="1"/>
  <c r="J528" i="1"/>
  <c r="K524" i="1"/>
  <c r="J524" i="1"/>
  <c r="K523" i="1"/>
  <c r="J523" i="1"/>
  <c r="K522" i="1"/>
  <c r="J522" i="1"/>
  <c r="F50" i="1" l="1"/>
  <c r="F16" i="13" l="1"/>
  <c r="F14" i="13"/>
  <c r="F15" i="13"/>
  <c r="K39" i="14" l="1"/>
  <c r="K26" i="14"/>
  <c r="K5" i="14"/>
  <c r="H110" i="1"/>
  <c r="F110" i="1"/>
  <c r="H137" i="1"/>
  <c r="H30" i="1"/>
  <c r="H9" i="1"/>
  <c r="I9" i="1" l="1"/>
  <c r="K345" i="1" l="1"/>
  <c r="H596" i="1" l="1"/>
  <c r="H161" i="1" l="1"/>
  <c r="H155" i="1"/>
  <c r="E9" i="17"/>
  <c r="E15" i="17"/>
  <c r="H22" i="1"/>
  <c r="H29" i="1"/>
  <c r="H24" i="1"/>
  <c r="F500" i="1"/>
  <c r="F503" i="1"/>
  <c r="H397" i="1"/>
  <c r="H401" i="1"/>
  <c r="H379" i="1" l="1"/>
  <c r="H377" i="1"/>
  <c r="H162" i="1"/>
  <c r="I359" i="1" l="1"/>
  <c r="H359" i="1"/>
  <c r="F359" i="1"/>
  <c r="H102" i="1"/>
  <c r="G158" i="1"/>
  <c r="H159" i="1"/>
  <c r="H154" i="1"/>
  <c r="F120" i="1"/>
  <c r="F63" i="1"/>
  <c r="F57" i="1"/>
  <c r="F321" i="1" l="1"/>
  <c r="G302" i="1"/>
  <c r="F302" i="1"/>
  <c r="F306" i="1"/>
  <c r="F323" i="1"/>
  <c r="F304" i="1"/>
  <c r="F285" i="1"/>
  <c r="I321" i="1"/>
  <c r="G321" i="1"/>
  <c r="I302" i="1"/>
  <c r="I283" i="1"/>
  <c r="H283" i="1"/>
  <c r="F318" i="1"/>
  <c r="F316" i="1"/>
  <c r="F297" i="1"/>
  <c r="F278" i="1"/>
  <c r="F242" i="1" l="1"/>
  <c r="F228" i="1" l="1"/>
  <c r="F210" i="1"/>
  <c r="J244" i="1"/>
  <c r="I244" i="1"/>
  <c r="H244" i="1"/>
  <c r="G244" i="1"/>
  <c r="F244" i="1"/>
  <c r="F226" i="1"/>
  <c r="K226" i="1"/>
  <c r="J226" i="1"/>
  <c r="I226" i="1"/>
  <c r="H226" i="1"/>
  <c r="G226" i="1"/>
  <c r="F208" i="1"/>
  <c r="K208" i="1"/>
  <c r="J208" i="1"/>
  <c r="I208" i="1"/>
  <c r="H208" i="1"/>
  <c r="G208" i="1"/>
  <c r="F243" i="1"/>
  <c r="I242" i="1"/>
  <c r="H242" i="1"/>
  <c r="G242" i="1"/>
  <c r="I224" i="1"/>
  <c r="H224" i="1"/>
  <c r="G224" i="1"/>
  <c r="F224" i="1"/>
  <c r="F206" i="1"/>
  <c r="K206" i="1"/>
  <c r="J206" i="1"/>
  <c r="I206" i="1"/>
  <c r="H206" i="1"/>
  <c r="G206" i="1"/>
  <c r="F205" i="1" l="1"/>
  <c r="I240" i="1"/>
  <c r="H240" i="1"/>
  <c r="G240" i="1"/>
  <c r="F240" i="1"/>
  <c r="F222" i="1"/>
  <c r="J222" i="1"/>
  <c r="I222" i="1"/>
  <c r="H222" i="1"/>
  <c r="G222" i="1"/>
  <c r="F204" i="1"/>
  <c r="I204" i="1"/>
  <c r="G204" i="1"/>
  <c r="F221" i="1"/>
  <c r="I239" i="1"/>
  <c r="H239" i="1"/>
  <c r="G239" i="1"/>
  <c r="F239" i="1"/>
  <c r="I221" i="1"/>
  <c r="H221" i="1"/>
  <c r="G221" i="1"/>
  <c r="I203" i="1"/>
  <c r="H203" i="1"/>
  <c r="G203" i="1"/>
  <c r="F203" i="1"/>
  <c r="F219" i="1"/>
  <c r="F235" i="1"/>
  <c r="I199" i="1"/>
  <c r="K235" i="1"/>
  <c r="I235" i="1"/>
  <c r="H235" i="1"/>
  <c r="G235" i="1"/>
  <c r="K217" i="1"/>
  <c r="J217" i="1"/>
  <c r="I217" i="1"/>
  <c r="H217" i="1"/>
  <c r="G217" i="1"/>
  <c r="F217" i="1"/>
  <c r="K199" i="1"/>
  <c r="J199" i="1"/>
  <c r="H199" i="1"/>
  <c r="G199" i="1"/>
  <c r="F199" i="1"/>
  <c r="K234" i="1"/>
  <c r="J234" i="1"/>
  <c r="H234" i="1"/>
  <c r="G234" i="1"/>
  <c r="F234" i="1"/>
  <c r="K216" i="1"/>
  <c r="J216" i="1"/>
  <c r="I216" i="1"/>
  <c r="H216" i="1"/>
  <c r="G216" i="1"/>
  <c r="F216" i="1"/>
  <c r="K198" i="1"/>
  <c r="J198" i="1"/>
  <c r="I198" i="1"/>
  <c r="H198" i="1"/>
  <c r="G198" i="1"/>
  <c r="F198"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77"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E111" i="2" s="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L612" i="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J140" i="1" s="1"/>
  <c r="F147" i="1"/>
  <c r="F170" i="1" s="1"/>
  <c r="G147" i="1"/>
  <c r="D85" i="2" s="1"/>
  <c r="H147" i="1"/>
  <c r="H170" i="1" s="1"/>
  <c r="I147" i="1"/>
  <c r="I170" i="1"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H24" i="2" s="1"/>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E77" i="2"/>
  <c r="F77" i="2"/>
  <c r="G77" i="2"/>
  <c r="G78" i="2" s="1"/>
  <c r="C79" i="2"/>
  <c r="D79" i="2"/>
  <c r="E79" i="2"/>
  <c r="C80" i="2"/>
  <c r="E80" i="2"/>
  <c r="C87" i="2"/>
  <c r="E87" i="2"/>
  <c r="F87" i="2"/>
  <c r="C89" i="2"/>
  <c r="D89" i="2"/>
  <c r="E89" i="2"/>
  <c r="F89" i="2"/>
  <c r="C90" i="2"/>
  <c r="H90" i="2" s="1"/>
  <c r="C93" i="2"/>
  <c r="F93" i="2"/>
  <c r="H93" i="2" s="1"/>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D115" i="2"/>
  <c r="F115" i="2"/>
  <c r="G115"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I605" i="1" s="1"/>
  <c r="K230" i="1"/>
  <c r="F248" i="1"/>
  <c r="G248" i="1"/>
  <c r="H248" i="1"/>
  <c r="I248" i="1"/>
  <c r="J248" i="1"/>
  <c r="J605" i="1" s="1"/>
  <c r="J606"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F615" i="1"/>
  <c r="G615" i="1"/>
  <c r="H615" i="1"/>
  <c r="I615" i="1"/>
  <c r="J615" i="1"/>
  <c r="K615" i="1"/>
  <c r="G623" i="1"/>
  <c r="G624" i="1"/>
  <c r="G644" i="1"/>
  <c r="G645" i="1"/>
  <c r="G646" i="1"/>
  <c r="G652" i="1"/>
  <c r="H653" i="1"/>
  <c r="G654" i="1"/>
  <c r="H654" i="1"/>
  <c r="H655" i="1"/>
  <c r="H656" i="1"/>
  <c r="H605" i="1" l="1"/>
  <c r="H58" i="2"/>
  <c r="H97" i="2"/>
  <c r="H87" i="2"/>
  <c r="H26" i="2"/>
  <c r="H22" i="2"/>
  <c r="H140" i="1"/>
  <c r="G62" i="2"/>
  <c r="I112" i="1"/>
  <c r="H135" i="2"/>
  <c r="F85" i="2"/>
  <c r="H35" i="2"/>
  <c r="H25" i="2"/>
  <c r="H38" i="2"/>
  <c r="H43" i="2"/>
  <c r="G663" i="1"/>
  <c r="H96" i="2"/>
  <c r="C85" i="2"/>
  <c r="H69" i="2"/>
  <c r="H47" i="2"/>
  <c r="H30" i="2"/>
  <c r="H17" i="2"/>
  <c r="H15" i="2"/>
  <c r="H80" i="2"/>
  <c r="H34" i="2"/>
  <c r="H29" i="2"/>
  <c r="F664" i="1"/>
  <c r="C12" i="10"/>
  <c r="I409" i="1"/>
  <c r="H89" i="2"/>
  <c r="H79" i="2"/>
  <c r="H72" i="2"/>
  <c r="H59" i="2"/>
  <c r="G664" i="1"/>
  <c r="H132" i="2"/>
  <c r="H36" i="2"/>
  <c r="H44" i="2"/>
  <c r="H48" i="2"/>
  <c r="H94" i="2"/>
  <c r="H27" i="2"/>
  <c r="J112" i="1"/>
  <c r="J194" i="1" s="1"/>
  <c r="H664" i="1"/>
  <c r="H12" i="2"/>
  <c r="J652" i="1"/>
  <c r="H13" i="2"/>
  <c r="H9" i="2"/>
  <c r="H28" i="2"/>
  <c r="H23" i="2"/>
  <c r="H8" i="2"/>
  <c r="G409" i="1"/>
  <c r="H646" i="1" s="1"/>
  <c r="G662" i="1"/>
  <c r="D29" i="13"/>
  <c r="H61" i="2"/>
  <c r="D78" i="2"/>
  <c r="D81" i="2" s="1"/>
  <c r="H77" i="2"/>
  <c r="E124" i="2"/>
  <c r="E120" i="2"/>
  <c r="C125" i="2"/>
  <c r="H125" i="2" s="1"/>
  <c r="D15" i="13"/>
  <c r="C15" i="13" s="1"/>
  <c r="E13" i="13"/>
  <c r="C13" i="13" s="1"/>
  <c r="C120" i="2"/>
  <c r="C119" i="2"/>
  <c r="C13" i="10"/>
  <c r="C112" i="2"/>
  <c r="H112" i="2" s="1"/>
  <c r="K36" i="14"/>
  <c r="K37" i="14"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D51" i="2" s="1"/>
  <c r="E31" i="2"/>
  <c r="C18" i="2"/>
  <c r="F18" i="2"/>
  <c r="L271" i="1"/>
  <c r="F662" i="1"/>
  <c r="F572" i="1"/>
  <c r="L420" i="1"/>
  <c r="D9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G63" i="2"/>
  <c r="J619" i="1"/>
  <c r="G42" i="2"/>
  <c r="G50" i="2" s="1"/>
  <c r="J51" i="1"/>
  <c r="G16" i="2"/>
  <c r="G18" i="2" s="1"/>
  <c r="J19" i="1"/>
  <c r="G622" i="1" s="1"/>
  <c r="F546" i="1"/>
  <c r="H435" i="1"/>
  <c r="D103" i="2"/>
  <c r="I140" i="1"/>
  <c r="A22" i="12"/>
  <c r="J653" i="1"/>
  <c r="G572" i="1"/>
  <c r="I435" i="1"/>
  <c r="G435" i="1"/>
  <c r="I664" i="1"/>
  <c r="H131" i="2" l="1"/>
  <c r="G637" i="1"/>
  <c r="I473" i="1"/>
  <c r="H57" i="2"/>
  <c r="H85" i="2"/>
  <c r="H21" i="2"/>
  <c r="H114" i="2"/>
  <c r="B17" i="16"/>
  <c r="B19" i="16" s="1"/>
  <c r="G473" i="1"/>
  <c r="H16" i="2"/>
  <c r="H124" i="2"/>
  <c r="H78" i="2"/>
  <c r="H42" i="2"/>
  <c r="K605" i="1"/>
  <c r="K606" i="1" s="1"/>
  <c r="G649" i="1" s="1"/>
  <c r="H606" i="1"/>
  <c r="I663" i="1"/>
  <c r="E51" i="2"/>
  <c r="H31" i="2"/>
  <c r="H50" i="2"/>
  <c r="H18" i="2"/>
  <c r="G647" i="1"/>
  <c r="J469" i="1"/>
  <c r="G144" i="2"/>
  <c r="G145" i="2" s="1"/>
  <c r="H134" i="2"/>
  <c r="I662" i="1"/>
  <c r="D128" i="2"/>
  <c r="D145" i="2" s="1"/>
  <c r="H127" i="2"/>
  <c r="H91" i="2"/>
  <c r="H62" i="2"/>
  <c r="H103" i="2"/>
  <c r="C81" i="2"/>
  <c r="H81" i="2" s="1"/>
  <c r="F194" i="1"/>
  <c r="H123" i="2"/>
  <c r="H120"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L353" i="1" s="1"/>
  <c r="I194" i="1"/>
  <c r="G636" i="1"/>
  <c r="G51" i="2"/>
  <c r="D104" i="2"/>
  <c r="L409" i="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31" i="1" l="1"/>
  <c r="I469" i="1"/>
  <c r="G629" i="1"/>
  <c r="G469" i="1"/>
  <c r="H637" i="1"/>
  <c r="J637" i="1" s="1"/>
  <c r="I475" i="1"/>
  <c r="G639" i="1"/>
  <c r="J473" i="1"/>
  <c r="B22" i="16"/>
  <c r="J636" i="1"/>
  <c r="G475" i="1"/>
  <c r="H636" i="1"/>
  <c r="G628" i="1"/>
  <c r="F469" i="1"/>
  <c r="G634" i="1"/>
  <c r="H473" i="1"/>
  <c r="G633" i="1"/>
  <c r="F473" i="1"/>
  <c r="G630" i="1"/>
  <c r="H469" i="1"/>
  <c r="H51" i="2"/>
  <c r="H632" i="1"/>
  <c r="J632" i="1" s="1"/>
  <c r="J471" i="1"/>
  <c r="H638" i="1"/>
  <c r="C104" i="2"/>
  <c r="H104" i="2" s="1"/>
  <c r="H63"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9" i="1" l="1"/>
  <c r="J475" i="1"/>
  <c r="J477" i="1" s="1"/>
  <c r="H627" i="1" s="1"/>
  <c r="J627" i="1" s="1"/>
  <c r="G471" i="1"/>
  <c r="G477" i="1" s="1"/>
  <c r="H629" i="1"/>
  <c r="J639" i="1"/>
  <c r="J629" i="1"/>
  <c r="H631" i="1"/>
  <c r="J631" i="1" s="1"/>
  <c r="I471" i="1"/>
  <c r="I477" i="1" s="1"/>
  <c r="H626" i="1" s="1"/>
  <c r="J626" i="1" s="1"/>
  <c r="H628" i="1"/>
  <c r="F471" i="1"/>
  <c r="J628" i="1"/>
  <c r="H634" i="1"/>
  <c r="H475" i="1"/>
  <c r="J634" i="1"/>
  <c r="F475" i="1"/>
  <c r="H633" i="1"/>
  <c r="J633" i="1" s="1"/>
  <c r="H471" i="1"/>
  <c r="H630" i="1"/>
  <c r="J630" i="1" s="1"/>
  <c r="C145" i="2"/>
  <c r="H145" i="2"/>
  <c r="I670" i="1"/>
  <c r="I673" i="1" s="1"/>
  <c r="C7" i="10" s="1"/>
  <c r="F673" i="1"/>
  <c r="C4" i="10" s="1"/>
  <c r="I668" i="1"/>
  <c r="D28" i="10"/>
  <c r="D37" i="10"/>
  <c r="D36" i="10"/>
  <c r="D35" i="10"/>
  <c r="D40" i="10"/>
  <c r="D39" i="10"/>
  <c r="H624" i="1" l="1"/>
  <c r="J624" i="1" s="1"/>
  <c r="B33" i="16"/>
  <c r="H477" i="1"/>
  <c r="H625" i="1" s="1"/>
  <c r="J625" i="1" s="1"/>
  <c r="F477" i="1"/>
  <c r="H623" i="1" s="1"/>
  <c r="J623" i="1" s="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<sst xmlns="http://schemas.openxmlformats.org/spreadsheetml/2006/main" count="6641" uniqueCount="1843">
  <si>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</si>
  <si>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</si>
  <si>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</si>
  <si>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</si>
  <si>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</si>
  <si>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</si>
  <si>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</si>
  <si>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</si>
  <si>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</si>
  <si>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</si>
  <si>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</si>
  <si>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</si>
  <si>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</si>
  <si>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</si>
  <si>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</si>
  <si>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</si>
  <si>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</si>
  <si>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</si>
  <si>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</si>
  <si>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</si>
  <si>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</si>
  <si>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</si>
  <si>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</si>
  <si>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</si>
  <si>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</si>
  <si>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</si>
  <si>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</si>
  <si>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</si>
  <si>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</si>
  <si>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</si>
  <si>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</si>
  <si>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</si>
  <si>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</si>
  <si>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</si>
  <si>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</si>
  <si>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</si>
  <si>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</si>
  <si>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</si>
  <si>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</si>
  <si>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</si>
  <si>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</si>
  <si>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</si>
  <si>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</si>
  <si>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</si>
  <si>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</si>
  <si>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</si>
  <si>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</si>
  <si>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</si>
  <si>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</si>
  <si>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</si>
  <si>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</si>
  <si>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</si>
  <si>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</si>
  <si>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</si>
  <si>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</si>
  <si>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</si>
  <si>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</si>
  <si>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</si>
  <si>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</si>
  <si>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</si>
  <si>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</si>
  <si>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</si>
  <si>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</si>
  <si>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</si>
  <si>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</si>
  <si>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</si>
  <si>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</si>
  <si>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</si>
  <si>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</si>
  <si>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</si>
  <si>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</si>
  <si>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</si>
  <si>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</si>
  <si>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</si>
  <si>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</si>
  <si>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</si>
  <si>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</si>
  <si>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</si>
  <si>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</si>
  <si>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</si>
  <si>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</si>
  <si>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</si>
  <si>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</si>
  <si>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</si>
  <si>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</si>
  <si>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</si>
  <si>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</si>
  <si>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</si>
  <si>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</si>
  <si>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</si>
  <si>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</si>
  <si>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</si>
  <si>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</si>
  <si>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</si>
  <si>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</si>
  <si>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</si>
  <si>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</si>
  <si>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</si>
  <si>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</si>
  <si>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</si>
  <si>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</si>
  <si>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</si>
  <si>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</si>
  <si>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</si>
  <si>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</si>
  <si>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</si>
  <si>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</si>
  <si>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</si>
  <si>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</si>
  <si>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</si>
  <si>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</si>
  <si>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</si>
  <si>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</si>
  <si>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</si>
  <si>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</si>
  <si>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</si>
  <si>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</si>
  <si>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</si>
  <si>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</si>
  <si>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</si>
  <si>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</si>
  <si>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</si>
  <si>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</si>
  <si>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</si>
  <si>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</si>
  <si>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</si>
  <si>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</si>
  <si>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</si>
  <si>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</si>
  <si>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</si>
  <si>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</si>
  <si>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</si>
  <si>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</si>
  <si>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</si>
  <si>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</si>
  <si>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</si>
  <si>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</si>
  <si>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</si>
  <si>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</si>
  <si>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</si>
  <si>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</si>
  <si>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</si>
  <si>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</si>
  <si>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</si>
  <si>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</si>
  <si>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</si>
  <si>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</si>
  <si>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</si>
  <si>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</si>
  <si>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</si>
  <si>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</si>
  <si>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</si>
  <si>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</si>
  <si>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</si>
  <si>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</si>
  <si>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</si>
  <si>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</si>
  <si>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</si>
  <si>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</si>
  <si>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</si>
  <si>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</si>
  <si>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</si>
  <si>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</si>
  <si>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</si>
  <si>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</si>
  <si>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</si>
  <si>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</si>
  <si>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</si>
  <si>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</si>
  <si>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</si>
  <si>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</si>
  <si>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</si>
  <si>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</si>
  <si>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</si>
  <si>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</si>
  <si>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</si>
  <si>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</si>
  <si>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</si>
  <si>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</si>
  <si>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</si>
  <si>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</si>
  <si>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</si>
  <si>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</si>
  <si>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</si>
  <si>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</si>
  <si>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</si>
  <si>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</si>
  <si>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</si>
  <si>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</si>
  <si>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</si>
  <si>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</si>
  <si>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</si>
  <si>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</si>
  <si>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</si>
  <si>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</si>
  <si>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</si>
  <si>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</si>
  <si>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</si>
  <si>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</si>
  <si>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</si>
  <si>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</si>
  <si>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</si>
  <si>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</si>
  <si>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</si>
  <si>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</si>
  <si>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</si>
  <si>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</si>
  <si>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</si>
  <si>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</si>
  <si>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</si>
  <si>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</si>
  <si>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</si>
  <si>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</si>
  <si>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</si>
  <si>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</si>
  <si>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</si>
  <si>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</si>
  <si>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</si>
  <si>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</si>
  <si>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</si>
  <si>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</si>
  <si>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</si>
  <si>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</si>
  <si>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</si>
  <si>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</si>
  <si>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</si>
  <si>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</si>
  <si>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</si>
  <si>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</si>
  <si>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</si>
  <si>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</si>
  <si>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</si>
  <si>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</si>
  <si>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</si>
  <si>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</si>
  <si>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</si>
  <si>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</si>
  <si>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</si>
  <si>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</si>
  <si>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</si>
  <si>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</si>
  <si>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</si>
  <si>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</si>
  <si>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</si>
  <si>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</si>
  <si>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</si>
  <si>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</si>
  <si>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</si>
  <si>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</si>
  <si>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</si>
  <si>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</si>
  <si>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</si>
  <si>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</si>
  <si>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</si>
  <si>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</si>
  <si>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</si>
  <si>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</si>
  <si>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</si>
  <si>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</si>
  <si>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</si>
  <si>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</si>
  <si>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</si>
  <si>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</si>
  <si>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</si>
  <si>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</si>
  <si>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</si>
  <si>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</si>
  <si>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</si>
  <si>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</si>
  <si>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</si>
  <si>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</si>
  <si>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</si>
  <si>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</si>
  <si>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</si>
  <si>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</si>
  <si>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</si>
  <si>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</si>
  <si>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</si>
  <si>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</si>
  <si>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</si>
  <si>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</si>
  <si>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</si>
  <si>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</si>
  <si>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</si>
  <si>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</si>
  <si>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</si>
  <si>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</si>
  <si>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</si>
  <si>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</si>
  <si>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</si>
  <si>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</si>
  <si>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</si>
  <si>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</si>
  <si>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</si>
  <si>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</si>
  <si>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</si>
  <si>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</si>
  <si>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</si>
  <si>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</si>
  <si>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</si>
  <si>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</si>
  <si>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</si>
  <si>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</si>
  <si>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</si>
  <si>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</si>
  <si>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</si>
  <si>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</si>
  <si>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</si>
  <si>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</si>
  <si>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</si>
  <si>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</si>
  <si>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</si>
  <si>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</si>
  <si>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</si>
  <si>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</si>
  <si>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</si>
  <si>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</si>
  <si>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</si>
  <si>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</si>
  <si>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</si>
  <si>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</si>
  <si>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</si>
  <si>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</si>
  <si>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</si>
  <si>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</si>
  <si>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</si>
  <si>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</si>
  <si>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</si>
  <si>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</si>
  <si>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</si>
  <si>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</si>
  <si>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</si>
  <si>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</si>
  <si>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</si>
  <si>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</si>
  <si>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</si>
  <si>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</si>
  <si>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</si>
  <si>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</si>
  <si>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</si>
  <si>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</si>
  <si>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</si>
  <si>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</si>
  <si>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</si>
  <si>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</si>
  <si>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</si>
  <si>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</si>
  <si>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</si>
  <si>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</si>
  <si>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</si>
  <si>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</si>
  <si>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</si>
  <si>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</si>
  <si>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</si>
  <si>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</si>
  <si>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</si>
  <si>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</si>
  <si>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</si>
  <si>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</si>
  <si>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</si>
  <si>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</si>
  <si>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</si>
  <si>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</si>
  <si>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</si>
  <si>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</si>
  <si>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</si>
  <si>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</si>
  <si>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</si>
  <si>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</si>
  <si>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</si>
  <si>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</si>
  <si>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</si>
  <si>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</si>
  <si>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</si>
  <si>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</si>
  <si>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</si>
  <si>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</si>
  <si>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</si>
  <si>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</si>
  <si>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</si>
  <si>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</si>
  <si>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</si>
  <si>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</si>
  <si>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</si>
  <si>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</si>
  <si>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</si>
  <si>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</si>
  <si>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</si>
  <si>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</si>
  <si>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</si>
  <si>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</si>
  <si>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</si>
  <si>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</si>
  <si>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</si>
  <si>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</si>
  <si>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</si>
  <si>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</si>
  <si>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</si>
  <si>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</si>
  <si>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</si>
  <si>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</si>
  <si>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</si>
  <si>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</si>
  <si>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</si>
  <si>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</si>
  <si>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</si>
  <si>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</si>
  <si>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</si>
  <si>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</si>
  <si>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</si>
  <si>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</si>
  <si>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</si>
  <si>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</si>
  <si>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</si>
  <si>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</si>
  <si>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</si>
  <si>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</si>
  <si>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</si>
  <si>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</si>
  <si>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</si>
  <si>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</si>
  <si>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</si>
  <si>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</si>
  <si>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</si>
  <si>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</si>
  <si>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</si>
  <si>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</si>
  <si>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</si>
  <si>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</si>
  <si>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</si>
  <si>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</si>
  <si>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</si>
  <si>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</si>
  <si>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</si>
  <si>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</si>
  <si>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</si>
  <si>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</si>
  <si>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</si>
  <si>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</si>
  <si>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</si>
  <si>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</si>
  <si>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</si>
  <si>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</si>
  <si>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</si>
  <si>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</si>
  <si>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</si>
  <si>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</si>
  <si>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</si>
  <si>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</si>
  <si>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</si>
  <si>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</si>
  <si>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</si>
  <si>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</si>
  <si>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</si>
  <si>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</si>
  <si>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</si>
  <si>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</si>
  <si>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</si>
  <si>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</si>
  <si>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</si>
  <si>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</si>
  <si>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</si>
  <si>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</si>
  <si>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</si>
  <si>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</si>
  <si>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</si>
  <si>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</si>
  <si>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</si>
  <si>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</si>
  <si>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</si>
  <si>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</si>
  <si>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</si>
  <si>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</si>
  <si>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</si>
  <si>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</si>
  <si>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</si>
  <si>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</si>
  <si>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</si>
  <si>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</si>
  <si>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</si>
  <si>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</si>
  <si>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</si>
  <si>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</si>
  <si>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</si>
  <si>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</si>
  <si>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</si>
  <si>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</si>
  <si>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</si>
  <si>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</si>
  <si>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</si>
  <si>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</si>
  <si>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</si>
  <si>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</si>
  <si>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</si>
  <si>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</si>
  <si>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</si>
  <si>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</si>
  <si>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</si>
  <si>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</si>
  <si>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</si>
  <si>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</si>
  <si>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</si>
  <si>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</si>
  <si>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</si>
  <si>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</si>
  <si>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</si>
  <si>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</si>
  <si>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</si>
  <si>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</si>
  <si>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</si>
  <si>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</si>
  <si>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</si>
  <si>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</si>
  <si>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</si>
  <si>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</si>
  <si>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</si>
  <si>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</si>
  <si>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</si>
  <si>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</si>
  <si>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</si>
  <si>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</si>
  <si>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</si>
  <si>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</si>
  <si>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</si>
  <si>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</si>
  <si>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</si>
  <si>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</si>
  <si>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</si>
  <si>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</si>
  <si>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</si>
  <si>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</si>
  <si>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</si>
  <si>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</si>
  <si>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</si>
  <si>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</si>
  <si>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</si>
  <si>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</si>
  <si>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</si>
  <si>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</si>
  <si>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</si>
  <si>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</si>
  <si>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</si>
  <si>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</si>
  <si>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</si>
  <si>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</si>
  <si>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</si>
  <si>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</si>
  <si>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</si>
  <si>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</si>
  <si>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</si>
  <si>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</si>
  <si>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</si>
  <si>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</si>
  <si>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</si>
  <si>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</si>
  <si>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</si>
  <si>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</si>
  <si>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</si>
  <si>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</si>
  <si>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</si>
  <si>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</si>
  <si>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</si>
  <si>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</si>
  <si>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</si>
  <si>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</si>
  <si>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</si>
  <si>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</si>
  <si>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</si>
  <si>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</si>
  <si>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</si>
  <si>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</si>
  <si>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</si>
  <si>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</si>
  <si>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</si>
  <si>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</si>
  <si>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</si>
  <si>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</si>
  <si>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</si>
  <si>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</si>
  <si>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</si>
  <si>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</si>
  <si>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</si>
  <si>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</si>
  <si>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</si>
  <si>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</si>
  <si>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</si>
  <si>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</si>
  <si>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</si>
  <si>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</si>
  <si>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</si>
  <si>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</si>
  <si>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</si>
  <si>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</si>
  <si>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</si>
  <si>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</si>
  <si>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</si>
  <si>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</si>
  <si>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</si>
  <si>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</si>
  <si>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</si>
  <si>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</si>
  <si>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</si>
  <si>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</si>
  <si>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</si>
  <si>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</si>
  <si>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</si>
  <si>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</si>
  <si>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</si>
  <si>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</si>
  <si>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</si>
  <si>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</si>
  <si>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</si>
  <si>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</si>
  <si>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</si>
  <si>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</si>
  <si>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</si>
  <si>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</si>
  <si>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</si>
  <si>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</si>
  <si>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</si>
  <si>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</si>
  <si>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</si>
  <si>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</si>
  <si>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</si>
  <si>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</si>
  <si>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</si>
  <si>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</si>
  <si>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</si>
  <si>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</si>
  <si>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</si>
  <si>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</si>
  <si>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</si>
  <si>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</si>
  <si>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</si>
  <si>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</si>
  <si>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</si>
  <si>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</si>
  <si>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</si>
  <si>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</si>
  <si>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</si>
  <si>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</si>
  <si>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</si>
  <si>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</si>
  <si>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</si>
  <si>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</si>
  <si>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</si>
  <si>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</si>
  <si>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</si>
  <si>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</si>
  <si>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</si>
  <si>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</si>
  <si>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</si>
  <si>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</si>
  <si>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</si>
  <si>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</si>
  <si>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</si>
  <si>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</si>
  <si>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</si>
  <si>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</si>
  <si>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</si>
  <si>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</si>
  <si>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</si>
  <si>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</si>
  <si>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</si>
  <si>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</si>
  <si>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</si>
  <si>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</si>
  <si>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</si>
  <si>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</si>
  <si>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</si>
  <si>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</si>
  <si>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</si>
  <si>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</si>
  <si>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</si>
  <si>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</si>
  <si>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</si>
  <si>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</si>
  <si>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</si>
  <si>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</si>
  <si>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</si>
  <si>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</si>
  <si>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</si>
  <si>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</si>
  <si>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</si>
  <si>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</si>
  <si>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</si>
  <si>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</si>
  <si>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</si>
  <si>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</si>
  <si>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</si>
  <si>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</si>
  <si>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</si>
  <si>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</si>
  <si>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</si>
  <si>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</si>
  <si>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</si>
  <si>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</si>
  <si>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</si>
  <si>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</si>
  <si>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</si>
  <si>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</si>
  <si>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</si>
  <si>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</si>
  <si>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</si>
  <si>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</si>
  <si>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</si>
  <si>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</si>
  <si>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</si>
  <si>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</si>
  <si>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</si>
  <si>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</si>
  <si>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</si>
  <si>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</si>
  <si>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</si>
  <si>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</si>
  <si>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</si>
  <si>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</si>
  <si>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</si>
  <si>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</si>
  <si>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</si>
  <si>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</si>
  <si>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</si>
  <si>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</si>
  <si>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</si>
  <si>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</si>
  <si>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</si>
  <si>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</si>
  <si>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</si>
  <si>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</si>
  <si>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</si>
  <si>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</si>
  <si>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</si>
  <si>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</si>
  <si>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</si>
  <si>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</si>
  <si>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</si>
  <si>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</si>
  <si>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</si>
  <si>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</si>
  <si>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</si>
  <si>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</si>
  <si>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</si>
  <si>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</si>
  <si>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</si>
  <si>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</si>
  <si>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</si>
  <si>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</si>
  <si>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</si>
  <si>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</si>
  <si>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</si>
  <si>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</si>
  <si>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</si>
  <si>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</si>
  <si>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</si>
  <si>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</si>
  <si>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</si>
  <si>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</si>
  <si>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</si>
  <si>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</si>
  <si>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</si>
  <si>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</si>
  <si>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</si>
  <si>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</si>
  <si>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</si>
  <si>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</si>
  <si>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</si>
  <si>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</si>
  <si>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</si>
  <si>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</si>
  <si>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</si>
  <si>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</si>
  <si>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</si>
  <si>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</si>
  <si>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</si>
  <si>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</si>
  <si>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</si>
  <si>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</si>
  <si>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</si>
  <si>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</si>
  <si>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</si>
  <si>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</si>
  <si>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</si>
  <si>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</si>
  <si>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</si>
  <si>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</si>
  <si>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</si>
  <si>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</si>
  <si>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</si>
  <si>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</si>
  <si>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</si>
  <si>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</si>
  <si>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</si>
  <si>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</si>
  <si>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</si>
  <si>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</si>
  <si>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</si>
  <si>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</si>
  <si>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</si>
  <si>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</si>
  <si>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</si>
  <si>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</si>
  <si>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</si>
  <si>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</si>
  <si>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</si>
  <si>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</si>
  <si>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</si>
  <si>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</si>
  <si>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</si>
  <si>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</si>
  <si>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</si>
  <si>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</si>
  <si>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</si>
  <si>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</si>
  <si>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</si>
  <si>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</si>
  <si>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</si>
  <si>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</si>
  <si>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</si>
  <si>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</si>
  <si>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</si>
  <si>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</si>
  <si>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</si>
  <si>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</si>
  <si>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</si>
  <si>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</si>
  <si>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</si>
  <si>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</si>
  <si>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</si>
  <si>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</si>
  <si>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</si>
  <si>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</si>
  <si>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</si>
  <si>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</si>
  <si>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</si>
  <si>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</si>
  <si>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</si>
  <si>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</si>
  <si>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</si>
  <si>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</si>
  <si>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</si>
  <si>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</si>
  <si>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</si>
  <si>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</si>
  <si>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</si>
  <si>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</si>
  <si>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</si>
  <si>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</si>
  <si>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</si>
  <si>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</si>
  <si>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</si>
  <si>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</si>
  <si>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</si>
  <si>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</si>
  <si>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</si>
  <si>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</si>
  <si>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</si>
  <si>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</si>
  <si>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</si>
  <si>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</si>
  <si>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</si>
  <si>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</si>
  <si>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</si>
  <si>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</si>
  <si>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</si>
  <si>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</si>
  <si>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</si>
  <si>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</si>
  <si>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</si>
  <si>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</si>
  <si>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</si>
  <si>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</si>
  <si>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</si>
  <si>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</si>
  <si>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</si>
  <si>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</si>
  <si>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</si>
  <si>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</si>
  <si>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</si>
  <si>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</si>
  <si>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</si>
  <si>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</si>
  <si>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</si>
  <si>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</si>
  <si>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</si>
  <si>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</si>
  <si>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</si>
  <si>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</si>
  <si>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</si>
  <si>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</si>
  <si>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</si>
  <si>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</si>
  <si>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</si>
  <si>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</si>
  <si>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</si>
  <si>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</si>
  <si>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</si>
  <si>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</si>
  <si>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</si>
  <si>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</si>
  <si>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</si>
  <si>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</si>
  <si>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</si>
  <si>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</si>
  <si>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</si>
  <si>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</si>
  <si>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</si>
  <si>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</si>
  <si>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</si>
  <si>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</si>
  <si>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</si>
  <si>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</si>
  <si>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</si>
  <si>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</si>
  <si>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</si>
  <si>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</si>
  <si>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</si>
  <si>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</si>
  <si>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</si>
  <si>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</si>
  <si>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</si>
  <si>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</si>
  <si>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</si>
  <si>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</si>
  <si>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</si>
  <si>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</si>
  <si>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</si>
  <si>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</si>
  <si>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</si>
  <si>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</si>
  <si>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</si>
  <si>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</si>
  <si>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</si>
  <si>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</si>
  <si>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</si>
  <si>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</si>
  <si>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</si>
  <si>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</si>
  <si>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</si>
  <si>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</si>
  <si>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</si>
  <si>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</si>
  <si>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</si>
  <si>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</si>
  <si>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</si>
  <si>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</si>
  <si>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</si>
  <si>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</si>
  <si>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</si>
  <si>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</si>
  <si>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</si>
  <si>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</si>
  <si>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</si>
  <si>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</si>
  <si>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</si>
  <si>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</si>
  <si>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</si>
  <si>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</si>
  <si>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</si>
  <si>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</si>
  <si>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</si>
  <si>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</si>
  <si>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</si>
  <si>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</si>
  <si>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</si>
  <si>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</si>
  <si>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</si>
  <si>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</si>
  <si>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</si>
  <si>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</si>
  <si>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</si>
  <si>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</si>
  <si>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</si>
  <si>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</si>
  <si>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</si>
  <si>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</si>
  <si>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</si>
  <si>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</si>
  <si>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</si>
  <si>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</si>
  <si>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</si>
  <si>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</si>
  <si>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</si>
  <si>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</si>
  <si>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</si>
  <si>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</si>
  <si>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</si>
  <si>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</si>
  <si>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</si>
  <si>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</si>
  <si>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</si>
  <si>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</si>
  <si>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</si>
  <si>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</si>
  <si>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</si>
  <si>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</si>
  <si>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</si>
  <si>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</si>
  <si>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</si>
  <si>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</si>
  <si>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</si>
  <si>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</si>
  <si>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</si>
  <si>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</si>
  <si>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</si>
  <si>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</si>
  <si>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</si>
  <si>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</si>
  <si>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</si>
  <si>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</si>
  <si>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</si>
  <si>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</si>
  <si>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</si>
  <si>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</si>
  <si>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</si>
  <si>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</si>
  <si>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</si>
  <si>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</si>
  <si>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</si>
  <si>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</si>
  <si>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</si>
  <si>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</si>
  <si>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</si>
  <si>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</si>
  <si>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</si>
  <si>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</si>
  <si>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</si>
  <si>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</si>
  <si>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</si>
  <si>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</si>
  <si>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</si>
  <si>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</si>
  <si>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</si>
  <si>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</si>
  <si>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</si>
  <si>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</si>
  <si>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</si>
  <si>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</si>
  <si>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</si>
  <si>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</si>
  <si>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</si>
  <si>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</si>
  <si>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</si>
  <si>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</si>
  <si>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</si>
  <si>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</si>
  <si>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</si>
  <si>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</si>
  <si>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</si>
  <si>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</si>
  <si>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</si>
  <si>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</si>
  <si>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</si>
  <si>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</si>
  <si>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</si>
  <si>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</si>
  <si>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</si>
  <si>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</si>
  <si>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</si>
  <si>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</si>
  <si>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</si>
  <si>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</si>
  <si>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</si>
  <si>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</si>
  <si>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</si>
  <si>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</si>
  <si>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</si>
  <si>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</si>
  <si>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</si>
  <si>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</si>
  <si>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</si>
  <si>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</si>
  <si>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</si>
  <si>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</si>
  <si>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</si>
  <si>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</si>
  <si>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</si>
  <si>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</si>
  <si>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</si>
  <si>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</si>
  <si>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</si>
  <si>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</si>
  <si>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</si>
  <si>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</si>
  <si>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</si>
  <si>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</si>
  <si>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</si>
  <si>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</si>
  <si>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</si>
  <si>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</si>
  <si>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</si>
  <si>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</si>
  <si>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</si>
  <si>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</si>
  <si>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</si>
  <si>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</si>
  <si>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</si>
  <si>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</si>
  <si>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</si>
  <si>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</si>
  <si>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</si>
  <si>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</si>
  <si>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</si>
  <si>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</si>
  <si>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</si>
  <si>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</si>
  <si>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</si>
  <si>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</si>
  <si>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</si>
  <si>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</si>
  <si>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</si>
  <si>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</si>
  <si>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</si>
  <si>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</si>
  <si>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</si>
  <si>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</si>
  <si>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</si>
  <si>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</si>
  <si>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</si>
  <si>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</si>
  <si>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</si>
  <si>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</si>
  <si>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</si>
  <si>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</si>
  <si>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</si>
  <si>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</si>
  <si>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</si>
  <si>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</si>
  <si>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</si>
  <si>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</si>
  <si>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</si>
  <si>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</si>
  <si>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</si>
  <si>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</si>
  <si>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</si>
  <si>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</si>
  <si>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</si>
  <si>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</si>
  <si>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</si>
  <si>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</si>
  <si>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</si>
  <si>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</si>
  <si>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</si>
  <si>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</si>
  <si>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</si>
  <si>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</si>
  <si>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</si>
  <si>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</si>
  <si>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</si>
  <si>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</si>
  <si>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</si>
  <si>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</si>
  <si>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</si>
  <si>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</si>
  <si>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</si>
  <si>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</si>
  <si>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</si>
  <si>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</si>
  <si>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</si>
  <si>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</si>
  <si>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</si>
  <si>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</si>
  <si>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</si>
  <si>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</si>
  <si>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</si>
  <si>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</si>
  <si>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</si>
  <si>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</si>
  <si>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</si>
  <si>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</si>
  <si>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</si>
  <si>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</si>
  <si>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</si>
  <si>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</si>
  <si>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</si>
  <si>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</si>
  <si>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</si>
  <si>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</si>
  <si>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</si>
  <si>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</si>
  <si>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</si>
  <si>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</si>
  <si>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</si>
  <si>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</si>
  <si>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</si>
  <si>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</si>
  <si>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</si>
  <si>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</si>
  <si>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</si>
  <si>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</si>
  <si>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</si>
  <si>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</si>
  <si>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</si>
  <si>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</si>
  <si>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</si>
  <si>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</si>
  <si>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</si>
  <si>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</si>
  <si>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</si>
  <si>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</si>
  <si>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</si>
  <si>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</si>
  <si>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</si>
  <si>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</si>
  <si>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</si>
  <si>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</si>
  <si>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</si>
  <si>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</si>
  <si>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</si>
  <si>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</si>
  <si>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</si>
  <si>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</si>
  <si>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</si>
  <si>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</si>
  <si>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</si>
  <si>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</si>
  <si>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</si>
  <si>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</si>
  <si>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</si>
  <si>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</si>
  <si>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</si>
  <si>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</si>
  <si>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</si>
  <si>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</si>
  <si>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</si>
  <si>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</si>
  <si>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</si>
  <si>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</si>
  <si>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</si>
  <si>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</si>
  <si>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</si>
  <si>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</si>
  <si>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</si>
  <si>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</si>
  <si>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</si>
  <si>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</si>
  <si>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</si>
  <si>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</si>
  <si>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</si>
  <si>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</si>
  <si>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</si>
  <si>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</si>
  <si>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</si>
  <si>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</si>
  <si>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</si>
  <si>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</si>
  <si>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</si>
  <si>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</si>
  <si>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</si>
  <si>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</si>
  <si>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</si>
  <si>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</si>
  <si>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</si>
  <si>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</si>
  <si>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</si>
  <si>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</si>
  <si>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</si>
  <si>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</si>
  <si>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</si>
  <si>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</si>
  <si>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</si>
  <si>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</si>
  <si>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</si>
  <si>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</si>
  <si>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</si>
  <si>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</si>
  <si>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</si>
  <si>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</si>
  <si>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</si>
  <si>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</si>
  <si>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</si>
  <si>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</si>
  <si>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</si>
  <si>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</si>
  <si>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</si>
  <si>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</si>
  <si>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</si>
  <si>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</si>
  <si>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</si>
  <si>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</si>
  <si>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</si>
  <si>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</si>
  <si>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</si>
  <si>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</si>
  <si>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</si>
  <si>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</si>
  <si>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</si>
  <si>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</si>
  <si>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</si>
  <si>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</si>
  <si>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</si>
  <si>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</si>
  <si>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</si>
  <si>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</si>
  <si>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</si>
  <si>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</si>
  <si>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</si>
  <si>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</si>
  <si>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</si>
  <si>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</si>
  <si>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</si>
  <si>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</si>
  <si>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</si>
  <si>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</si>
  <si>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</si>
  <si>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</si>
  <si>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</si>
  <si>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</si>
  <si>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</si>
  <si>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</si>
  <si>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</si>
  <si>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</si>
  <si>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</si>
  <si>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</si>
  <si>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</si>
  <si>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</si>
  <si>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</si>
  <si>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</si>
  <si>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</si>
  <si>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</si>
  <si>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</si>
  <si>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</si>
  <si>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</si>
  <si>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</si>
  <si>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</si>
  <si>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</si>
  <si>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</si>
  <si>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</si>
  <si>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</si>
  <si>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</si>
  <si>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</si>
  <si>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</si>
  <si>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</si>
  <si>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</si>
  <si>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</si>
  <si>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</si>
  <si>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</si>
  <si>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</si>
  <si>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</si>
  <si>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</si>
  <si>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</si>
  <si>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</si>
  <si>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</si>
  <si>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</si>
  <si>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</si>
  <si>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</si>
  <si>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</si>
  <si>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</si>
  <si>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</si>
  <si>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</si>
  <si>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</si>
  <si>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</si>
  <si>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</si>
  <si>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</si>
  <si>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</si>
  <si>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</si>
  <si>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</si>
  <si>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</si>
  <si>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</si>
  <si>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</si>
  <si>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</si>
  <si>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</si>
  <si>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</si>
  <si>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</si>
  <si>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</si>
  <si>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</si>
  <si>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</si>
  <si>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</si>
  <si>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</si>
  <si>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</si>
  <si>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</si>
  <si>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</si>
  <si>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</si>
  <si>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</si>
  <si>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</si>
  <si>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</si>
  <si>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</si>
  <si>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</si>
  <si>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</si>
  <si>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</si>
  <si>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</si>
  <si>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</si>
  <si>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</si>
  <si>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</si>
  <si>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</si>
  <si>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</si>
  <si>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</si>
  <si>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</si>
  <si>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</si>
  <si>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</si>
  <si>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</si>
  <si>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</si>
  <si>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</si>
  <si>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</si>
  <si>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</si>
  <si>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</si>
  <si>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</si>
  <si>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</si>
  <si>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</si>
  <si>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</si>
  <si>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</si>
  <si>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</si>
  <si>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</si>
  <si>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</si>
  <si>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</si>
  <si>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</si>
  <si>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</si>
  <si>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</si>
  <si>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</si>
  <si>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</si>
  <si>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</si>
  <si>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</si>
  <si>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</si>
  <si>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</si>
  <si>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</si>
  <si>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</si>
  <si>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</si>
  <si>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</si>
  <si>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</si>
  <si>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</si>
  <si>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</si>
  <si>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</si>
  <si>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</si>
  <si>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</si>
  <si>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</si>
  <si>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</si>
  <si>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</si>
  <si>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</si>
  <si>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</si>
  <si>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</si>
  <si>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</si>
  <si>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</si>
  <si>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</si>
  <si>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</si>
  <si>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</si>
  <si>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</si>
  <si>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</si>
  <si>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</si>
  <si>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</si>
  <si>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</si>
  <si>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</si>
  <si>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</si>
  <si>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</si>
  <si>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</si>
  <si>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</si>
  <si>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</si>
  <si>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</si>
  <si>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</si>
  <si>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</si>
  <si>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</si>
  <si>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</si>
  <si>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</si>
  <si>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</si>
  <si>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</si>
  <si>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</si>
  <si>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</si>
  <si>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</si>
  <si>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</si>
  <si>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</si>
  <si>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</si>
  <si>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</si>
  <si>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</si>
  <si>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</si>
  <si>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</si>
  <si>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</si>
  <si>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</si>
  <si>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</si>
  <si>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</si>
  <si>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</si>
  <si>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</si>
  <si>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</si>
  <si>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</si>
  <si>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</si>
  <si>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</si>
  <si>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</si>
  <si>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</si>
  <si>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</si>
  <si>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</si>
  <si>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</si>
  <si>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</si>
  <si>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</si>
  <si>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</si>
  <si>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</si>
  <si>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</si>
  <si>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</si>
  <si>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</si>
  <si>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</si>
  <si>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</si>
  <si>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</si>
  <si>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</si>
  <si>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</si>
  <si>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</si>
  <si>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</si>
  <si>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</si>
  <si>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</si>
  <si>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</si>
  <si>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</si>
  <si>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</si>
  <si>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</si>
  <si>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</si>
  <si>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</si>
  <si>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</si>
  <si>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</si>
  <si>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</si>
  <si>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</si>
  <si>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</si>
  <si>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</si>
  <si>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</si>
  <si>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</si>
  <si>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</si>
  <si>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</si>
  <si>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</si>
  <si>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</si>
  <si>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</si>
  <si>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</si>
  <si>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</si>
  <si>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</si>
  <si>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</si>
  <si>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</si>
  <si>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</si>
  <si>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</si>
  <si>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</si>
  <si>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</si>
  <si>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</si>
  <si>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</si>
  <si>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</si>
  <si>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</si>
  <si>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</si>
  <si>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</si>
  <si>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</si>
  <si>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</si>
  <si>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</si>
  <si>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</si>
  <si>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</si>
  <si>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</si>
  <si>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</si>
  <si>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</si>
  <si>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</si>
  <si>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</si>
  <si>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</si>
  <si>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</si>
  <si>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</si>
  <si>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</si>
  <si>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</si>
  <si>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</si>
  <si>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</si>
  <si>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</si>
  <si>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</si>
  <si>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</si>
  <si>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</si>
  <si>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</si>
  <si>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</si>
  <si>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</si>
  <si>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</si>
  <si>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</si>
  <si>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</si>
  <si>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</si>
  <si>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</si>
  <si>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</si>
  <si>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</si>
  <si>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</si>
  <si>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</si>
  <si>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</si>
  <si>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</si>
  <si>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</si>
  <si>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</si>
  <si>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</si>
  <si>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</si>
  <si>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</si>
  <si>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</si>
  <si>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</si>
  <si>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</si>
  <si>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</si>
  <si>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</si>
  <si>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</si>
  <si>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</si>
  <si>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</si>
  <si>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</si>
  <si>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</si>
  <si>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</si>
  <si>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</si>
  <si>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</si>
  <si>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</si>
  <si>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</si>
  <si>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</si>
  <si>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</si>
  <si>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</si>
  <si>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</si>
  <si>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</si>
  <si>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</si>
  <si>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</si>
  <si>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</si>
  <si>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</si>
  <si>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</si>
  <si>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</si>
  <si>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</si>
  <si>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</si>
  <si>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</si>
  <si>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</si>
  <si>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</si>
  <si>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</si>
  <si>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</si>
  <si>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</si>
  <si>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</si>
  <si>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</si>
  <si>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</si>
  <si>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</si>
  <si>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</si>
  <si>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</si>
  <si>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</si>
  <si>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</si>
  <si>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</si>
  <si>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</si>
  <si>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</si>
  <si>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</si>
  <si>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</si>
  <si>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</si>
  <si>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</si>
  <si>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</si>
  <si>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</si>
  <si>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</si>
  <si>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</si>
  <si>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</si>
  <si>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</si>
  <si>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</si>
  <si>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</si>
  <si>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</si>
  <si>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</si>
  <si>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</si>
  <si>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</si>
  <si>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</si>
  <si>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</si>
  <si>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</si>
  <si>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</si>
  <si>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</si>
  <si>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</si>
  <si>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</si>
  <si>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</si>
  <si>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</si>
  <si>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</si>
  <si>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</si>
  <si>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</si>
  <si>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</si>
  <si>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</si>
  <si>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</si>
  <si>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</si>
  <si>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</si>
  <si>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</si>
  <si>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</si>
  <si>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</si>
  <si>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</si>
  <si>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</si>
  <si>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</si>
  <si>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</si>
  <si>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</si>
  <si>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</si>
  <si>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</si>
  <si>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</si>
  <si>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</si>
  <si>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</si>
  <si>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</si>
  <si>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</si>
  <si>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</si>
  <si>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</si>
  <si>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</si>
  <si>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</si>
  <si>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</si>
  <si>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</si>
  <si>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</si>
  <si>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</si>
  <si>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</si>
  <si>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</si>
  <si>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</si>
  <si>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</si>
  <si>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</si>
  <si>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</si>
  <si>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</si>
  <si>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</si>
  <si>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</si>
  <si>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</si>
  <si>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</si>
  <si>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</si>
  <si>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</si>
  <si>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</si>
  <si>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</si>
  <si>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</si>
  <si>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</si>
  <si>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</si>
  <si>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</si>
  <si>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</si>
  <si>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</si>
  <si>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</si>
  <si>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</si>
  <si>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</si>
  <si>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</si>
  <si>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</si>
  <si>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</si>
  <si>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</si>
  <si>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</si>
  <si>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</si>
  <si>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</si>
  <si>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</si>
  <si>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</si>
  <si>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</si>
  <si>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</si>
  <si>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</si>
  <si>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</si>
  <si>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</si>
  <si>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</si>
  <si>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</si>
  <si>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</si>
  <si>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</si>
  <si>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</si>
  <si>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</si>
  <si>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</si>
  <si>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</si>
  <si>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</si>
  <si>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</si>
  <si>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</si>
  <si>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</si>
  <si>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</si>
  <si>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</si>
  <si>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</si>
  <si>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</si>
  <si>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</si>
  <si>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</si>
  <si>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</si>
  <si>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</si>
  <si>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</si>
  <si>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</si>
  <si>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</si>
  <si>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</si>
  <si>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</si>
  <si>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</si>
  <si>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</si>
  <si>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</si>
  <si>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</si>
  <si>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</si>
  <si>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</si>
  <si>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</si>
  <si>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</si>
  <si>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</si>
  <si>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</si>
  <si>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</si>
  <si>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</si>
  <si>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</si>
  <si>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</si>
  <si>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</si>
  <si>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</si>
  <si>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</si>
  <si>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</si>
  <si>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</si>
  <si>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</si>
  <si>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</si>
  <si>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</si>
  <si>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</si>
  <si>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</si>
  <si>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</si>
  <si>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</si>
  <si>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</si>
  <si>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</si>
  <si>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</si>
  <si>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</si>
  <si>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</si>
  <si>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</si>
  <si>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</si>
  <si>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</si>
  <si>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</si>
  <si>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</si>
  <si>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</si>
  <si>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</si>
  <si>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</si>
  <si>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</si>
  <si>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</si>
  <si>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</si>
  <si>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</si>
  <si>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</si>
  <si>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</si>
  <si>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</si>
  <si>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</si>
  <si>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</si>
  <si>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</si>
  <si>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</si>
  <si>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</si>
  <si>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</si>
  <si>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</si>
  <si>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</si>
  <si>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</si>
  <si>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</si>
  <si>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</si>
  <si>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</si>
  <si>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</si>
  <si>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</si>
  <si>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</si>
  <si>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</si>
  <si>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</si>
  <si>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</si>
  <si>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</si>
  <si>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</si>
  <si>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</si>
  <si>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</si>
  <si>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</si>
  <si>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</si>
  <si>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</si>
  <si>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</si>
  <si>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</si>
  <si>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</si>
  <si>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</si>
  <si>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</si>
  <si>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</si>
  <si>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</si>
  <si>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</si>
  <si>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</si>
  <si>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</si>
  <si>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</si>
  <si>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</si>
  <si>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</si>
  <si>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</si>
  <si>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</si>
  <si>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</si>
  <si>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</si>
  <si>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</si>
  <si>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</si>
  <si>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</si>
  <si>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</si>
  <si>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</si>
  <si>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</si>
  <si>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</si>
  <si>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</si>
  <si>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</si>
  <si>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</si>
  <si>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</si>
  <si>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</si>
  <si>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</si>
  <si>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</si>
  <si>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</si>
  <si>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</si>
  <si>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</si>
  <si>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</si>
  <si>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</si>
  <si>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</si>
  <si>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</si>
  <si>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07/23</t>
  </si>
  <si>
    <t>08/43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</si>
</sst>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5"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1256</v>
      </c>
      <c r="B2">
        <f>INDEX('School Tables'!$AH$3:$AH$213,MATCH('DOE25'!A2,'School Tables'!$AJ$3:$AJ$213,0))</f>
        <v>363</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286580.76</v>
      </c>
      <c r="G9" s="18">
        <v>119280.46</v>
      </c>
      <c r="H9" s="18">
        <f>527437+43583+3888.76</f>
        <v>574908.76</v>
      </c>
      <c r="I9" s="18">
        <f>3398269.2</f>
        <v>3398269.2</v>
      </c>
      <c r="J9" s="13">
        <f>SUM(I440)</f>
        <v>0</v>
      </c>
      <c r="K9" s="23" t="s">
        <v>288</v>
      </c>
      <c r="L9" s="23" t="s">
        <v>288</v>
      </c>
      <c r="M9" s="8"/>
      <c r="N9" s="164"/>
    </row>
    <row r="10" spans="1:14" s="3" customFormat="1" ht="12.2" customHeight="1" x14ac:dyDescent="0.15">
      <c r="A10" s="1" t="s">
        <v>562</v>
      </c>
      <c r="B10" s="2" t="s">
        <v>289</v>
      </c>
      <c r="C10" s="6">
        <v>2</v>
      </c>
      <c r="D10" s="2" t="s">
        <v>428</v>
      </c>
      <c r="E10" s="6">
        <v>110</v>
      </c>
      <c r="F10" s="18">
        <v>27154</v>
      </c>
      <c r="G10" s="18"/>
      <c r="H10" s="18"/>
      <c r="I10" s="18">
        <v>18407624</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574683</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1457885</v>
      </c>
      <c r="G13" s="18">
        <v>119517</v>
      </c>
      <c r="H13" s="18"/>
      <c r="I13" s="18"/>
      <c r="J13" s="13">
        <f>SUM(I443)</f>
        <v>686123.77</v>
      </c>
      <c r="K13" s="23" t="s">
        <v>288</v>
      </c>
      <c r="L13" s="23" t="s">
        <v>288</v>
      </c>
      <c r="M13" s="8"/>
      <c r="N13" s="164"/>
    </row>
    <row r="14" spans="1:14" s="3" customFormat="1" ht="12.2" customHeight="1" x14ac:dyDescent="0.15">
      <c r="A14" s="1" t="s">
        <v>565</v>
      </c>
      <c r="B14" s="2" t="s">
        <v>289</v>
      </c>
      <c r="C14" s="6">
        <v>6</v>
      </c>
      <c r="D14" s="2" t="s">
        <v>428</v>
      </c>
      <c r="E14" s="6">
        <v>150</v>
      </c>
      <c r="F14" s="18"/>
      <c r="G14" s="18">
        <v>59593</v>
      </c>
      <c r="H14" s="18">
        <v>409</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49273</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825</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2347127.7599999998</v>
      </c>
      <c r="G19" s="38">
        <f>SUM(G9:G18)</f>
        <v>347663.46</v>
      </c>
      <c r="H19" s="38">
        <f>SUM(H9:H18)</f>
        <v>575317.76000000001</v>
      </c>
      <c r="I19" s="38">
        <f>SUM(I9:I18)</f>
        <v>21805893.199999999</v>
      </c>
      <c r="J19" s="38">
        <f>SUM(J9:J18)</f>
        <v>686123.77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58295</v>
      </c>
      <c r="G22" s="18"/>
      <c r="H22" s="18">
        <f>456071</f>
        <v>456071</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1257289</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237749</v>
      </c>
      <c r="G24" s="18">
        <v>115110</v>
      </c>
      <c r="H24" s="18">
        <f>58407</f>
        <v>58407</v>
      </c>
      <c r="I24" s="18">
        <v>57968</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v>487794</v>
      </c>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v>27100</v>
      </c>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529277</v>
      </c>
      <c r="G29" s="18"/>
      <c r="H29" s="18">
        <f>12959</f>
        <v>12959</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290</v>
      </c>
      <c r="G30" s="18"/>
      <c r="H30" s="18">
        <f>43992</f>
        <v>43992</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2082900</v>
      </c>
      <c r="G32" s="38">
        <f>SUM(G22:G31)</f>
        <v>115110</v>
      </c>
      <c r="H32" s="38">
        <f>SUM(H22:H31)</f>
        <v>571429</v>
      </c>
      <c r="I32" s="38">
        <f>SUM(I22:I31)</f>
        <v>572862</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49273</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825</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183280.46</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v>21233031.199999999</v>
      </c>
      <c r="J43" s="13">
        <f>SUM(I457)</f>
        <v>0</v>
      </c>
      <c r="K43" s="23" t="s">
        <v>288</v>
      </c>
      <c r="L43" s="23" t="s">
        <v>288</v>
      </c>
      <c r="M43" s="8"/>
      <c r="N43" s="164"/>
    </row>
    <row r="44" spans="1:14" s="3" customFormat="1" ht="12.2" customHeight="1" x14ac:dyDescent="0.15">
      <c r="A44" s="1" t="s">
        <v>833</v>
      </c>
      <c r="B44" s="6">
        <v>1</v>
      </c>
      <c r="C44" s="6">
        <v>30</v>
      </c>
      <c r="D44" s="2" t="s">
        <v>653</v>
      </c>
      <c r="E44" s="6">
        <v>755</v>
      </c>
      <c r="F44" s="18">
        <v>54000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3888.76</v>
      </c>
      <c r="I48" s="18"/>
      <c r="J48" s="13">
        <f>SUM(I460)</f>
        <v>686123.77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209692.76-290</f>
        <v>209402.76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264227.76</v>
      </c>
      <c r="G51" s="38">
        <f>SUM(G35:G50)</f>
        <v>232553.46</v>
      </c>
      <c r="H51" s="38">
        <f>SUM(H35:H50)</f>
        <v>3888.76</v>
      </c>
      <c r="I51" s="38">
        <f>SUM(I35:I50)</f>
        <v>21233031.199999999</v>
      </c>
      <c r="J51" s="38">
        <f>SUM(J35:J50)</f>
        <v>686123.77</v>
      </c>
      <c r="K51" s="42" t="s">
        <v>288</v>
      </c>
      <c r="L51" s="42" t="s">
        <v>288</v>
      </c>
      <c r="N51" s="130"/>
    </row>
    <row r="52" spans="1:14" s="3" customFormat="1" ht="12.2" customHeight="1" thickTop="1" x14ac:dyDescent="0.15">
      <c r="A52" s="35" t="s">
        <v>455</v>
      </c>
      <c r="B52" s="36" t="s">
        <v>289</v>
      </c>
      <c r="C52" s="6">
        <v>37</v>
      </c>
      <c r="D52" s="36" t="s">
        <v>653</v>
      </c>
      <c r="E52" s="36"/>
      <c r="F52" s="38">
        <f>F51+F32</f>
        <v>2347127.7599999998</v>
      </c>
      <c r="G52" s="38">
        <f>G51+G32</f>
        <v>347663.45999999996</v>
      </c>
      <c r="H52" s="38">
        <f>H51+H32</f>
        <v>575317.76000000001</v>
      </c>
      <c r="I52" s="38">
        <f>I51+I32</f>
        <v>21805893.199999999</v>
      </c>
      <c r="J52" s="38">
        <f>J51+J32</f>
        <v>686123.77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4810732+920575+1510916+373344+8948772+1948061</f>
        <v>18512400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18512400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23375+12875+40092</f>
        <v>76342</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100812.66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177154.66</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56913.99</v>
      </c>
      <c r="G96" s="18"/>
      <c r="H96" s="18"/>
      <c r="I96" s="18"/>
      <c r="J96" s="18">
        <v>42850.76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474300.33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v>15182.99</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760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1500+611+65+350+225+454+5+306+100+75+163</f>
        <v>3854</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156279.5</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798+85881.25+136927.57-1560+1.87</f>
        <v>222048.69</v>
      </c>
      <c r="G110" s="18"/>
      <c r="H110" s="18">
        <f>1899.95+9005-0.27</f>
        <v>10904.68</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436002.18</v>
      </c>
      <c r="G111" s="38">
        <f>SUM(G96:G110)</f>
        <v>474300.33</v>
      </c>
      <c r="H111" s="38">
        <f>SUM(H96:H110)</f>
        <v>29941.67</v>
      </c>
      <c r="I111" s="38">
        <f>SUM(I96:I110)</f>
        <v>0</v>
      </c>
      <c r="J111" s="38">
        <f>SUM(J96:J110)</f>
        <v>42850.76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19125556.84</v>
      </c>
      <c r="G112" s="38">
        <f>G60+G111</f>
        <v>474300.33</v>
      </c>
      <c r="H112" s="38">
        <f>H60+H79+H94+H111</f>
        <v>29941.67</v>
      </c>
      <c r="I112" s="38">
        <f>I60+I111</f>
        <v>0</v>
      </c>
      <c r="J112" s="38">
        <f>J60+J111</f>
        <v>42850.76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11041055.4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2212285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20232.37+16696.2</f>
        <v>36928.57</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13290268.970000001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825468.7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6767</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14525.05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832235.7</v>
      </c>
      <c r="G136" s="38">
        <f>SUM(G123:G135)</f>
        <v>14525.05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f>0.49+838+1691.66+6278.85-0.36</f>
        <v>8808.64</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14122504.67</v>
      </c>
      <c r="G140" s="38">
        <f>G121+SUM(G136:G137)</f>
        <v>14525.05</v>
      </c>
      <c r="H140" s="38">
        <f>H121+SUM(H136:H139)</f>
        <v>8808.64</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76716.42+490635.31</f>
        <v>567351.73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293.65+78955.3+7078.86+20919.82+113096.79+10068.1+28830+674090.45+18350</f>
        <v>951682.97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370773.26+109301.88+52276.8+9027.34</f>
        <v>541379.28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3560.13+9000.16+28469.23+422960.88</f>
        <v>463990.4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238103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31983.34+6806.82+10988.99+5918.77+3450</f>
        <v>59147.92</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73990.13+1553203.47+3869.55</f>
        <v>1631063.1500000001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238103</v>
      </c>
      <c r="G163" s="38">
        <f>SUM(G150:G162)</f>
        <v>541379.28</v>
      </c>
      <c r="H163" s="38">
        <f>SUM(H150:H162)</f>
        <v>3673236.17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238103</v>
      </c>
      <c r="G170" s="38">
        <f>G147+G163+SUM(G164:G169)</f>
        <v>541379.28</v>
      </c>
      <c r="H170" s="38">
        <f>H147+H163+SUM(H164:H169)</f>
        <v>3673236.17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v>21500000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v>969963.7</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22469963.699999999</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v>385000</v>
      </c>
      <c r="J180" s="18">
        <v>50001</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385000</v>
      </c>
      <c r="J184" s="38">
        <f>SUM(J180:J183)</f>
        <v>50001</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86294</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86294</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135</v>
      </c>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86429</v>
      </c>
      <c r="G193" s="38">
        <f>G184+SUM(G189:G192)</f>
        <v>0</v>
      </c>
      <c r="H193" s="38">
        <f>+H184+SUM(H189:H192)</f>
        <v>0</v>
      </c>
      <c r="I193" s="38">
        <f>I178+I184+SUM(I189:I192)</f>
        <v>22854963.699999999</v>
      </c>
      <c r="J193" s="38">
        <f>J184</f>
        <v>50001</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33572593.509999998</v>
      </c>
      <c r="G194" s="38">
        <f>G112+G140+G170+G193</f>
        <v>1030204.66</v>
      </c>
      <c r="H194" s="38">
        <f>H112+H140+H170+H193</f>
        <v>3711986.48</v>
      </c>
      <c r="I194" s="38">
        <f>I112+I140+I170+I193</f>
        <v>22854963.699999999</v>
      </c>
      <c r="J194" s="38">
        <f>J112+J140+J193</f>
        <v>92851.760000000009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59991.08+3809100.8</f>
        <v>3869091.88</v>
      </c>
      <c r="G198" s="18">
        <f>11548.81+2192908.53</f>
        <v>2204457.34</v>
      </c>
      <c r="H198" s="18">
        <f>69329.36+3408</f>
        <v>72737.36</v>
      </c>
      <c r="I198" s="18">
        <f>101426.36</f>
        <v>101426.36</v>
      </c>
      <c r="J198" s="18">
        <f>2259.41+8369.32</f>
        <v>10628.73</v>
      </c>
      <c r="K198" s="18">
        <f>7920.2</f>
        <v>7920.2</v>
      </c>
      <c r="L198" s="13">
        <f>SUM(F198:K198)</f>
        <v>6266261.870000001</v>
      </c>
      <c r="M198" s="8"/>
      <c r="N198" s="164"/>
    </row>
    <row r="199" spans="1:14" s="3" customFormat="1" ht="12.2" customHeight="1" x14ac:dyDescent="0.15">
      <c r="A199" s="1" t="s">
        <v>439</v>
      </c>
      <c r="B199" s="2" t="s">
        <v>341</v>
      </c>
      <c r="C199" s="2" t="s">
        <v>291</v>
      </c>
      <c r="D199" s="2" t="s">
        <v>431</v>
      </c>
      <c r="E199" s="6">
        <v>1200</v>
      </c>
      <c r="F199" s="18">
        <f>89835.38+1628281.27+128140.28</f>
        <v>1846256.93</v>
      </c>
      <c r="G199" s="18">
        <f>47599.28+1448747.71+80913.11</f>
        <v>1577260.1</v>
      </c>
      <c r="H199" s="18">
        <f>3020.91+21.86+2238379.19</f>
        <v>2241421.96</v>
      </c>
      <c r="I199" s="18">
        <f>3641.89+5248.16</f>
        <v>8890.0499999999993</v>
      </c>
      <c r="J199" s="18">
        <f>1757.9</f>
        <v>1757.9</v>
      </c>
      <c r="K199" s="18">
        <f>711.59+347.45</f>
        <v>1059.04</v>
      </c>
      <c r="L199" s="13">
        <f>SUM(F199:K199)</f>
        <v>5676645.9800000004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2275</v>
      </c>
      <c r="G201" s="18">
        <v>586.73</v>
      </c>
      <c r="H201" s="18">
        <v>24343.360000000001</v>
      </c>
      <c r="I201" s="18">
        <v>119.82</v>
      </c>
      <c r="J201" s="18"/>
      <c r="K201" s="18">
        <v>33738.699999999997</v>
      </c>
      <c r="L201" s="13">
        <f>SUM(F201:K201)</f>
        <v>61063.61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275246.95+505087.75</f>
        <v>780334.7</v>
      </c>
      <c r="G203" s="18">
        <f>160503.55+298559.1</f>
        <v>459062.64999999997</v>
      </c>
      <c r="H203" s="18">
        <f>3171.28</f>
        <v>3171.28</v>
      </c>
      <c r="I203" s="18">
        <f>3318.86+5164.91</f>
        <v>8483.77</v>
      </c>
      <c r="J203" s="18"/>
      <c r="K203" s="18"/>
      <c r="L203" s="13">
        <f t="shared" ref="L203:L209" si="0">SUM(F203:K203)</f>
        <v>1251052.3999999999</v>
      </c>
      <c r="M203" s="8"/>
      <c r="N203" s="164"/>
    </row>
    <row r="204" spans="1:14" s="3" customFormat="1" ht="12.2" customHeight="1" x14ac:dyDescent="0.15">
      <c r="A204" s="1" t="s">
        <v>443</v>
      </c>
      <c r="B204" s="2" t="s">
        <v>341</v>
      </c>
      <c r="C204" s="2" t="s">
        <v>295</v>
      </c>
      <c r="D204" s="2" t="s">
        <v>431</v>
      </c>
      <c r="E204" s="6">
        <v>2200</v>
      </c>
      <c r="F204" s="18">
        <f>116394.93+115825.64+0.01</f>
        <v>232220.58000000002</v>
      </c>
      <c r="G204" s="18">
        <f>61689.65+114896.15</f>
        <v>176585.8</v>
      </c>
      <c r="H204" s="18">
        <v>20214.82</v>
      </c>
      <c r="I204" s="18">
        <f>17662.11+12092.05</f>
        <v>29754.16</v>
      </c>
      <c r="J204" s="18">
        <v>625.63</v>
      </c>
      <c r="K204" s="18">
        <v>1278.57</v>
      </c>
      <c r="L204" s="13">
        <f t="shared" si="0"/>
        <v>460679.56</v>
      </c>
      <c r="M204" s="8"/>
      <c r="N204" s="164"/>
    </row>
    <row r="205" spans="1:14" s="3" customFormat="1" ht="12.2" customHeight="1" x14ac:dyDescent="0.15">
      <c r="A205" s="1" t="s">
        <v>444</v>
      </c>
      <c r="B205" s="2" t="s">
        <v>341</v>
      </c>
      <c r="C205" s="2" t="s">
        <v>296</v>
      </c>
      <c r="D205" s="2" t="s">
        <v>431</v>
      </c>
      <c r="E205" s="6">
        <v>2300</v>
      </c>
      <c r="F205" s="18">
        <f>189609.92+0.01</f>
        <v>189609.93000000002</v>
      </c>
      <c r="G205" s="18">
        <v>44914.97</v>
      </c>
      <c r="H205" s="18">
        <v>91693.49</v>
      </c>
      <c r="I205" s="18">
        <v>8279.58</v>
      </c>
      <c r="J205" s="18"/>
      <c r="K205" s="18">
        <v>6866.99</v>
      </c>
      <c r="L205" s="13">
        <f t="shared" si="0"/>
        <v>341364.96</v>
      </c>
      <c r="M205" s="8"/>
      <c r="N205" s="164"/>
    </row>
    <row r="206" spans="1:14" s="3" customFormat="1" ht="12.2" customHeight="1" x14ac:dyDescent="0.15">
      <c r="A206" s="1" t="s">
        <v>445</v>
      </c>
      <c r="B206" s="2" t="s">
        <v>341</v>
      </c>
      <c r="C206" s="2" t="s">
        <v>297</v>
      </c>
      <c r="D206" s="2" t="s">
        <v>431</v>
      </c>
      <c r="E206" s="6">
        <v>2400</v>
      </c>
      <c r="F206" s="18">
        <f>31505.45+698987.41+0.01</f>
        <v>730492.87</v>
      </c>
      <c r="G206" s="18">
        <f>8169.01+413824.91</f>
        <v>421993.92</v>
      </c>
      <c r="H206" s="18">
        <f>43688.11</f>
        <v>43688.11</v>
      </c>
      <c r="I206" s="18">
        <f>142.72+10504.62</f>
        <v>10647.34</v>
      </c>
      <c r="J206" s="18">
        <f>817.56</f>
        <v>817.56</v>
      </c>
      <c r="K206" s="18">
        <f>3264</f>
        <v>3264</v>
      </c>
      <c r="L206" s="13">
        <f t="shared" si="0"/>
        <v>1210903.8000000003</v>
      </c>
      <c r="M206" s="8"/>
      <c r="N206" s="164"/>
    </row>
    <row r="207" spans="1:14" s="3" customFormat="1" ht="12.2" customHeight="1" x14ac:dyDescent="0.15">
      <c r="A207" s="1" t="s">
        <v>446</v>
      </c>
      <c r="B207" s="2" t="s">
        <v>341</v>
      </c>
      <c r="C207" s="2" t="s">
        <v>298</v>
      </c>
      <c r="D207" s="2" t="s">
        <v>431</v>
      </c>
      <c r="E207" s="6">
        <v>2500</v>
      </c>
      <c r="F207" s="18">
        <v>188375.66</v>
      </c>
      <c r="G207" s="18">
        <v>163863.95000000001</v>
      </c>
      <c r="H207" s="18">
        <v>133890.29</v>
      </c>
      <c r="I207" s="18"/>
      <c r="J207" s="18">
        <v>8282.85</v>
      </c>
      <c r="K207" s="18">
        <v>544.25</v>
      </c>
      <c r="L207" s="13">
        <f t="shared" si="0"/>
        <v>494957</v>
      </c>
      <c r="M207" s="8"/>
      <c r="N207" s="164"/>
    </row>
    <row r="208" spans="1:14" s="3" customFormat="1" ht="12.2" customHeight="1" x14ac:dyDescent="0.15">
      <c r="A208" s="1" t="s">
        <v>447</v>
      </c>
      <c r="B208" s="2" t="s">
        <v>341</v>
      </c>
      <c r="C208" s="2" t="s">
        <v>299</v>
      </c>
      <c r="D208" s="2" t="s">
        <v>431</v>
      </c>
      <c r="E208" s="6">
        <v>2600</v>
      </c>
      <c r="F208" s="18">
        <f>227397.97+358918.87+0.02</f>
        <v>586316.86</v>
      </c>
      <c r="G208" s="18">
        <f>137198.47+193080.71</f>
        <v>330279.18</v>
      </c>
      <c r="H208" s="18">
        <f>20043.52+149019.69</f>
        <v>169063.21</v>
      </c>
      <c r="I208" s="18">
        <f>27027.53+287839.81</f>
        <v>314867.33999999997</v>
      </c>
      <c r="J208" s="18">
        <f>2984.82+7806.12</f>
        <v>10790.94</v>
      </c>
      <c r="K208" s="18">
        <f>393.76</f>
        <v>393.76</v>
      </c>
      <c r="L208" s="13">
        <f t="shared" si="0"/>
        <v>1411711.2899999998</v>
      </c>
      <c r="M208" s="8"/>
      <c r="N208" s="164"/>
    </row>
    <row r="209" spans="1:14" s="3" customFormat="1" ht="12.2" customHeight="1" x14ac:dyDescent="0.15">
      <c r="A209" s="1" t="s">
        <v>448</v>
      </c>
      <c r="B209" s="2" t="s">
        <v>341</v>
      </c>
      <c r="C209" s="2" t="s">
        <v>300</v>
      </c>
      <c r="D209" s="2" t="s">
        <v>431</v>
      </c>
      <c r="E209" s="6">
        <v>2700</v>
      </c>
      <c r="F209" s="18">
        <v>24214.36</v>
      </c>
      <c r="G209" s="18">
        <v>1900.17</v>
      </c>
      <c r="H209" s="18">
        <v>1102670.8400000001</v>
      </c>
      <c r="I209" s="18">
        <v>4433.37</v>
      </c>
      <c r="J209" s="18"/>
      <c r="K209" s="18"/>
      <c r="L209" s="13">
        <f t="shared" si="0"/>
        <v>1133218.7400000002</v>
      </c>
      <c r="M209" s="8"/>
      <c r="N209" s="164"/>
    </row>
    <row r="210" spans="1:14" s="3" customFormat="1" ht="12.2" customHeight="1" x14ac:dyDescent="0.15">
      <c r="A210" s="1" t="s">
        <v>449</v>
      </c>
      <c r="B210" s="2" t="s">
        <v>341</v>
      </c>
      <c r="C210" s="2" t="s">
        <v>343</v>
      </c>
      <c r="D210" s="2" t="s">
        <v>431</v>
      </c>
      <c r="E210" s="6">
        <v>2800</v>
      </c>
      <c r="F210" s="18">
        <f>236147.02+0.01</f>
        <v>236147.03</v>
      </c>
      <c r="G210" s="18">
        <v>93689.56</v>
      </c>
      <c r="H210" s="18">
        <v>204935</v>
      </c>
      <c r="I210" s="18">
        <v>124194.11</v>
      </c>
      <c r="J210" s="18">
        <v>89856.43</v>
      </c>
      <c r="K210" s="18"/>
      <c r="L210" s="13">
        <f>SUM(F210:K210)</f>
        <v>748822.12999999989</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8685335.7999999989</v>
      </c>
      <c r="G212" s="38">
        <f t="shared" si="1"/>
        <v>5474594.3699999992</v>
      </c>
      <c r="H212" s="38">
        <f t="shared" si="1"/>
        <v>4107829.7199999997</v>
      </c>
      <c r="I212" s="38">
        <f t="shared" si="1"/>
        <v>611095.89999999991</v>
      </c>
      <c r="J212" s="38">
        <f t="shared" si="1"/>
        <v>122760.04</v>
      </c>
      <c r="K212" s="38">
        <f t="shared" si="1"/>
        <v>55065.509999999995</v>
      </c>
      <c r="L212" s="38">
        <f t="shared" si="1"/>
        <v>19056681.34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16296.39+995979.72</f>
        <v>1012276.11</v>
      </c>
      <c r="G216" s="18">
        <f>3137.2+536795.23</f>
        <v>539932.42999999993</v>
      </c>
      <c r="H216" s="18">
        <f>18833.11+1388.12</f>
        <v>20221.23</v>
      </c>
      <c r="I216" s="18">
        <f>36902.47</f>
        <v>36902.47</v>
      </c>
      <c r="J216" s="18">
        <f>613.76+9829.96</f>
        <v>10443.719999999999</v>
      </c>
      <c r="K216" s="18">
        <f>2151.5+347.55</f>
        <v>2499.0500000000002</v>
      </c>
      <c r="L216" s="13">
        <f>SUM(F216:K216)</f>
        <v>1622275.01</v>
      </c>
      <c r="M216" s="8"/>
      <c r="N216" s="164"/>
    </row>
    <row r="217" spans="1:14" s="3" customFormat="1" ht="12.2" customHeight="1" x14ac:dyDescent="0.15">
      <c r="A217" s="1" t="s">
        <v>439</v>
      </c>
      <c r="B217" s="2" t="s">
        <v>346</v>
      </c>
      <c r="C217" s="2" t="s">
        <v>291</v>
      </c>
      <c r="D217" s="2" t="s">
        <v>431</v>
      </c>
      <c r="E217" s="6">
        <v>1200</v>
      </c>
      <c r="F217" s="18">
        <f>24403.5+340001.31+34808.91</f>
        <v>399213.72</v>
      </c>
      <c r="G217" s="18">
        <f>12930.2+213877.12+21979.8</f>
        <v>248787.12</v>
      </c>
      <c r="H217" s="18">
        <f>820.62+1348.76+608048.84</f>
        <v>610218.22</v>
      </c>
      <c r="I217" s="18">
        <f>1067.79+1425.65</f>
        <v>2493.44</v>
      </c>
      <c r="J217" s="18">
        <f>477.53</f>
        <v>477.53</v>
      </c>
      <c r="K217" s="18">
        <f>193.3+94.38</f>
        <v>287.68</v>
      </c>
      <c r="L217" s="13">
        <f>SUM(F217:K217)</f>
        <v>1261477.71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f>61328.7-0.01</f>
        <v>61328.689999999995</v>
      </c>
      <c r="G219" s="18">
        <v>20417.86</v>
      </c>
      <c r="H219" s="18">
        <v>29064.91</v>
      </c>
      <c r="I219" s="18">
        <v>12638.24</v>
      </c>
      <c r="J219" s="18">
        <v>2049.1</v>
      </c>
      <c r="K219" s="18">
        <v>4768.6499999999996</v>
      </c>
      <c r="L219" s="13">
        <f>SUM(F219:K219)</f>
        <v>130267.45</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74769.99+92229.42-0.01</f>
        <v>166999.4</v>
      </c>
      <c r="G221" s="18">
        <f>43600.3+58772.74</f>
        <v>102373.04000000001</v>
      </c>
      <c r="H221" s="18">
        <f>861.47+28729.48</f>
        <v>29590.95</v>
      </c>
      <c r="I221" s="18">
        <f>901.56+5482.65</f>
        <v>6384.2099999999991</v>
      </c>
      <c r="J221" s="18"/>
      <c r="K221" s="18">
        <v>1409.15</v>
      </c>
      <c r="L221" s="13">
        <f t="shared" ref="L221:L227" si="2">SUM(F221:K221)</f>
        <v>306756.75000000006</v>
      </c>
      <c r="M221" s="8"/>
      <c r="N221" s="164"/>
    </row>
    <row r="222" spans="1:14" s="3" customFormat="1" ht="12.2" customHeight="1" x14ac:dyDescent="0.15">
      <c r="A222" s="1" t="s">
        <v>443</v>
      </c>
      <c r="B222" s="2" t="s">
        <v>346</v>
      </c>
      <c r="C222" s="2" t="s">
        <v>295</v>
      </c>
      <c r="D222" s="2" t="s">
        <v>431</v>
      </c>
      <c r="E222" s="6">
        <v>2200</v>
      </c>
      <c r="F222" s="18">
        <f>31618.32+26586.8+0.01</f>
        <v>58205.13</v>
      </c>
      <c r="G222" s="18">
        <f>16757.8+18569.71</f>
        <v>35327.509999999995</v>
      </c>
      <c r="H222" s="18">
        <f>5491.3+3132.08</f>
        <v>8623.380000000001</v>
      </c>
      <c r="I222" s="18">
        <f>4797.86+7417.17</f>
        <v>12215.029999999999</v>
      </c>
      <c r="J222" s="18">
        <f>169.95</f>
        <v>169.95</v>
      </c>
      <c r="K222" s="18">
        <v>347.32</v>
      </c>
      <c r="L222" s="13">
        <f t="shared" si="2"/>
        <v>114888.31999999999</v>
      </c>
      <c r="M222" s="8"/>
      <c r="N222" s="164"/>
    </row>
    <row r="223" spans="1:14" s="3" customFormat="1" ht="12.2" customHeight="1" x14ac:dyDescent="0.15">
      <c r="A223" s="1" t="s">
        <v>444</v>
      </c>
      <c r="B223" s="2" t="s">
        <v>346</v>
      </c>
      <c r="C223" s="2" t="s">
        <v>296</v>
      </c>
      <c r="D223" s="2" t="s">
        <v>431</v>
      </c>
      <c r="E223" s="6">
        <v>2300</v>
      </c>
      <c r="F223" s="18">
        <v>51506.95</v>
      </c>
      <c r="G223" s="18">
        <v>12201.01</v>
      </c>
      <c r="H223" s="18">
        <v>24908.25</v>
      </c>
      <c r="I223" s="18">
        <v>2249.12</v>
      </c>
      <c r="J223" s="18"/>
      <c r="K223" s="18">
        <v>1943.49</v>
      </c>
      <c r="L223" s="13">
        <f t="shared" si="2"/>
        <v>92808.819999999992</v>
      </c>
      <c r="M223" s="8"/>
      <c r="N223" s="164"/>
    </row>
    <row r="224" spans="1:14" s="3" customFormat="1" ht="12.2" customHeight="1" x14ac:dyDescent="0.15">
      <c r="A224" s="1" t="s">
        <v>445</v>
      </c>
      <c r="B224" s="2" t="s">
        <v>346</v>
      </c>
      <c r="C224" s="2" t="s">
        <v>297</v>
      </c>
      <c r="D224" s="2" t="s">
        <v>431</v>
      </c>
      <c r="E224" s="6">
        <v>2400</v>
      </c>
      <c r="F224" s="18">
        <f>8558.36+142081.43</f>
        <v>150639.78999999998</v>
      </c>
      <c r="G224" s="18">
        <f>2219.09+83347.72</f>
        <v>85566.81</v>
      </c>
      <c r="H224" s="18">
        <f>24940.98</f>
        <v>24940.98</v>
      </c>
      <c r="I224" s="18">
        <f>38.77+2192.71</f>
        <v>2231.48</v>
      </c>
      <c r="J224" s="18"/>
      <c r="K224" s="18">
        <v>1866.64</v>
      </c>
      <c r="L224" s="13">
        <f t="shared" si="2"/>
        <v>265245.7</v>
      </c>
      <c r="M224" s="8"/>
      <c r="N224" s="164"/>
    </row>
    <row r="225" spans="1:14" s="3" customFormat="1" ht="12.2" customHeight="1" x14ac:dyDescent="0.15">
      <c r="A225" s="1" t="s">
        <v>446</v>
      </c>
      <c r="B225" s="2" t="s">
        <v>346</v>
      </c>
      <c r="C225" s="2" t="s">
        <v>298</v>
      </c>
      <c r="D225" s="2" t="s">
        <v>431</v>
      </c>
      <c r="E225" s="6">
        <v>2500</v>
      </c>
      <c r="F225" s="18">
        <v>51171.67</v>
      </c>
      <c r="G225" s="18">
        <v>44513.14</v>
      </c>
      <c r="H225" s="18">
        <v>36370.89</v>
      </c>
      <c r="I225" s="18"/>
      <c r="J225" s="18">
        <v>2250.0100000000002</v>
      </c>
      <c r="K225" s="18">
        <v>147.84</v>
      </c>
      <c r="L225" s="13">
        <f t="shared" si="2"/>
        <v>134453.55000000002</v>
      </c>
      <c r="M225" s="8"/>
      <c r="N225" s="164"/>
    </row>
    <row r="226" spans="1:14" s="3" customFormat="1" ht="12.2" customHeight="1" x14ac:dyDescent="0.15">
      <c r="A226" s="1" t="s">
        <v>447</v>
      </c>
      <c r="B226" s="2" t="s">
        <v>346</v>
      </c>
      <c r="C226" s="2" t="s">
        <v>299</v>
      </c>
      <c r="D226" s="2" t="s">
        <v>431</v>
      </c>
      <c r="E226" s="6">
        <v>2600</v>
      </c>
      <c r="F226" s="18">
        <f>61771.96+103143.12+0.01</f>
        <v>164915.09</v>
      </c>
      <c r="G226" s="18">
        <f>37269.54+52527.35</f>
        <v>89796.89</v>
      </c>
      <c r="H226" s="18">
        <f>5444.76+37177.12</f>
        <v>42621.880000000005</v>
      </c>
      <c r="I226" s="18">
        <f>7341.95+78404.41</f>
        <v>85746.36</v>
      </c>
      <c r="J226" s="18">
        <f>810.82+361.34</f>
        <v>1172.1600000000001</v>
      </c>
      <c r="K226" s="18">
        <f>106.96</f>
        <v>106.96</v>
      </c>
      <c r="L226" s="13">
        <f t="shared" si="2"/>
        <v>384359.33999999997</v>
      </c>
      <c r="M226" s="8"/>
      <c r="N226" s="164"/>
    </row>
    <row r="227" spans="1:14" s="3" customFormat="1" ht="12.2" customHeight="1" x14ac:dyDescent="0.15">
      <c r="A227" s="1" t="s">
        <v>448</v>
      </c>
      <c r="B227" s="2" t="s">
        <v>346</v>
      </c>
      <c r="C227" s="2" t="s">
        <v>300</v>
      </c>
      <c r="D227" s="2" t="s">
        <v>431</v>
      </c>
      <c r="E227" s="6">
        <v>2700</v>
      </c>
      <c r="F227" s="18">
        <v>6577.76</v>
      </c>
      <c r="G227" s="18">
        <v>516.16999999999996</v>
      </c>
      <c r="H227" s="18">
        <v>364793.34</v>
      </c>
      <c r="I227" s="18">
        <v>1204.31</v>
      </c>
      <c r="J227" s="18"/>
      <c r="K227" s="18"/>
      <c r="L227" s="13">
        <f t="shared" si="2"/>
        <v>373091.58</v>
      </c>
      <c r="M227" s="8"/>
      <c r="N227" s="164"/>
    </row>
    <row r="228" spans="1:14" s="3" customFormat="1" ht="12.2" customHeight="1" x14ac:dyDescent="0.15">
      <c r="A228" s="1" t="s">
        <v>449</v>
      </c>
      <c r="B228" s="2" t="s">
        <v>346</v>
      </c>
      <c r="C228" s="2" t="s">
        <v>343</v>
      </c>
      <c r="D228" s="2" t="s">
        <v>431</v>
      </c>
      <c r="E228" s="6">
        <v>2800</v>
      </c>
      <c r="F228" s="18">
        <f>64148.61+0.01</f>
        <v>64148.62</v>
      </c>
      <c r="G228" s="18">
        <v>25450.48</v>
      </c>
      <c r="H228" s="18">
        <v>44192.44</v>
      </c>
      <c r="I228" s="18">
        <v>33736.949999999997</v>
      </c>
      <c r="J228" s="18">
        <v>24409.22</v>
      </c>
      <c r="K228" s="18"/>
      <c r="L228" s="13">
        <f>SUM(F228:K228)</f>
        <v>191937.71</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2186982.9299999997</v>
      </c>
      <c r="G230" s="38">
        <f>SUM(G216:G229)</f>
        <v>1204882.4599999997</v>
      </c>
      <c r="H230" s="38">
        <f>SUM(H216:H229)</f>
        <v>1235546.47</v>
      </c>
      <c r="I230" s="38">
        <f>SUM(I216:I229)</f>
        <v>195801.61</v>
      </c>
      <c r="J230" s="38">
        <f>SUM(J216:J229)</f>
        <v>40971.69</v>
      </c>
      <c r="K230" s="38">
        <f t="shared" si="3"/>
        <v>13376.779999999997</v>
      </c>
      <c r="L230" s="38">
        <f t="shared" si="3"/>
        <v>4877561.9399999995</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31624.47+1956528.95</f>
        <v>1988153.42</v>
      </c>
      <c r="G234" s="18">
        <f>6087.99+1048302.12</f>
        <v>1054390.1100000001</v>
      </c>
      <c r="H234" s="18">
        <f>36547.16+3792.68</f>
        <v>40339.840000000004</v>
      </c>
      <c r="I234" s="18">
        <v>71828.33</v>
      </c>
      <c r="J234" s="18">
        <f>1191.05+19075.84</f>
        <v>20266.89</v>
      </c>
      <c r="K234" s="18">
        <f>4175.16+674.45</f>
        <v>4849.6099999999997</v>
      </c>
      <c r="L234" s="13">
        <f>SUM(F234:K234)</f>
        <v>3179828.2</v>
      </c>
      <c r="M234" s="8"/>
      <c r="N234" s="164"/>
    </row>
    <row r="235" spans="1:14" s="3" customFormat="1" ht="12.2" customHeight="1" x14ac:dyDescent="0.15">
      <c r="A235" s="1" t="s">
        <v>439</v>
      </c>
      <c r="B235" s="2" t="s">
        <v>350</v>
      </c>
      <c r="C235" s="2" t="s">
        <v>291</v>
      </c>
      <c r="D235" s="2" t="s">
        <v>431</v>
      </c>
      <c r="E235" s="6">
        <v>1200</v>
      </c>
      <c r="F235" s="18">
        <f>47356.97+659799.95+67549.5+0.01</f>
        <v>774706.42999999993</v>
      </c>
      <c r="G235" s="18">
        <f>25092.1+415045.8+42653.57</f>
        <v>482791.47</v>
      </c>
      <c r="H235" s="18">
        <f>1592.48+2617.38+1179967.81</f>
        <v>1184177.6700000002</v>
      </c>
      <c r="I235" s="18">
        <f>2072.12+2766.58</f>
        <v>4838.7</v>
      </c>
      <c r="J235" s="18">
        <v>926.68</v>
      </c>
      <c r="K235" s="18">
        <f>375.11+183.16</f>
        <v>558.27</v>
      </c>
      <c r="L235" s="13">
        <f>SUM(F235:K235)</f>
        <v>2447999.2200000007</v>
      </c>
      <c r="M235" s="8"/>
      <c r="N235" s="164"/>
    </row>
    <row r="236" spans="1:14" s="3" customFormat="1" ht="12.2" customHeight="1" x14ac:dyDescent="0.15">
      <c r="A236" s="1" t="s">
        <v>440</v>
      </c>
      <c r="B236" s="2" t="s">
        <v>350</v>
      </c>
      <c r="C236" s="2" t="s">
        <v>292</v>
      </c>
      <c r="D236" s="2" t="s">
        <v>431</v>
      </c>
      <c r="E236" s="6">
        <v>1300</v>
      </c>
      <c r="F236" s="18"/>
      <c r="G236" s="18"/>
      <c r="H236" s="18">
        <v>61215.74</v>
      </c>
      <c r="I236" s="18"/>
      <c r="J236" s="18"/>
      <c r="K236" s="18"/>
      <c r="L236" s="13">
        <f>SUM(F236:K236)</f>
        <v>61215.74</v>
      </c>
      <c r="M236" s="8"/>
      <c r="N236" s="164"/>
    </row>
    <row r="237" spans="1:14" s="3" customFormat="1" ht="12.2" customHeight="1" x14ac:dyDescent="0.15">
      <c r="A237" s="1" t="s">
        <v>441</v>
      </c>
      <c r="B237" s="2" t="s">
        <v>350</v>
      </c>
      <c r="C237" s="2" t="s">
        <v>293</v>
      </c>
      <c r="D237" s="2" t="s">
        <v>431</v>
      </c>
      <c r="E237" s="6">
        <v>1400</v>
      </c>
      <c r="F237" s="18">
        <v>119013.3</v>
      </c>
      <c r="G237" s="18">
        <v>39622.5</v>
      </c>
      <c r="H237" s="18">
        <v>56402.8</v>
      </c>
      <c r="I237" s="18">
        <v>24525.51</v>
      </c>
      <c r="J237" s="18">
        <v>3976.43</v>
      </c>
      <c r="K237" s="18">
        <v>9253.9500000000007</v>
      </c>
      <c r="L237" s="13">
        <f>SUM(F237:K237)</f>
        <v>252794.49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145097.2+178978.62</f>
        <v>324075.82</v>
      </c>
      <c r="G239" s="18">
        <f>84609.89+114053.25</f>
        <v>198663.14</v>
      </c>
      <c r="H239" s="18">
        <f>1671.75+55751.87</f>
        <v>57423.62</v>
      </c>
      <c r="I239" s="18">
        <f>1749.54+10639.51</f>
        <v>12389.05</v>
      </c>
      <c r="J239" s="18"/>
      <c r="K239" s="18">
        <v>2734.58</v>
      </c>
      <c r="L239" s="13">
        <f t="shared" ref="L239:L245" si="4">SUM(F239:K239)</f>
        <v>595286.21000000008</v>
      </c>
      <c r="M239" s="8"/>
      <c r="N239" s="164"/>
    </row>
    <row r="240" spans="1:14" s="3" customFormat="1" ht="12.2" customHeight="1" x14ac:dyDescent="0.15">
      <c r="A240" s="1" t="s">
        <v>443</v>
      </c>
      <c r="B240" s="2" t="s">
        <v>350</v>
      </c>
      <c r="C240" s="2" t="s">
        <v>295</v>
      </c>
      <c r="D240" s="2" t="s">
        <v>431</v>
      </c>
      <c r="E240" s="6">
        <v>2200</v>
      </c>
      <c r="F240" s="18">
        <f>61357.91+51593.84</f>
        <v>112951.75</v>
      </c>
      <c r="G240" s="18">
        <f>32519.87+36036.03</f>
        <v>68555.899999999994</v>
      </c>
      <c r="H240" s="18">
        <f>10656.3+6078.05</f>
        <v>16734.349999999999</v>
      </c>
      <c r="I240" s="18">
        <f>9310.63+14393.61</f>
        <v>23704.239999999998</v>
      </c>
      <c r="J240" s="18">
        <v>329.8</v>
      </c>
      <c r="K240" s="18">
        <v>674</v>
      </c>
      <c r="L240" s="13">
        <f t="shared" si="4"/>
        <v>222950.03999999998</v>
      </c>
      <c r="M240" s="8"/>
      <c r="N240" s="164"/>
    </row>
    <row r="241" spans="1:14" s="3" customFormat="1" ht="12.2" customHeight="1" x14ac:dyDescent="0.15">
      <c r="A241" s="1" t="s">
        <v>444</v>
      </c>
      <c r="B241" s="2" t="s">
        <v>350</v>
      </c>
      <c r="C241" s="2" t="s">
        <v>296</v>
      </c>
      <c r="D241" s="2" t="s">
        <v>431</v>
      </c>
      <c r="E241" s="6">
        <v>2300</v>
      </c>
      <c r="F241" s="18">
        <v>99953.4</v>
      </c>
      <c r="G241" s="18">
        <v>23677.05</v>
      </c>
      <c r="H241" s="18">
        <v>48336.480000000003</v>
      </c>
      <c r="I241" s="18">
        <v>4364.6000000000004</v>
      </c>
      <c r="J241" s="18"/>
      <c r="K241" s="18">
        <v>4146.1099999999997</v>
      </c>
      <c r="L241" s="13">
        <f t="shared" si="4"/>
        <v>180477.63999999998</v>
      </c>
      <c r="M241" s="8"/>
      <c r="N241" s="164"/>
    </row>
    <row r="242" spans="1:14" s="3" customFormat="1" ht="12.2" customHeight="1" x14ac:dyDescent="0.15">
      <c r="A242" s="1" t="s">
        <v>445</v>
      </c>
      <c r="B242" s="2" t="s">
        <v>350</v>
      </c>
      <c r="C242" s="2" t="s">
        <v>297</v>
      </c>
      <c r="D242" s="2" t="s">
        <v>431</v>
      </c>
      <c r="E242" s="6">
        <v>2400</v>
      </c>
      <c r="F242" s="18">
        <f>16608.19+275720.47+0.01</f>
        <v>292328.67</v>
      </c>
      <c r="G242" s="18">
        <f>4306.32+161742.98</f>
        <v>166049.30000000002</v>
      </c>
      <c r="H242" s="18">
        <f>48399.99</f>
        <v>48399.99</v>
      </c>
      <c r="I242" s="18">
        <f>75.24+4255.14</f>
        <v>4330.38</v>
      </c>
      <c r="J242" s="18"/>
      <c r="K242" s="18">
        <v>3622.36</v>
      </c>
      <c r="L242" s="13">
        <f t="shared" si="4"/>
        <v>514730.69999999995</v>
      </c>
      <c r="M242" s="8"/>
      <c r="N242" s="164"/>
    </row>
    <row r="243" spans="1:14" s="3" customFormat="1" ht="12.2" customHeight="1" x14ac:dyDescent="0.15">
      <c r="A243" s="1" t="s">
        <v>446</v>
      </c>
      <c r="B243" s="2" t="s">
        <v>350</v>
      </c>
      <c r="C243" s="2" t="s">
        <v>298</v>
      </c>
      <c r="D243" s="2" t="s">
        <v>431</v>
      </c>
      <c r="E243" s="6">
        <v>2500</v>
      </c>
      <c r="F243" s="18">
        <f>99302.75+0.01</f>
        <v>99302.76</v>
      </c>
      <c r="G243" s="18">
        <v>86381.33</v>
      </c>
      <c r="H243" s="18">
        <v>70580.639999999999</v>
      </c>
      <c r="I243" s="18"/>
      <c r="J243" s="18">
        <v>4366.33</v>
      </c>
      <c r="K243" s="18">
        <v>286.89999999999998</v>
      </c>
      <c r="L243" s="13">
        <f t="shared" si="4"/>
        <v>260917.95999999996</v>
      </c>
      <c r="M243" s="8"/>
      <c r="N243" s="164"/>
    </row>
    <row r="244" spans="1:14" s="3" customFormat="1" ht="12.2" customHeight="1" x14ac:dyDescent="0.15">
      <c r="A244" s="1" t="s">
        <v>447</v>
      </c>
      <c r="B244" s="2" t="s">
        <v>350</v>
      </c>
      <c r="C244" s="2" t="s">
        <v>299</v>
      </c>
      <c r="D244" s="2" t="s">
        <v>431</v>
      </c>
      <c r="E244" s="6">
        <v>2600</v>
      </c>
      <c r="F244" s="18">
        <f>119873.47+200157.54</f>
        <v>320031.01</v>
      </c>
      <c r="G244" s="18">
        <f>72324.56+101933.55</f>
        <v>174258.11</v>
      </c>
      <c r="H244" s="18">
        <f>10566+72145.21</f>
        <v>82711.210000000006</v>
      </c>
      <c r="I244" s="18">
        <f>14247.64+152150.08</f>
        <v>166397.71999999997</v>
      </c>
      <c r="J244" s="18">
        <f>1573.46+701.21</f>
        <v>2274.67</v>
      </c>
      <c r="K244" s="18">
        <v>207.57</v>
      </c>
      <c r="L244" s="13">
        <f t="shared" si="4"/>
        <v>745880.28999999992</v>
      </c>
      <c r="M244" s="8"/>
      <c r="N244" s="164"/>
    </row>
    <row r="245" spans="1:14" s="3" customFormat="1" ht="12.2" customHeight="1" x14ac:dyDescent="0.15">
      <c r="A245" s="1" t="s">
        <v>448</v>
      </c>
      <c r="B245" s="2" t="s">
        <v>350</v>
      </c>
      <c r="C245" s="2" t="s">
        <v>300</v>
      </c>
      <c r="D245" s="2" t="s">
        <v>431</v>
      </c>
      <c r="E245" s="6">
        <v>2700</v>
      </c>
      <c r="F245" s="18">
        <v>12764.67</v>
      </c>
      <c r="G245" s="18">
        <v>1001.68</v>
      </c>
      <c r="H245" s="18">
        <v>738322.65</v>
      </c>
      <c r="I245" s="18">
        <v>2337.06</v>
      </c>
      <c r="J245" s="18"/>
      <c r="K245" s="18"/>
      <c r="L245" s="13">
        <f t="shared" si="4"/>
        <v>754426.06</v>
      </c>
      <c r="M245" s="8"/>
      <c r="N245" s="164"/>
    </row>
    <row r="246" spans="1:14" s="3" customFormat="1" ht="12.2" customHeight="1" x14ac:dyDescent="0.15">
      <c r="A246" s="1" t="s">
        <v>449</v>
      </c>
      <c r="B246" s="2" t="s">
        <v>350</v>
      </c>
      <c r="C246" s="2" t="s">
        <v>343</v>
      </c>
      <c r="D246" s="2" t="s">
        <v>431</v>
      </c>
      <c r="E246" s="6">
        <v>2800</v>
      </c>
      <c r="F246" s="18">
        <v>124485.56</v>
      </c>
      <c r="G246" s="18">
        <v>49388.71</v>
      </c>
      <c r="H246" s="18">
        <v>85758.98</v>
      </c>
      <c r="I246" s="18">
        <v>65469.27</v>
      </c>
      <c r="J246" s="18">
        <v>47368.07</v>
      </c>
      <c r="K246" s="18"/>
      <c r="L246" s="13">
        <f>SUM(F246:K246)</f>
        <v>372470.59</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4267766.7899999982</v>
      </c>
      <c r="G248" s="38">
        <f t="shared" si="5"/>
        <v>2344779.3000000003</v>
      </c>
      <c r="H248" s="38">
        <f t="shared" si="5"/>
        <v>2490403.9700000002</v>
      </c>
      <c r="I248" s="38">
        <f t="shared" si="5"/>
        <v>380184.86</v>
      </c>
      <c r="J248" s="38">
        <f t="shared" si="5"/>
        <v>79508.87</v>
      </c>
      <c r="K248" s="38">
        <f t="shared" si="5"/>
        <v>26333.350000000002</v>
      </c>
      <c r="L248" s="38">
        <f t="shared" si="5"/>
        <v>9588977.1400000006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15140085.519999996</v>
      </c>
      <c r="G258" s="38">
        <f t="shared" si="8"/>
        <v>9024256.129999999</v>
      </c>
      <c r="H258" s="38">
        <f t="shared" si="8"/>
        <v>7833780.1600000001</v>
      </c>
      <c r="I258" s="38">
        <f t="shared" si="8"/>
        <v>1187082.3699999999</v>
      </c>
      <c r="J258" s="38">
        <f t="shared" si="8"/>
        <v>243240.59999999998</v>
      </c>
      <c r="K258" s="38">
        <f t="shared" si="8"/>
        <v>94775.64</v>
      </c>
      <c r="L258" s="38">
        <f t="shared" si="8"/>
        <v>33523220.420000002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492082.33</v>
      </c>
      <c r="L262" s="13">
        <f>SUM(F262:K262)</f>
        <v>492082.33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385000</v>
      </c>
      <c r="L266" s="13">
        <f t="shared" si="9"/>
        <v>385000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50001</v>
      </c>
      <c r="L267" s="13">
        <f t="shared" si="9"/>
        <v>50001</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927083.33000000007</v>
      </c>
      <c r="L271" s="38">
        <f t="shared" si="9"/>
        <v>927083.33000000007</v>
      </c>
      <c r="M271" s="8"/>
      <c r="N271" s="164"/>
    </row>
    <row r="272" spans="1:14" s="33" customFormat="1" ht="12.2" customHeight="1" thickTop="1" x14ac:dyDescent="0.2">
      <c r="A272" s="40" t="s">
        <v>464</v>
      </c>
      <c r="B272" s="37">
        <v>10</v>
      </c>
      <c r="C272" s="37">
        <v>18</v>
      </c>
      <c r="D272" s="36" t="s">
        <v>431</v>
      </c>
      <c r="E272" s="37"/>
      <c r="F272" s="39">
        <f t="shared" ref="F272:L272" si="11">F258+F271</f>
        <v>15140085.519999996</v>
      </c>
      <c r="G272" s="39">
        <f t="shared" si="11"/>
        <v>9024256.129999999</v>
      </c>
      <c r="H272" s="39">
        <f t="shared" si="11"/>
        <v>7833780.1600000001</v>
      </c>
      <c r="I272" s="39">
        <f t="shared" si="11"/>
        <v>1187082.3699999999</v>
      </c>
      <c r="J272" s="39">
        <f t="shared" si="11"/>
        <v>243240.59999999998</v>
      </c>
      <c r="K272" s="39">
        <f t="shared" si="11"/>
        <v>1021858.9700000001</v>
      </c>
      <c r="L272" s="39">
        <f t="shared" si="11"/>
        <v>34450303.75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220235.94</v>
      </c>
      <c r="G277" s="18">
        <v>125719.15</v>
      </c>
      <c r="H277" s="18">
        <v>14111.24</v>
      </c>
      <c r="I277" s="18">
        <v>39208.629999999997</v>
      </c>
      <c r="J277" s="18">
        <v>7782.97</v>
      </c>
      <c r="K277" s="18"/>
      <c r="L277" s="13">
        <f>SUM(F277:K277)</f>
        <v>407057.92999999993</v>
      </c>
      <c r="M277" s="8"/>
      <c r="N277" s="164"/>
    </row>
    <row r="278" spans="1:14" s="3" customFormat="1" ht="12.2" customHeight="1" x14ac:dyDescent="0.15">
      <c r="A278" s="1" t="s">
        <v>439</v>
      </c>
      <c r="B278" s="2" t="s">
        <v>357</v>
      </c>
      <c r="C278" s="2" t="s">
        <v>291</v>
      </c>
      <c r="D278" s="2" t="s">
        <v>431</v>
      </c>
      <c r="E278" s="6">
        <v>1200</v>
      </c>
      <c r="F278" s="18">
        <f>36326.96+0.01</f>
        <v>36326.97</v>
      </c>
      <c r="G278" s="18">
        <v>26846.04</v>
      </c>
      <c r="H278" s="18">
        <v>394074.66</v>
      </c>
      <c r="I278" s="18">
        <v>5752.17</v>
      </c>
      <c r="J278" s="18"/>
      <c r="K278" s="18"/>
      <c r="L278" s="13">
        <f>SUM(F278:K278)</f>
        <v>462999.83999999997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341446.45</v>
      </c>
      <c r="G280" s="18">
        <v>89970.34</v>
      </c>
      <c r="H280" s="18">
        <v>671.83</v>
      </c>
      <c r="I280" s="18">
        <v>31054.61</v>
      </c>
      <c r="J280" s="18"/>
      <c r="K280" s="18">
        <v>6065.88</v>
      </c>
      <c r="L280" s="13">
        <f>SUM(F280:K280)</f>
        <v>469209.11000000004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89874.62</v>
      </c>
      <c r="G282" s="18">
        <v>42570.3</v>
      </c>
      <c r="H282" s="18">
        <v>818.3</v>
      </c>
      <c r="I282" s="18">
        <v>2627.48</v>
      </c>
      <c r="J282" s="18"/>
      <c r="K282" s="18"/>
      <c r="L282" s="13">
        <f t="shared" ref="L282:L288" si="12">SUM(F282:K282)</f>
        <v>135890.69999999998</v>
      </c>
      <c r="M282" s="8"/>
      <c r="N282" s="164"/>
    </row>
    <row r="283" spans="1:14" s="3" customFormat="1" ht="12.2" customHeight="1" x14ac:dyDescent="0.15">
      <c r="A283" s="1" t="s">
        <v>443</v>
      </c>
      <c r="B283" s="2" t="s">
        <v>357</v>
      </c>
      <c r="C283" s="2" t="s">
        <v>295</v>
      </c>
      <c r="D283" s="2" t="s">
        <v>431</v>
      </c>
      <c r="E283" s="6">
        <v>2200</v>
      </c>
      <c r="F283" s="18">
        <v>58308.84</v>
      </c>
      <c r="G283" s="18">
        <v>6107.87</v>
      </c>
      <c r="H283" s="18">
        <f>17371.67+84501.64</f>
        <v>101873.31</v>
      </c>
      <c r="I283" s="18">
        <f>40972.63+3923.87</f>
        <v>44896.5</v>
      </c>
      <c r="J283" s="18"/>
      <c r="K283" s="18"/>
      <c r="L283" s="13">
        <f t="shared" si="12"/>
        <v>211186.52</v>
      </c>
      <c r="M283" s="8"/>
      <c r="N283" s="164"/>
    </row>
    <row r="284" spans="1:14" s="3" customFormat="1" ht="12.2" customHeight="1" x14ac:dyDescent="0.15">
      <c r="A284" s="1" t="s">
        <v>444</v>
      </c>
      <c r="B284" s="2" t="s">
        <v>357</v>
      </c>
      <c r="C284" s="2" t="s">
        <v>296</v>
      </c>
      <c r="D284" s="2" t="s">
        <v>431</v>
      </c>
      <c r="E284" s="6">
        <v>2300</v>
      </c>
      <c r="F284" s="18">
        <v>35861.22</v>
      </c>
      <c r="G284" s="18">
        <v>13638.87</v>
      </c>
      <c r="H284" s="18"/>
      <c r="I284" s="18"/>
      <c r="J284" s="18"/>
      <c r="K284" s="18"/>
      <c r="L284" s="13">
        <f t="shared" si="12"/>
        <v>49500.090000000004</v>
      </c>
      <c r="M284" s="8"/>
      <c r="N284" s="164"/>
    </row>
    <row r="285" spans="1:14" s="3" customFormat="1" ht="12.2" customHeight="1" x14ac:dyDescent="0.15">
      <c r="A285" s="1" t="s">
        <v>445</v>
      </c>
      <c r="B285" s="2" t="s">
        <v>357</v>
      </c>
      <c r="C285" s="2" t="s">
        <v>297</v>
      </c>
      <c r="D285" s="2" t="s">
        <v>431</v>
      </c>
      <c r="E285" s="6">
        <v>2400</v>
      </c>
      <c r="F285" s="18">
        <f>56467.52-0.01</f>
        <v>56467.509999999995</v>
      </c>
      <c r="G285" s="18">
        <v>23979.55</v>
      </c>
      <c r="H285" s="18">
        <v>1531.9</v>
      </c>
      <c r="I285" s="18">
        <v>3655.51</v>
      </c>
      <c r="J285" s="18"/>
      <c r="K285" s="18"/>
      <c r="L285" s="13">
        <f t="shared" si="12"/>
        <v>85634.469999999987</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v>4633.37</v>
      </c>
      <c r="G287" s="18">
        <v>354.46</v>
      </c>
      <c r="H287" s="18">
        <v>23714.58</v>
      </c>
      <c r="I287" s="18"/>
      <c r="J287" s="18"/>
      <c r="K287" s="18"/>
      <c r="L287" s="13">
        <f t="shared" si="12"/>
        <v>28702.410000000003</v>
      </c>
      <c r="M287" s="8"/>
      <c r="N287" s="164"/>
    </row>
    <row r="288" spans="1:14" s="3" customFormat="1" ht="12.2" customHeight="1" x14ac:dyDescent="0.15">
      <c r="A288" s="1" t="s">
        <v>448</v>
      </c>
      <c r="B288" s="2" t="s">
        <v>357</v>
      </c>
      <c r="C288" s="2" t="s">
        <v>300</v>
      </c>
      <c r="D288" s="2" t="s">
        <v>431</v>
      </c>
      <c r="E288" s="6">
        <v>2700</v>
      </c>
      <c r="F288" s="18">
        <v>129.94999999999999</v>
      </c>
      <c r="G288" s="18">
        <v>9.94</v>
      </c>
      <c r="H288" s="18">
        <v>17397.7</v>
      </c>
      <c r="I288" s="18"/>
      <c r="J288" s="18"/>
      <c r="K288" s="18"/>
      <c r="L288" s="13">
        <f t="shared" si="12"/>
        <v>17537.59</v>
      </c>
      <c r="M288" s="8"/>
      <c r="N288" s="164"/>
    </row>
    <row r="289" spans="1:14" s="3" customFormat="1" ht="12.2" customHeight="1" x14ac:dyDescent="0.15">
      <c r="A289" s="1" t="s">
        <v>449</v>
      </c>
      <c r="B289" s="2" t="s">
        <v>357</v>
      </c>
      <c r="C289" s="2" t="s">
        <v>343</v>
      </c>
      <c r="D289" s="2" t="s">
        <v>431</v>
      </c>
      <c r="E289" s="6">
        <v>2800</v>
      </c>
      <c r="F289" s="18"/>
      <c r="G289" s="18"/>
      <c r="H289" s="18"/>
      <c r="I289" s="18">
        <v>5276.16</v>
      </c>
      <c r="J289" s="18"/>
      <c r="K289" s="18"/>
      <c r="L289" s="13">
        <f>SUM(F289:K289)</f>
        <v>5276.16</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843284.86999999988</v>
      </c>
      <c r="G291" s="39">
        <f t="shared" si="13"/>
        <v>329196.52</v>
      </c>
      <c r="H291" s="39">
        <f t="shared" si="13"/>
        <v>554193.5199999999</v>
      </c>
      <c r="I291" s="39">
        <f t="shared" si="13"/>
        <v>132471.06</v>
      </c>
      <c r="J291" s="39">
        <f t="shared" si="13"/>
        <v>7782.97</v>
      </c>
      <c r="K291" s="39">
        <f t="shared" si="13"/>
        <v>6065.88</v>
      </c>
      <c r="L291" s="38">
        <f t="shared" si="13"/>
        <v>1872994.8199999998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18071.77</v>
      </c>
      <c r="G296" s="18">
        <v>7116.51</v>
      </c>
      <c r="H296" s="18">
        <v>3833.27</v>
      </c>
      <c r="I296" s="18">
        <v>10040.82</v>
      </c>
      <c r="J296" s="18">
        <v>2114.2199999999998</v>
      </c>
      <c r="K296" s="18"/>
      <c r="L296" s="13">
        <f>SUM(F296:K296)</f>
        <v>41176.589999999997</v>
      </c>
      <c r="M296" s="8"/>
      <c r="N296" s="164"/>
    </row>
    <row r="297" spans="1:14" s="3" customFormat="1" ht="12.2" customHeight="1" x14ac:dyDescent="0.15">
      <c r="A297" s="1" t="s">
        <v>439</v>
      </c>
      <c r="B297" s="2" t="s">
        <v>358</v>
      </c>
      <c r="C297" s="2" t="s">
        <v>291</v>
      </c>
      <c r="D297" s="2" t="s">
        <v>431</v>
      </c>
      <c r="E297" s="6">
        <v>1200</v>
      </c>
      <c r="F297" s="18">
        <f>9868.11+0.01</f>
        <v>9868.1200000000008</v>
      </c>
      <c r="G297" s="18">
        <v>7292.64</v>
      </c>
      <c r="H297" s="18">
        <v>107049.17</v>
      </c>
      <c r="I297" s="18">
        <v>1562.56</v>
      </c>
      <c r="J297" s="18"/>
      <c r="K297" s="18"/>
      <c r="L297" s="13">
        <f>SUM(F297:K297)</f>
        <v>125772.48999999999</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68648.67</v>
      </c>
      <c r="G299" s="18">
        <v>18090.689999999999</v>
      </c>
      <c r="H299" s="18">
        <v>2882.1</v>
      </c>
      <c r="I299" s="18">
        <v>9095.06</v>
      </c>
      <c r="J299" s="18"/>
      <c r="K299" s="18">
        <v>4228.38</v>
      </c>
      <c r="L299" s="13">
        <f>SUM(F299:K299)</f>
        <v>102944.90000000001</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58738.97</v>
      </c>
      <c r="G301" s="18">
        <v>23075.81</v>
      </c>
      <c r="H301" s="18">
        <v>222.29</v>
      </c>
      <c r="I301" s="18">
        <v>353.5</v>
      </c>
      <c r="J301" s="18"/>
      <c r="K301" s="18"/>
      <c r="L301" s="13">
        <f t="shared" ref="L301:L307" si="14">SUM(F301:K301)</f>
        <v>82390.569999999992</v>
      </c>
      <c r="M301" s="8"/>
      <c r="N301" s="164"/>
    </row>
    <row r="302" spans="1:14" s="3" customFormat="1" ht="12.2" customHeight="1" x14ac:dyDescent="0.15">
      <c r="A302" s="1" t="s">
        <v>443</v>
      </c>
      <c r="B302" s="2" t="s">
        <v>358</v>
      </c>
      <c r="C302" s="2" t="s">
        <v>295</v>
      </c>
      <c r="D302" s="2" t="s">
        <v>431</v>
      </c>
      <c r="E302" s="6">
        <v>2200</v>
      </c>
      <c r="F302" s="18">
        <f>4216.85+15839.42</f>
        <v>20056.27</v>
      </c>
      <c r="G302" s="18">
        <f>1111.52+1659.18</f>
        <v>2770.7</v>
      </c>
      <c r="H302" s="18">
        <v>22954.61</v>
      </c>
      <c r="I302" s="18">
        <f>123.15+1065.91</f>
        <v>1189.0600000000002</v>
      </c>
      <c r="J302" s="18"/>
      <c r="K302" s="18"/>
      <c r="L302" s="13">
        <f t="shared" si="14"/>
        <v>46970.64</v>
      </c>
      <c r="M302" s="8"/>
      <c r="N302" s="164"/>
    </row>
    <row r="303" spans="1:14" s="3" customFormat="1" ht="12.2" customHeight="1" x14ac:dyDescent="0.15">
      <c r="A303" s="1" t="s">
        <v>444</v>
      </c>
      <c r="B303" s="2" t="s">
        <v>358</v>
      </c>
      <c r="C303" s="2" t="s">
        <v>296</v>
      </c>
      <c r="D303" s="2" t="s">
        <v>431</v>
      </c>
      <c r="E303" s="6">
        <v>2300</v>
      </c>
      <c r="F303" s="18">
        <v>9672.4599999999991</v>
      </c>
      <c r="G303" s="18">
        <v>3679.18</v>
      </c>
      <c r="H303" s="18"/>
      <c r="I303" s="18"/>
      <c r="J303" s="18"/>
      <c r="K303" s="18"/>
      <c r="L303" s="13">
        <f t="shared" si="14"/>
        <v>13351.64</v>
      </c>
      <c r="M303" s="8"/>
      <c r="N303" s="164"/>
    </row>
    <row r="304" spans="1:14" s="3" customFormat="1" ht="12.2" customHeight="1" x14ac:dyDescent="0.15">
      <c r="A304" s="1" t="s">
        <v>445</v>
      </c>
      <c r="B304" s="2" t="s">
        <v>358</v>
      </c>
      <c r="C304" s="2" t="s">
        <v>297</v>
      </c>
      <c r="D304" s="2" t="s">
        <v>431</v>
      </c>
      <c r="E304" s="6">
        <v>2400</v>
      </c>
      <c r="F304" s="18">
        <f>15339.23</f>
        <v>15339.23</v>
      </c>
      <c r="G304" s="18">
        <v>6513.97</v>
      </c>
      <c r="H304" s="18">
        <v>343.95</v>
      </c>
      <c r="I304" s="18">
        <v>993.01</v>
      </c>
      <c r="J304" s="18"/>
      <c r="K304" s="18"/>
      <c r="L304" s="13">
        <f t="shared" si="14"/>
        <v>23190.16</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f>1258.64-0.01</f>
        <v>1258.6300000000001</v>
      </c>
      <c r="G306" s="18">
        <v>96.29</v>
      </c>
      <c r="H306" s="18">
        <v>148997.98000000001</v>
      </c>
      <c r="I306" s="18"/>
      <c r="J306" s="18"/>
      <c r="K306" s="18"/>
      <c r="L306" s="13">
        <f t="shared" si="14"/>
        <v>150352.90000000002</v>
      </c>
      <c r="M306" s="8"/>
      <c r="N306" s="164"/>
    </row>
    <row r="307" spans="1:14" s="3" customFormat="1" ht="12.2" customHeight="1" x14ac:dyDescent="0.15">
      <c r="A307" s="1" t="s">
        <v>448</v>
      </c>
      <c r="B307" s="2" t="s">
        <v>358</v>
      </c>
      <c r="C307" s="2" t="s">
        <v>300</v>
      </c>
      <c r="D307" s="2" t="s">
        <v>431</v>
      </c>
      <c r="E307" s="6">
        <v>2700</v>
      </c>
      <c r="F307" s="18">
        <v>35.299999999999997</v>
      </c>
      <c r="G307" s="18">
        <v>2.7</v>
      </c>
      <c r="H307" s="18">
        <v>19676.03</v>
      </c>
      <c r="I307" s="18"/>
      <c r="J307" s="18"/>
      <c r="K307" s="18"/>
      <c r="L307" s="13">
        <f t="shared" si="14"/>
        <v>19714.03</v>
      </c>
      <c r="M307" s="8"/>
      <c r="N307" s="164"/>
    </row>
    <row r="308" spans="1:14" s="3" customFormat="1" ht="12.2" customHeight="1" x14ac:dyDescent="0.15">
      <c r="A308" s="1" t="s">
        <v>449</v>
      </c>
      <c r="B308" s="2" t="s">
        <v>358</v>
      </c>
      <c r="C308" s="2" t="s">
        <v>343</v>
      </c>
      <c r="D308" s="2" t="s">
        <v>431</v>
      </c>
      <c r="E308" s="6">
        <v>2800</v>
      </c>
      <c r="F308" s="18"/>
      <c r="G308" s="18"/>
      <c r="H308" s="18"/>
      <c r="I308" s="18">
        <v>168.99</v>
      </c>
      <c r="J308" s="18"/>
      <c r="K308" s="18"/>
      <c r="L308" s="13">
        <f>SUM(F308:K308)</f>
        <v>168.99</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201689.41999999998</v>
      </c>
      <c r="G310" s="39">
        <f t="shared" si="15"/>
        <v>68638.489999999991</v>
      </c>
      <c r="H310" s="39">
        <f t="shared" si="15"/>
        <v>305959.40000000002</v>
      </c>
      <c r="I310" s="39">
        <f t="shared" si="15"/>
        <v>23403</v>
      </c>
      <c r="J310" s="39">
        <f t="shared" si="15"/>
        <v>2114.2199999999998</v>
      </c>
      <c r="K310" s="39">
        <f t="shared" si="15"/>
        <v>4228.38</v>
      </c>
      <c r="L310" s="38">
        <f t="shared" si="15"/>
        <v>606032.91</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23895.96</v>
      </c>
      <c r="G315" s="18">
        <v>12955.41</v>
      </c>
      <c r="H315" s="18">
        <v>7438.78</v>
      </c>
      <c r="I315" s="18">
        <v>19485.02</v>
      </c>
      <c r="J315" s="18">
        <v>4102.8100000000004</v>
      </c>
      <c r="K315" s="18"/>
      <c r="L315" s="13">
        <f>SUM(F315:K315)</f>
        <v>67877.98</v>
      </c>
      <c r="M315" s="8"/>
      <c r="N315" s="164"/>
    </row>
    <row r="316" spans="1:14" s="3" customFormat="1" ht="12.2" customHeight="1" x14ac:dyDescent="0.15">
      <c r="A316" s="1" t="s">
        <v>439</v>
      </c>
      <c r="B316" s="2" t="s">
        <v>359</v>
      </c>
      <c r="C316" s="2" t="s">
        <v>291</v>
      </c>
      <c r="D316" s="2" t="s">
        <v>431</v>
      </c>
      <c r="E316" s="6">
        <v>1200</v>
      </c>
      <c r="F316" s="18">
        <f>19149.86+0.01</f>
        <v>19149.87</v>
      </c>
      <c r="G316" s="18">
        <v>14151.96</v>
      </c>
      <c r="H316" s="18">
        <v>207737.55</v>
      </c>
      <c r="I316" s="18">
        <v>3032.27</v>
      </c>
      <c r="J316" s="18"/>
      <c r="K316" s="18"/>
      <c r="L316" s="13">
        <f>SUM(F316:K316)</f>
        <v>244071.65</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f>133218.28+0.01</f>
        <v>133218.29</v>
      </c>
      <c r="G318" s="18">
        <v>35106.44</v>
      </c>
      <c r="H318" s="18">
        <v>5594.55</v>
      </c>
      <c r="I318" s="18">
        <v>32833.379999999997</v>
      </c>
      <c r="J318" s="18"/>
      <c r="K318" s="18">
        <v>8207.0400000000009</v>
      </c>
      <c r="L318" s="13">
        <f>SUM(F318:K318)</f>
        <v>214959.7</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114008.16</v>
      </c>
      <c r="G320" s="18">
        <v>44787.34</v>
      </c>
      <c r="H320" s="18">
        <v>431.37</v>
      </c>
      <c r="I320" s="18">
        <v>685.99</v>
      </c>
      <c r="J320" s="18"/>
      <c r="K320" s="18"/>
      <c r="L320" s="13">
        <f t="shared" ref="L320:L326" si="16">SUM(F320:K320)</f>
        <v>159912.85999999999</v>
      </c>
      <c r="M320" s="8"/>
      <c r="N320" s="164"/>
    </row>
    <row r="321" spans="1:14" s="3" customFormat="1" ht="12.2" customHeight="1" x14ac:dyDescent="0.15">
      <c r="A321" s="1" t="s">
        <v>443</v>
      </c>
      <c r="B321" s="2" t="s">
        <v>359</v>
      </c>
      <c r="C321" s="2" t="s">
        <v>295</v>
      </c>
      <c r="D321" s="2" t="s">
        <v>431</v>
      </c>
      <c r="E321" s="6">
        <v>2200</v>
      </c>
      <c r="F321" s="18">
        <f>8183.15+30737.67</f>
        <v>38920.82</v>
      </c>
      <c r="G321" s="18">
        <f>2157+3219.78</f>
        <v>5376.7800000000007</v>
      </c>
      <c r="H321" s="18">
        <v>44545.27</v>
      </c>
      <c r="I321" s="18">
        <f>261.68+2068.48</f>
        <v>2330.16</v>
      </c>
      <c r="J321" s="18"/>
      <c r="K321" s="18"/>
      <c r="L321" s="13">
        <f t="shared" si="16"/>
        <v>91173.03</v>
      </c>
      <c r="M321" s="8"/>
      <c r="N321" s="164"/>
    </row>
    <row r="322" spans="1:14" s="3" customFormat="1" ht="12.2" customHeight="1" x14ac:dyDescent="0.15">
      <c r="A322" s="1" t="s">
        <v>444</v>
      </c>
      <c r="B322" s="2" t="s">
        <v>359</v>
      </c>
      <c r="C322" s="2" t="s">
        <v>296</v>
      </c>
      <c r="D322" s="2" t="s">
        <v>431</v>
      </c>
      <c r="E322" s="6">
        <v>2300</v>
      </c>
      <c r="F322" s="18">
        <v>18770.189999999999</v>
      </c>
      <c r="G322" s="18">
        <v>7139.75</v>
      </c>
      <c r="H322" s="18"/>
      <c r="I322" s="18"/>
      <c r="J322" s="18"/>
      <c r="K322" s="18"/>
      <c r="L322" s="13">
        <f t="shared" si="16"/>
        <v>25909.94</v>
      </c>
      <c r="M322" s="8"/>
      <c r="N322" s="164"/>
    </row>
    <row r="323" spans="1:14" s="3" customFormat="1" ht="12.2" customHeight="1" x14ac:dyDescent="0.15">
      <c r="A323" s="1" t="s">
        <v>445</v>
      </c>
      <c r="B323" s="2" t="s">
        <v>359</v>
      </c>
      <c r="C323" s="2" t="s">
        <v>297</v>
      </c>
      <c r="D323" s="2" t="s">
        <v>431</v>
      </c>
      <c r="E323" s="6">
        <v>2400</v>
      </c>
      <c r="F323" s="18">
        <f>29767.01+0.01</f>
        <v>29767.019999999997</v>
      </c>
      <c r="G323" s="18">
        <v>12640.88</v>
      </c>
      <c r="H323" s="18">
        <v>667.46</v>
      </c>
      <c r="I323" s="18">
        <v>1927.01</v>
      </c>
      <c r="J323" s="18"/>
      <c r="K323" s="18"/>
      <c r="L323" s="13">
        <f t="shared" si="16"/>
        <v>45002.369999999995</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v>2442.4899999999998</v>
      </c>
      <c r="G325" s="18">
        <v>186.86</v>
      </c>
      <c r="H325" s="18">
        <v>289231.35999999999</v>
      </c>
      <c r="I325" s="18"/>
      <c r="J325" s="18"/>
      <c r="K325" s="18"/>
      <c r="L325" s="13">
        <f t="shared" si="16"/>
        <v>291860.70999999996</v>
      </c>
      <c r="M325" s="8"/>
      <c r="N325" s="164"/>
    </row>
    <row r="326" spans="1:14" s="3" customFormat="1" ht="12.2" customHeight="1" x14ac:dyDescent="0.15">
      <c r="A326" s="1" t="s">
        <v>448</v>
      </c>
      <c r="B326" s="2" t="s">
        <v>359</v>
      </c>
      <c r="C326" s="2" t="s">
        <v>300</v>
      </c>
      <c r="D326" s="2" t="s">
        <v>431</v>
      </c>
      <c r="E326" s="6">
        <v>2700</v>
      </c>
      <c r="F326" s="18">
        <v>68.5</v>
      </c>
      <c r="G326" s="18">
        <v>5.24</v>
      </c>
      <c r="H326" s="18">
        <v>9171.25</v>
      </c>
      <c r="I326" s="18"/>
      <c r="J326" s="18"/>
      <c r="K326" s="18"/>
      <c r="L326" s="13">
        <f t="shared" si="16"/>
        <v>9244.99</v>
      </c>
      <c r="M326" s="8"/>
      <c r="N326" s="164"/>
    </row>
    <row r="327" spans="1:14" s="3" customFormat="1" ht="12.2" customHeight="1" x14ac:dyDescent="0.15">
      <c r="A327" s="1" t="s">
        <v>449</v>
      </c>
      <c r="B327" s="2" t="s">
        <v>359</v>
      </c>
      <c r="C327" s="2" t="s">
        <v>343</v>
      </c>
      <c r="D327" s="2" t="s">
        <v>431</v>
      </c>
      <c r="E327" s="6">
        <v>2800</v>
      </c>
      <c r="F327" s="18"/>
      <c r="G327" s="18"/>
      <c r="H327" s="18"/>
      <c r="I327" s="18">
        <v>327.93</v>
      </c>
      <c r="J327" s="18"/>
      <c r="K327" s="18"/>
      <c r="L327" s="13">
        <f>SUM(F327:K327)</f>
        <v>327.93</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380241.30000000005</v>
      </c>
      <c r="G329" s="39">
        <f t="shared" si="17"/>
        <v>132350.65999999997</v>
      </c>
      <c r="H329" s="39">
        <f t="shared" si="17"/>
        <v>564817.59</v>
      </c>
      <c r="I329" s="39">
        <f t="shared" si="17"/>
        <v>60621.759999999995</v>
      </c>
      <c r="J329" s="39">
        <f t="shared" si="17"/>
        <v>4102.8100000000004</v>
      </c>
      <c r="K329" s="39">
        <f t="shared" si="17"/>
        <v>8207.0400000000009</v>
      </c>
      <c r="L329" s="38">
        <f t="shared" si="17"/>
        <v>1150341.1599999999</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1425215.5899999999</v>
      </c>
      <c r="G339" s="38">
        <f t="shared" si="20"/>
        <v>530185.66999999993</v>
      </c>
      <c r="H339" s="38">
        <f t="shared" si="20"/>
        <v>1424970.5099999998</v>
      </c>
      <c r="I339" s="38">
        <f t="shared" si="20"/>
        <v>216495.82</v>
      </c>
      <c r="J339" s="38">
        <f t="shared" si="20"/>
        <v>14000</v>
      </c>
      <c r="K339" s="38">
        <f t="shared" si="20"/>
        <v>18501.300000000003</v>
      </c>
      <c r="L339" s="38">
        <f t="shared" si="20"/>
        <v>3629368.8899999997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29244.51+23841.74+1390.69+24251.89</f>
        <v>78728.83</v>
      </c>
      <c r="L345" s="13">
        <f t="shared" ref="L345:L351" si="21">SUM(F345:K345)</f>
        <v>78728.83</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78728.83</v>
      </c>
      <c r="L352" s="38">
        <f>SUM(L342:L351)</f>
        <v>78728.83</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1425215.5899999999</v>
      </c>
      <c r="G353" s="38">
        <f>G339</f>
        <v>530185.66999999993</v>
      </c>
      <c r="H353" s="38">
        <f>H339</f>
        <v>1424970.5099999998</v>
      </c>
      <c r="I353" s="38">
        <f>I339</f>
        <v>216495.82</v>
      </c>
      <c r="J353" s="38">
        <f>J339</f>
        <v>14000</v>
      </c>
      <c r="K353" s="38">
        <f>K339+K352</f>
        <v>97230.13</v>
      </c>
      <c r="L353" s="38">
        <f>L339+L352</f>
        <v>3708097.7199999997</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261777.77-0.01</f>
        <v>261777.75999999998</v>
      </c>
      <c r="G359" s="18">
        <v>158209.82</v>
      </c>
      <c r="H359" s="18">
        <f>38895.24+0.01</f>
        <v>38895.25</v>
      </c>
      <c r="I359" s="18">
        <f>242508.39+0.01</f>
        <v>242508.40000000002</v>
      </c>
      <c r="J359" s="18">
        <v>120169.53</v>
      </c>
      <c r="K359" s="18">
        <v>351.9</v>
      </c>
      <c r="L359" s="13">
        <f>SUM(F359:K359)</f>
        <v>821912.66</v>
      </c>
      <c r="M359" s="8"/>
      <c r="N359" s="164"/>
    </row>
    <row r="360" spans="1:22" s="3" customFormat="1" ht="12.2" customHeight="1" x14ac:dyDescent="0.15">
      <c r="A360" s="1" t="s">
        <v>542</v>
      </c>
      <c r="B360" s="2" t="s">
        <v>366</v>
      </c>
      <c r="C360" s="6">
        <v>2</v>
      </c>
      <c r="D360" s="2" t="s">
        <v>431</v>
      </c>
      <c r="E360" s="6"/>
      <c r="F360" s="18">
        <v>71111.13</v>
      </c>
      <c r="G360" s="18">
        <v>42977.21</v>
      </c>
      <c r="H360" s="18">
        <v>10565.77</v>
      </c>
      <c r="I360" s="18">
        <v>65876.66</v>
      </c>
      <c r="J360" s="18">
        <v>32643.68</v>
      </c>
      <c r="K360" s="18">
        <v>95.59</v>
      </c>
      <c r="L360" s="13">
        <f>SUM(F360:K360)</f>
        <v>223270.04</v>
      </c>
      <c r="M360" s="8"/>
      <c r="N360" s="164"/>
    </row>
    <row r="361" spans="1:22" s="3" customFormat="1" ht="12.2" customHeight="1" x14ac:dyDescent="0.15">
      <c r="A361" s="3" t="s">
        <v>543</v>
      </c>
      <c r="B361" s="2" t="s">
        <v>366</v>
      </c>
      <c r="C361" s="6">
        <v>3</v>
      </c>
      <c r="D361" s="2" t="s">
        <v>431</v>
      </c>
      <c r="E361" s="6"/>
      <c r="F361" s="18">
        <v>137996.88</v>
      </c>
      <c r="G361" s="18">
        <v>83400.740000000005</v>
      </c>
      <c r="H361" s="18">
        <v>20503.73</v>
      </c>
      <c r="I361" s="18">
        <v>127838.97</v>
      </c>
      <c r="J361" s="18">
        <v>63347.7</v>
      </c>
      <c r="K361" s="18">
        <v>185.51</v>
      </c>
      <c r="L361" s="13">
        <f>SUM(F361:K361)</f>
        <v>433273.53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470885.77</v>
      </c>
      <c r="G363" s="38">
        <f t="shared" si="22"/>
        <v>284587.77</v>
      </c>
      <c r="H363" s="38">
        <f t="shared" si="22"/>
        <v>69964.75</v>
      </c>
      <c r="I363" s="38">
        <f t="shared" si="22"/>
        <v>436224.03</v>
      </c>
      <c r="J363" s="38">
        <f t="shared" si="22"/>
        <v>216160.90999999997</v>
      </c>
      <c r="K363" s="38">
        <f t="shared" si="22"/>
        <v>633</v>
      </c>
      <c r="L363" s="38">
        <f t="shared" si="22"/>
        <v>1478456.23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219351.64</v>
      </c>
      <c r="G368" s="18">
        <v>59586.2</v>
      </c>
      <c r="H368" s="18">
        <v>115631.83</v>
      </c>
      <c r="I368" s="13">
        <f>SUM(F368:H368)</f>
        <v>394569.67000000004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23156.75</v>
      </c>
      <c r="G369" s="53">
        <v>6290.46</v>
      </c>
      <c r="H369" s="53">
        <v>12207.15</v>
      </c>
      <c r="I369" s="13">
        <f>SUM(F369:H369)</f>
        <v>41654.36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242508.39</v>
      </c>
      <c r="G370" s="38">
        <f>SUM(G368:G369)</f>
        <v>65876.66</v>
      </c>
      <c r="H370" s="38">
        <f>SUM(H368:H369)</f>
        <v>127838.98</v>
      </c>
      <c r="I370" s="38">
        <f>SUM(I368:I369)</f>
        <v>436224.03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f>315079+49604</f>
        <v>364683</v>
      </c>
      <c r="I377" s="18"/>
      <c r="J377" s="18"/>
      <c r="K377" s="18"/>
      <c r="L377" s="13">
        <f t="shared" si="23"/>
        <v>364683</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f>63184-7108+790020.18+961333.02+516834.3</f>
        <v>2324263.5</v>
      </c>
      <c r="I379" s="18"/>
      <c r="J379" s="18"/>
      <c r="K379" s="18"/>
      <c r="L379" s="13">
        <f t="shared" si="23"/>
        <v>2324263.5</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2688946.5</v>
      </c>
      <c r="I383" s="38">
        <f t="shared" si="24"/>
        <v>0</v>
      </c>
      <c r="J383" s="38">
        <f t="shared" si="24"/>
        <v>0</v>
      </c>
      <c r="K383" s="38">
        <f t="shared" si="24"/>
        <v>0</v>
      </c>
      <c r="L383" s="38">
        <f t="shared" si="24"/>
        <v>2688946.5</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f>6669.67+6584.12</f>
        <v>13253.79</v>
      </c>
      <c r="I397" s="18"/>
      <c r="J397" s="23" t="s">
        <v>288</v>
      </c>
      <c r="K397" s="23" t="s">
        <v>288</v>
      </c>
      <c r="L397" s="13">
        <f t="shared" si="26"/>
        <v>13253.79</v>
      </c>
      <c r="M397" s="8"/>
      <c r="N397" s="164"/>
    </row>
    <row r="398" spans="1:14" s="3" customFormat="1" ht="12.2" customHeight="1" x14ac:dyDescent="0.15">
      <c r="A398" s="62" t="s">
        <v>515</v>
      </c>
      <c r="B398" s="2" t="s">
        <v>381</v>
      </c>
      <c r="C398" s="6">
        <v>10</v>
      </c>
      <c r="D398" s="2" t="s">
        <v>432</v>
      </c>
      <c r="E398" s="6"/>
      <c r="F398" s="18"/>
      <c r="G398" s="18">
        <v>1</v>
      </c>
      <c r="H398" s="18">
        <v>22175.48</v>
      </c>
      <c r="I398" s="18"/>
      <c r="J398" s="23" t="s">
        <v>288</v>
      </c>
      <c r="K398" s="23" t="s">
        <v>288</v>
      </c>
      <c r="L398" s="13">
        <f t="shared" si="26"/>
        <v>22176.48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50000</v>
      </c>
      <c r="H401" s="18">
        <f>3847.61+1.96+3571.92</f>
        <v>7421.49</v>
      </c>
      <c r="I401" s="18"/>
      <c r="J401" s="23" t="s">
        <v>288</v>
      </c>
      <c r="K401" s="23" t="s">
        <v>288</v>
      </c>
      <c r="L401" s="13">
        <f t="shared" si="26"/>
        <v>57421.49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50001</v>
      </c>
      <c r="H402" s="38">
        <f>SUM(H396:H401)</f>
        <v>42850.76</v>
      </c>
      <c r="I402" s="38">
        <f>SUM(I396:I401)</f>
        <v>0</v>
      </c>
      <c r="J402" s="42" t="s">
        <v>288</v>
      </c>
      <c r="K402" s="42" t="s">
        <v>288</v>
      </c>
      <c r="L402" s="38">
        <f>SUM(L396:L401)</f>
        <v>92851.760000000009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50001</v>
      </c>
      <c r="H409" s="38">
        <f>H394+H402+H408</f>
        <v>42850.76</v>
      </c>
      <c r="I409" s="38">
        <f>I394+I402+I408</f>
        <v>0</v>
      </c>
      <c r="J409" s="23" t="s">
        <v>288</v>
      </c>
      <c r="K409" s="23" t="s">
        <v>288</v>
      </c>
      <c r="L409" s="38">
        <f>L394+L402+L408</f>
        <v>92851.760000000009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v>62367</v>
      </c>
      <c r="L427" s="13">
        <f t="shared" si="29"/>
        <v>62367</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62367</v>
      </c>
      <c r="L428" s="38">
        <f t="shared" si="30"/>
        <v>62367</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62367</v>
      </c>
      <c r="L435" s="38">
        <f t="shared" si="32"/>
        <v>62367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686123.77</v>
      </c>
      <c r="H443" s="18"/>
      <c r="I443" s="13">
        <f t="shared" si="33"/>
        <v>686123.77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686123.77</v>
      </c>
      <c r="H447" s="13">
        <f>SUM(H440:H446)</f>
        <v>0</v>
      </c>
      <c r="I447" s="13">
        <f>SUM(I440:I446)</f>
        <v>686123.77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686123.77</v>
      </c>
      <c r="H460" s="18"/>
      <c r="I460" s="13">
        <f t="shared" si="34"/>
        <v>686123.77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686123.77</v>
      </c>
      <c r="H461" s="65">
        <f>SUM(H455:H460)</f>
        <v>0</v>
      </c>
      <c r="I461" s="65">
        <f>SUM(I455:I460)</f>
        <v>686123.77</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686123.77</v>
      </c>
      <c r="H462" s="39">
        <f>H453+H461</f>
        <v>0</v>
      </c>
      <c r="I462" s="39">
        <f>I453+I461</f>
        <v>686123.77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1141938</v>
      </c>
      <c r="G466" s="18">
        <v>680805.03</v>
      </c>
      <c r="H466" s="18">
        <v>0</v>
      </c>
      <c r="I466" s="18">
        <v>1067014</v>
      </c>
      <c r="J466" s="18">
        <v>655639.01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33572593.509999998</v>
      </c>
      <c r="G469" s="18">
        <f t="shared" ref="G469:J469" si="35">G194</f>
        <v>1030204.66</v>
      </c>
      <c r="H469" s="18">
        <f t="shared" si="35"/>
        <v>3711986.48</v>
      </c>
      <c r="I469" s="18">
        <f t="shared" si="35"/>
        <v>22854963.699999999</v>
      </c>
      <c r="J469" s="18">
        <f t="shared" si="35"/>
        <v>92851.760000000009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33572593.509999998</v>
      </c>
      <c r="G471" s="19">
        <f>SUM(G469:G470)</f>
        <v>1030204.66</v>
      </c>
      <c r="H471" s="19">
        <f>SUM(H469:H470)</f>
        <v>3711986.48</v>
      </c>
      <c r="I471" s="19">
        <f>SUM(I469:I470)</f>
        <v>22854963.699999999</v>
      </c>
      <c r="J471" s="19">
        <f>SUM(J469:J470)</f>
        <v>92851.760000000009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34450303.75</v>
      </c>
      <c r="G473" s="18">
        <f>L363</f>
        <v>1478456.23</v>
      </c>
      <c r="H473" s="18">
        <f>L353</f>
        <v>3708097.7199999997</v>
      </c>
      <c r="I473" s="18">
        <f>L383</f>
        <v>2688946.5</v>
      </c>
      <c r="J473" s="18">
        <f>L435</f>
        <v>62367</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34450303.75</v>
      </c>
      <c r="G475" s="19">
        <f>SUM(G473:G474)</f>
        <v>1478456.23</v>
      </c>
      <c r="H475" s="19">
        <f>SUM(H473:H474)</f>
        <v>3708097.7199999997</v>
      </c>
      <c r="I475" s="19">
        <f>SUM(I473:I474)</f>
        <v>2688946.5</v>
      </c>
      <c r="J475" s="19">
        <f>SUM(J473:J474)</f>
        <v>62367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264227.75999999791</v>
      </c>
      <c r="G477" s="19">
        <f>(G466+G471)- G475</f>
        <v>232553.45999999996</v>
      </c>
      <c r="H477" s="19">
        <f>(H466+H471)- H475</f>
        <v>3888.7600000002421</v>
      </c>
      <c r="I477" s="19">
        <f>(I466+I471)- I475</f>
        <v>21233031.199999999</v>
      </c>
      <c r="J477" s="19">
        <f>(J466+J471)- J475</f>
        <v>686123.77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19770242</v>
      </c>
      <c r="G494" s="18"/>
      <c r="H494" s="18"/>
      <c r="I494" s="18"/>
      <c r="J494" s="18"/>
      <c r="K494" s="23" t="s">
        <v>288</v>
      </c>
      <c r="L494" s="23" t="s">
        <v>288</v>
      </c>
      <c r="N494" s="130"/>
    </row>
    <row r="495" spans="1:14" ht="12.2" customHeight="1" x14ac:dyDescent="0.2">
      <c r="A495" s="21" t="s">
        <v>618</v>
      </c>
      <c r="B495" s="22">
        <v>20</v>
      </c>
      <c r="C495" s="22">
        <v>5</v>
      </c>
      <c r="D495" s="2" t="s">
        <v>432</v>
      </c>
      <c r="E495" s="22"/>
      <c r="F495" s="18">
        <v>3.75</v>
      </c>
      <c r="G495" s="18"/>
      <c r="H495" s="18"/>
      <c r="I495" s="18"/>
      <c r="J495" s="18"/>
      <c r="K495" s="23" t="s">
        <v>288</v>
      </c>
      <c r="L495" s="23" t="s">
        <v>288</v>
      </c>
      <c r="N495" s="130"/>
    </row>
    <row r="496" spans="1:14" ht="12.2" customHeight="1" x14ac:dyDescent="0.2">
      <c r="A496" s="21" t="s">
        <v>619</v>
      </c>
      <c r="B496" s="22">
        <v>20</v>
      </c>
      <c r="C496" s="22">
        <v>6</v>
      </c>
      <c r="D496" s="2" t="s">
        <v>432</v>
      </c>
      <c r="E496" s="22"/>
      <c r="F496" s="18">
        <v>0</v>
      </c>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v>19770242</v>
      </c>
      <c r="G497" s="18"/>
      <c r="H497" s="18"/>
      <c r="I497" s="18"/>
      <c r="J497" s="18"/>
      <c r="K497" s="19">
        <f t="shared" ref="K497:K504" si="36">SUM(F497:J497)</f>
        <v>19770242</v>
      </c>
      <c r="L497" s="23" t="s">
        <v>288</v>
      </c>
      <c r="N497" s="130"/>
    </row>
    <row r="498" spans="1:14" ht="12.2" customHeight="1" x14ac:dyDescent="0.2">
      <c r="A498" s="21" t="s">
        <v>621</v>
      </c>
      <c r="B498" s="22">
        <v>20</v>
      </c>
      <c r="C498" s="22">
        <v>8</v>
      </c>
      <c r="D498" s="2" t="s">
        <v>432</v>
      </c>
      <c r="E498" s="22"/>
      <c r="F498" s="18">
        <v>0</v>
      </c>
      <c r="G498" s="18"/>
      <c r="H498" s="18"/>
      <c r="I498" s="18"/>
      <c r="J498" s="18"/>
      <c r="K498" s="19">
        <f t="shared" si="36"/>
        <v>0</v>
      </c>
      <c r="L498" s="23" t="s">
        <v>288</v>
      </c>
      <c r="N498" s="130"/>
    </row>
    <row r="499" spans="1:14" ht="12.2" customHeight="1" x14ac:dyDescent="0.2">
      <c r="A499" s="143" t="s">
        <v>622</v>
      </c>
      <c r="B499" s="144">
        <v>20</v>
      </c>
      <c r="C499" s="144">
        <v>9</v>
      </c>
      <c r="D499" s="145" t="s">
        <v>432</v>
      </c>
      <c r="E499" s="144"/>
      <c r="F499" s="146">
        <v>19770242</v>
      </c>
      <c r="G499" s="146"/>
      <c r="H499" s="146"/>
      <c r="I499" s="146"/>
      <c r="J499" s="146"/>
      <c r="K499" s="147">
        <f t="shared" si="36"/>
        <v>19770242</v>
      </c>
      <c r="L499" s="148" t="s">
        <v>288</v>
      </c>
      <c r="N499" s="130"/>
    </row>
    <row r="500" spans="1:14" ht="12.2" customHeight="1" thickBot="1" x14ac:dyDescent="0.25">
      <c r="A500" s="21" t="s">
        <v>623</v>
      </c>
      <c r="B500" s="22">
        <v>20</v>
      </c>
      <c r="C500" s="22">
        <v>10</v>
      </c>
      <c r="D500" s="2" t="s">
        <v>432</v>
      </c>
      <c r="E500" s="22"/>
      <c r="F500" s="18">
        <f>11173962.58-492082.33</f>
        <v>10681880.25</v>
      </c>
      <c r="G500" s="18"/>
      <c r="H500" s="18"/>
      <c r="I500" s="18"/>
      <c r="J500" s="18"/>
      <c r="K500" s="19">
        <f t="shared" si="36"/>
        <v>10681880.25</v>
      </c>
      <c r="L500" s="23" t="s">
        <v>288</v>
      </c>
      <c r="N500" s="130"/>
    </row>
    <row r="501" spans="1:14" ht="12.2" customHeight="1" thickTop="1" x14ac:dyDescent="0.2">
      <c r="A501" s="97" t="s">
        <v>624</v>
      </c>
      <c r="B501" s="41">
        <v>20</v>
      </c>
      <c r="C501" s="41">
        <v>11</v>
      </c>
      <c r="D501" s="36" t="s">
        <v>432</v>
      </c>
      <c r="E501" s="41"/>
      <c r="F501" s="39">
        <f>SUM(F499:F500)</f>
        <v>30452122.25</v>
      </c>
      <c r="G501" s="39">
        <f>SUM(G499:G500)</f>
        <v>0</v>
      </c>
      <c r="H501" s="39">
        <f>SUM(H499:H500)</f>
        <v>0</v>
      </c>
      <c r="I501" s="39">
        <f>SUM(I499:I500)</f>
        <v>0</v>
      </c>
      <c r="J501" s="39">
        <f>SUM(J499:J500)</f>
        <v>0</v>
      </c>
      <c r="K501" s="39">
        <f t="shared" si="36"/>
        <v>30452122.25</v>
      </c>
      <c r="L501" s="42" t="s">
        <v>288</v>
      </c>
      <c r="N501" s="130"/>
    </row>
    <row r="502" spans="1:14" ht="12.2" customHeight="1" x14ac:dyDescent="0.2">
      <c r="A502" s="143" t="s">
        <v>651</v>
      </c>
      <c r="B502" s="144">
        <v>20</v>
      </c>
      <c r="C502" s="144">
        <v>12</v>
      </c>
      <c r="D502" s="145" t="s">
        <v>432</v>
      </c>
      <c r="E502" s="144"/>
      <c r="F502" s="146">
        <v>593331</v>
      </c>
      <c r="G502" s="146"/>
      <c r="H502" s="146"/>
      <c r="I502" s="146"/>
      <c r="J502" s="146"/>
      <c r="K502" s="147">
        <f t="shared" si="36"/>
        <v>593331</v>
      </c>
      <c r="L502" s="148" t="s">
        <v>288</v>
      </c>
      <c r="N502" s="130"/>
    </row>
    <row r="503" spans="1:14" ht="12.2" customHeight="1" thickBot="1" x14ac:dyDescent="0.25">
      <c r="A503" s="21" t="s">
        <v>625</v>
      </c>
      <c r="B503" s="22">
        <v>20</v>
      </c>
      <c r="C503" s="22">
        <v>13</v>
      </c>
      <c r="D503" s="2" t="s">
        <v>432</v>
      </c>
      <c r="E503" s="22"/>
      <c r="F503" s="18">
        <f>476208.71+461078.77</f>
        <v>937287.48</v>
      </c>
      <c r="G503" s="18"/>
      <c r="H503" s="18"/>
      <c r="I503" s="18"/>
      <c r="J503" s="18"/>
      <c r="K503" s="19">
        <f t="shared" si="36"/>
        <v>937287.48</v>
      </c>
      <c r="L503" s="23" t="s">
        <v>288</v>
      </c>
      <c r="N503" s="130"/>
    </row>
    <row r="504" spans="1:14" ht="12.2" customHeight="1" thickTop="1" x14ac:dyDescent="0.2">
      <c r="A504" s="97" t="s">
        <v>626</v>
      </c>
      <c r="B504" s="41">
        <v>20</v>
      </c>
      <c r="C504" s="41">
        <v>14</v>
      </c>
      <c r="D504" s="36" t="s">
        <v>432</v>
      </c>
      <c r="E504" s="41"/>
      <c r="F504" s="39">
        <f>SUM(F502:F503)</f>
        <v>1530618.48</v>
      </c>
      <c r="G504" s="39">
        <f>SUM(G502:G503)</f>
        <v>0</v>
      </c>
      <c r="H504" s="39">
        <f>SUM(H502:H503)</f>
        <v>0</v>
      </c>
      <c r="I504" s="39">
        <f>SUM(I502:I503)</f>
        <v>0</v>
      </c>
      <c r="J504" s="39">
        <f>SUM(J502:J503)</f>
        <v>0</v>
      </c>
      <c r="K504" s="39">
        <f t="shared" si="36"/>
        <v>1530618.48</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1628281.27+128140.28+36326.96</f>
        <v>1792748.51</v>
      </c>
      <c r="G522" s="18">
        <f>1448747.71+80913.11+26846.04</f>
        <v>1556506.86</v>
      </c>
      <c r="H522" s="18">
        <f>21.86+2238379.19+394074.66</f>
        <v>2632475.71</v>
      </c>
      <c r="I522" s="18">
        <f>3641.89+5248.16+5752.17</f>
        <v>14642.22</v>
      </c>
      <c r="J522" s="18">
        <f>1757.9</f>
        <v>1757.9</v>
      </c>
      <c r="K522" s="18">
        <f>347.45</f>
        <v>347.45</v>
      </c>
      <c r="L522" s="69">
        <f>SUM(F522:K522)</f>
        <v>5998478.6500000004</v>
      </c>
      <c r="N522" s="130"/>
    </row>
    <row r="523" spans="1:14" ht="12.2" customHeight="1" x14ac:dyDescent="0.2">
      <c r="A523" s="21" t="s">
        <v>634</v>
      </c>
      <c r="B523" s="22">
        <v>21</v>
      </c>
      <c r="C523" s="22">
        <v>2</v>
      </c>
      <c r="D523" s="2" t="s">
        <v>432</v>
      </c>
      <c r="E523" s="22"/>
      <c r="F523" s="18">
        <f>340001.31+34808.91+9868.11</f>
        <v>384678.32999999996</v>
      </c>
      <c r="G523" s="18">
        <f>213877.12+21979.8+7292.64</f>
        <v>243149.56</v>
      </c>
      <c r="H523" s="18">
        <f>1348.76+608048.84+107049.17</f>
        <v>716446.77</v>
      </c>
      <c r="I523" s="18">
        <f>1067.79+1425.65+1562.56</f>
        <v>4056</v>
      </c>
      <c r="J523" s="18">
        <f>477.53</f>
        <v>477.53</v>
      </c>
      <c r="K523" s="18">
        <f>94.38</f>
        <v>94.38</v>
      </c>
      <c r="L523" s="69">
        <f>SUM(F523:K523)</f>
        <v>1348902.5699999998</v>
      </c>
      <c r="N523" s="130"/>
    </row>
    <row r="524" spans="1:14" ht="12.2" customHeight="1" thickBot="1" x14ac:dyDescent="0.25">
      <c r="A524" s="21" t="s">
        <v>635</v>
      </c>
      <c r="B524" s="22">
        <v>21</v>
      </c>
      <c r="C524" s="22">
        <v>3</v>
      </c>
      <c r="D524" s="2" t="s">
        <v>432</v>
      </c>
      <c r="E524" s="22"/>
      <c r="F524" s="18">
        <f>659799.95+67549.5+19149.86</f>
        <v>746499.30999999994</v>
      </c>
      <c r="G524" s="18">
        <f>415045.8+42653.57+14151.96</f>
        <v>471851.33</v>
      </c>
      <c r="H524" s="18">
        <f>2617.38+1179967.81+207737.55</f>
        <v>1390322.74</v>
      </c>
      <c r="I524" s="18">
        <f>2072.12+2766.58+3032.27</f>
        <v>7870.9699999999993</v>
      </c>
      <c r="J524" s="18">
        <f>926.68</f>
        <v>926.68</v>
      </c>
      <c r="K524" s="18">
        <f>183.16</f>
        <v>183.16</v>
      </c>
      <c r="L524" s="69">
        <f>SUM(F524:K524)</f>
        <v>2617654.1900000004</v>
      </c>
      <c r="N524" s="130"/>
    </row>
    <row r="525" spans="1:14" ht="12.2" customHeight="1" thickTop="1" x14ac:dyDescent="0.2">
      <c r="A525" s="97" t="s">
        <v>63</v>
      </c>
      <c r="B525" s="41">
        <v>21</v>
      </c>
      <c r="C525" s="41">
        <v>4</v>
      </c>
      <c r="D525" s="115" t="s">
        <v>432</v>
      </c>
      <c r="E525" s="41"/>
      <c r="F525" s="81">
        <f>SUM(F522:F524)</f>
        <v>2923926.15</v>
      </c>
      <c r="G525" s="81">
        <f t="shared" ref="G525:L525" si="37">SUM(G522:G524)</f>
        <v>2271507.75</v>
      </c>
      <c r="H525" s="81">
        <f t="shared" si="37"/>
        <v>4739245.22</v>
      </c>
      <c r="I525" s="81">
        <f t="shared" si="37"/>
        <v>26569.190000000002</v>
      </c>
      <c r="J525" s="81">
        <f t="shared" si="37"/>
        <v>3162.11</v>
      </c>
      <c r="K525" s="81">
        <f t="shared" si="37"/>
        <v>624.99</v>
      </c>
      <c r="L525" s="70">
        <f t="shared" si="37"/>
        <v>9965035.4100000001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275246.95+505087.75+89874.62</f>
        <v>870209.32</v>
      </c>
      <c r="G527" s="18">
        <f>160503.55+298559.1+42570.3</f>
        <v>501632.94999999995</v>
      </c>
      <c r="H527" s="18">
        <f>3171.28+818.3</f>
        <v>3989.58</v>
      </c>
      <c r="I527" s="18">
        <f>3318.86+5164.91+2627.48</f>
        <v>11111.25</v>
      </c>
      <c r="J527" s="18"/>
      <c r="K527" s="18"/>
      <c r="L527" s="69">
        <f>SUM(F527:K527)</f>
        <v>1386943.1</v>
      </c>
      <c r="M527" s="8"/>
      <c r="N527" s="164"/>
    </row>
    <row r="528" spans="1:14" s="3" customFormat="1" ht="12.2" customHeight="1" x14ac:dyDescent="0.15">
      <c r="A528" s="21" t="s">
        <v>634</v>
      </c>
      <c r="B528" s="22">
        <v>21</v>
      </c>
      <c r="C528" s="22">
        <v>6</v>
      </c>
      <c r="D528" s="2" t="s">
        <v>432</v>
      </c>
      <c r="E528" s="22"/>
      <c r="F528" s="18">
        <f>74769.99+92229.42+58738.97</f>
        <v>225738.38</v>
      </c>
      <c r="G528" s="18">
        <f>43600.3+58772.74+23075.81</f>
        <v>125448.85</v>
      </c>
      <c r="H528" s="18">
        <f>861.47+28729.48+222.29</f>
        <v>29813.24</v>
      </c>
      <c r="I528" s="18">
        <f>901.56+5482.65+353.5</f>
        <v>6737.7099999999991</v>
      </c>
      <c r="J528" s="18">
        <f>0</f>
        <v>0</v>
      </c>
      <c r="K528" s="18">
        <f>1409.15</f>
        <v>1409.15</v>
      </c>
      <c r="L528" s="69">
        <f>SUM(F528:K528)</f>
        <v>389147.33</v>
      </c>
      <c r="M528" s="8"/>
      <c r="N528" s="164"/>
    </row>
    <row r="529" spans="1:14" s="3" customFormat="1" ht="12.2" customHeight="1" thickBot="1" x14ac:dyDescent="0.2">
      <c r="A529" s="21" t="s">
        <v>635</v>
      </c>
      <c r="B529" s="22">
        <v>21</v>
      </c>
      <c r="C529" s="22">
        <v>7</v>
      </c>
      <c r="D529" s="2" t="s">
        <v>432</v>
      </c>
      <c r="E529" s="22"/>
      <c r="F529" s="18">
        <f>145097.2+178978.62+114008.16</f>
        <v>438083.98</v>
      </c>
      <c r="G529" s="18">
        <f>84609.89+114053.25+44878.34</f>
        <v>243541.48</v>
      </c>
      <c r="H529" s="18">
        <f>1671.75+55751.87+431.37</f>
        <v>57854.990000000005</v>
      </c>
      <c r="I529" s="18">
        <f>1749.54+10639.51+685.99</f>
        <v>13075.039999999999</v>
      </c>
      <c r="J529" s="18"/>
      <c r="K529" s="18">
        <f>2734.58</f>
        <v>2734.58</v>
      </c>
      <c r="L529" s="69">
        <f>SUM(F529:K529)</f>
        <v>755290.07</v>
      </c>
      <c r="M529" s="8"/>
      <c r="N529" s="164"/>
    </row>
    <row r="530" spans="1:14" s="3" customFormat="1" ht="12.2" customHeight="1" thickTop="1" x14ac:dyDescent="0.15">
      <c r="A530" s="97" t="s">
        <v>65</v>
      </c>
      <c r="B530" s="41">
        <v>21</v>
      </c>
      <c r="C530" s="41">
        <v>8</v>
      </c>
      <c r="D530" s="115" t="s">
        <v>432</v>
      </c>
      <c r="E530" s="41"/>
      <c r="F530" s="70">
        <f>SUM(F527:F529)</f>
        <v>1534031.68</v>
      </c>
      <c r="G530" s="70">
        <f t="shared" ref="G530:L530" si="38">SUM(G527:G529)</f>
        <v>870623.27999999991</v>
      </c>
      <c r="H530" s="70">
        <f t="shared" si="38"/>
        <v>91657.81</v>
      </c>
      <c r="I530" s="70">
        <f t="shared" si="38"/>
        <v>30924</v>
      </c>
      <c r="J530" s="70">
        <f t="shared" si="38"/>
        <v>0</v>
      </c>
      <c r="K530" s="70">
        <f t="shared" si="38"/>
        <v>4143.7299999999996</v>
      </c>
      <c r="L530" s="70">
        <f t="shared" si="38"/>
        <v>2531380.5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89835.38</f>
        <v>89835.38</v>
      </c>
      <c r="G532" s="18">
        <v>47599.28</v>
      </c>
      <c r="H532" s="18">
        <v>3020.91</v>
      </c>
      <c r="I532" s="18"/>
      <c r="J532" s="18"/>
      <c r="K532" s="18">
        <v>711.59</v>
      </c>
      <c r="L532" s="69">
        <f>SUM(F532:K532)</f>
        <v>141167.16</v>
      </c>
      <c r="M532" s="8"/>
      <c r="N532" s="164"/>
    </row>
    <row r="533" spans="1:14" s="3" customFormat="1" ht="12.2" customHeight="1" x14ac:dyDescent="0.15">
      <c r="A533" s="21" t="s">
        <v>634</v>
      </c>
      <c r="B533" s="22">
        <v>21</v>
      </c>
      <c r="C533" s="22">
        <v>10</v>
      </c>
      <c r="D533" s="2" t="s">
        <v>432</v>
      </c>
      <c r="E533" s="22"/>
      <c r="F533" s="18">
        <v>24403.5</v>
      </c>
      <c r="G533" s="18">
        <v>12930.2</v>
      </c>
      <c r="H533" s="18">
        <v>820.62</v>
      </c>
      <c r="I533" s="18"/>
      <c r="J533" s="18"/>
      <c r="K533" s="18">
        <v>193.3</v>
      </c>
      <c r="L533" s="69">
        <f>SUM(F533:K533)</f>
        <v>38347.620000000003</v>
      </c>
      <c r="M533" s="8"/>
      <c r="N533" s="164"/>
    </row>
    <row r="534" spans="1:14" s="3" customFormat="1" ht="12.2" customHeight="1" thickBot="1" x14ac:dyDescent="0.2">
      <c r="A534" s="21" t="s">
        <v>635</v>
      </c>
      <c r="B534" s="22">
        <v>21</v>
      </c>
      <c r="C534" s="22">
        <v>11</v>
      </c>
      <c r="D534" s="2" t="s">
        <v>432</v>
      </c>
      <c r="E534" s="22"/>
      <c r="F534" s="18">
        <v>47356.97</v>
      </c>
      <c r="G534" s="18">
        <v>25092.1</v>
      </c>
      <c r="H534" s="18">
        <v>1592.48</v>
      </c>
      <c r="I534" s="18"/>
      <c r="J534" s="18"/>
      <c r="K534" s="18">
        <v>375.11</v>
      </c>
      <c r="L534" s="69">
        <f>SUM(F534:K534)</f>
        <v>74416.66</v>
      </c>
      <c r="M534" s="8"/>
      <c r="N534" s="164"/>
    </row>
    <row r="535" spans="1:14" s="3" customFormat="1" ht="12.2" customHeight="1" thickTop="1" x14ac:dyDescent="0.15">
      <c r="A535" s="97" t="s">
        <v>67</v>
      </c>
      <c r="B535" s="41">
        <v>21</v>
      </c>
      <c r="C535" s="41">
        <v>12</v>
      </c>
      <c r="D535" s="115" t="s">
        <v>432</v>
      </c>
      <c r="E535" s="41"/>
      <c r="F535" s="70">
        <f>SUM(F532:F534)</f>
        <v>161595.85</v>
      </c>
      <c r="G535" s="70">
        <f t="shared" ref="G535:L535" si="39">SUM(G532:G534)</f>
        <v>85621.579999999987</v>
      </c>
      <c r="H535" s="70">
        <f t="shared" si="39"/>
        <v>5434.01</v>
      </c>
      <c r="I535" s="70">
        <f t="shared" si="39"/>
        <v>0</v>
      </c>
      <c r="J535" s="70">
        <f t="shared" si="39"/>
        <v>0</v>
      </c>
      <c r="K535" s="70">
        <f t="shared" si="39"/>
        <v>1280</v>
      </c>
      <c r="L535" s="70">
        <f t="shared" si="39"/>
        <v>253931.44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24214.36</v>
      </c>
      <c r="G542" s="18">
        <v>1900.17</v>
      </c>
      <c r="H542" s="18">
        <f>334873.05+1203.2</f>
        <v>336076.25</v>
      </c>
      <c r="I542" s="18">
        <v>4433.37</v>
      </c>
      <c r="J542" s="18"/>
      <c r="K542" s="18"/>
      <c r="L542" s="69">
        <f>SUM(F542:K542)</f>
        <v>366624.15</v>
      </c>
      <c r="M542" s="8"/>
      <c r="N542" s="164"/>
    </row>
    <row r="543" spans="1:14" s="3" customFormat="1" ht="12.2" customHeight="1" x14ac:dyDescent="0.15">
      <c r="A543" s="21" t="s">
        <v>634</v>
      </c>
      <c r="B543" s="22">
        <v>21</v>
      </c>
      <c r="C543" s="22">
        <v>18</v>
      </c>
      <c r="D543" s="2" t="s">
        <v>432</v>
      </c>
      <c r="E543" s="22"/>
      <c r="F543" s="18">
        <v>6577.76</v>
      </c>
      <c r="G543" s="18">
        <v>516.16999999999996</v>
      </c>
      <c r="H543" s="18">
        <f>90967.24+326.84</f>
        <v>91294.080000000002</v>
      </c>
      <c r="I543" s="18">
        <v>1204.31</v>
      </c>
      <c r="J543" s="18"/>
      <c r="K543" s="18"/>
      <c r="L543" s="69">
        <f>SUM(F543:K543)</f>
        <v>99592.320000000007</v>
      </c>
      <c r="M543" s="8"/>
      <c r="N543" s="164"/>
    </row>
    <row r="544" spans="1:14" s="3" customFormat="1" ht="12.2" customHeight="1" thickBot="1" x14ac:dyDescent="0.2">
      <c r="A544" s="21" t="s">
        <v>635</v>
      </c>
      <c r="B544" s="22">
        <v>21</v>
      </c>
      <c r="C544" s="22">
        <v>19</v>
      </c>
      <c r="D544" s="2" t="s">
        <v>432</v>
      </c>
      <c r="E544" s="22"/>
      <c r="F544" s="18">
        <v>12764.67</v>
      </c>
      <c r="G544" s="18">
        <v>1001.68</v>
      </c>
      <c r="H544" s="18">
        <f>176529.26+634.26</f>
        <v>177163.52000000002</v>
      </c>
      <c r="I544" s="18">
        <v>2337.06</v>
      </c>
      <c r="J544" s="18"/>
      <c r="K544" s="18"/>
      <c r="L544" s="69">
        <f>SUM(F544:K544)</f>
        <v>193266.93000000002</v>
      </c>
      <c r="M544" s="8"/>
      <c r="N544" s="164"/>
    </row>
    <row r="545" spans="1:14" s="3" customFormat="1" ht="12.2" customHeight="1" thickTop="1" thickBot="1" x14ac:dyDescent="0.2">
      <c r="A545" s="93" t="s">
        <v>71</v>
      </c>
      <c r="B545" s="63">
        <v>21</v>
      </c>
      <c r="C545" s="63">
        <v>20</v>
      </c>
      <c r="D545" s="139" t="s">
        <v>432</v>
      </c>
      <c r="E545" s="63"/>
      <c r="F545" s="140">
        <f>SUM(F542:F544)</f>
        <v>43556.79</v>
      </c>
      <c r="G545" s="140">
        <f t="shared" ref="G545:L545" si="41">SUM(G542:G544)</f>
        <v>3418.02</v>
      </c>
      <c r="H545" s="140">
        <f t="shared" si="41"/>
        <v>604533.85000000009</v>
      </c>
      <c r="I545" s="140">
        <f t="shared" si="41"/>
        <v>7974.74</v>
      </c>
      <c r="J545" s="140">
        <f t="shared" si="41"/>
        <v>0</v>
      </c>
      <c r="K545" s="140">
        <f t="shared" si="41"/>
        <v>0</v>
      </c>
      <c r="L545" s="140">
        <f t="shared" si="41"/>
        <v>659483.4</v>
      </c>
      <c r="M545" s="8"/>
      <c r="N545" s="164"/>
    </row>
    <row r="546" spans="1:14" s="3" customFormat="1" ht="12.2" customHeight="1" thickTop="1" x14ac:dyDescent="0.15">
      <c r="A546" s="75" t="s">
        <v>72</v>
      </c>
      <c r="B546" s="41">
        <v>21</v>
      </c>
      <c r="C546" s="41">
        <v>21</v>
      </c>
      <c r="D546" s="115" t="s">
        <v>432</v>
      </c>
      <c r="E546" s="41"/>
      <c r="F546" s="70">
        <f>F525+F530+F535+F540+F545</f>
        <v>4663110.47</v>
      </c>
      <c r="G546" s="70">
        <f t="shared" ref="G546:L546" si="42">G525+G530+G535+G540+G545</f>
        <v>3231170.63</v>
      </c>
      <c r="H546" s="70">
        <f t="shared" si="42"/>
        <v>5440870.8899999987</v>
      </c>
      <c r="I546" s="70">
        <f t="shared" si="42"/>
        <v>65467.93</v>
      </c>
      <c r="J546" s="70">
        <f t="shared" si="42"/>
        <v>3162.11</v>
      </c>
      <c r="K546" s="70">
        <f t="shared" si="42"/>
        <v>6048.7199999999993</v>
      </c>
      <c r="L546" s="70">
        <f t="shared" si="42"/>
        <v>13409830.75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5998478.6500000004</v>
      </c>
      <c r="G550" s="69">
        <f>L527</f>
        <v>1386943.1</v>
      </c>
      <c r="H550" s="69">
        <f>L532</f>
        <v>141167.16</v>
      </c>
      <c r="I550" s="69">
        <f>L537</f>
        <v>0</v>
      </c>
      <c r="J550" s="69">
        <f>L542</f>
        <v>366624.15</v>
      </c>
      <c r="K550" s="69">
        <f>SUM(F550:J550)</f>
        <v>7893213.0600000005</v>
      </c>
      <c r="L550" s="23" t="s">
        <v>288</v>
      </c>
      <c r="M550" s="8"/>
      <c r="N550" s="164"/>
    </row>
    <row r="551" spans="1:14" s="3" customFormat="1" ht="12.2" customHeight="1" x14ac:dyDescent="0.15">
      <c r="A551" s="21" t="s">
        <v>634</v>
      </c>
      <c r="B551" s="22">
        <v>21</v>
      </c>
      <c r="C551" s="22">
        <v>23</v>
      </c>
      <c r="D551" s="2" t="s">
        <v>432</v>
      </c>
      <c r="E551" s="22"/>
      <c r="F551" s="69">
        <f>L523</f>
        <v>1348902.5699999998</v>
      </c>
      <c r="G551" s="69">
        <f>L528</f>
        <v>389147.33</v>
      </c>
      <c r="H551" s="69">
        <f>L533</f>
        <v>38347.620000000003</v>
      </c>
      <c r="I551" s="69">
        <f>L538</f>
        <v>0</v>
      </c>
      <c r="J551" s="69">
        <f>L543</f>
        <v>99592.320000000007</v>
      </c>
      <c r="K551" s="69">
        <f>SUM(F551:J551)</f>
        <v>1875989.84</v>
      </c>
      <c r="L551" s="23" t="s">
        <v>288</v>
      </c>
      <c r="M551" s="8"/>
      <c r="N551" s="164"/>
    </row>
    <row r="552" spans="1:14" s="3" customFormat="1" ht="12.2" customHeight="1" thickBot="1" x14ac:dyDescent="0.2">
      <c r="A552" s="21" t="s">
        <v>635</v>
      </c>
      <c r="B552" s="22">
        <v>21</v>
      </c>
      <c r="C552" s="22">
        <v>24</v>
      </c>
      <c r="D552" s="2" t="s">
        <v>432</v>
      </c>
      <c r="E552" s="22"/>
      <c r="F552" s="69">
        <f>L524</f>
        <v>2617654.1900000004</v>
      </c>
      <c r="G552" s="69">
        <f>L529</f>
        <v>755290.07</v>
      </c>
      <c r="H552" s="69">
        <f>L534</f>
        <v>74416.66</v>
      </c>
      <c r="I552" s="69">
        <f>L539</f>
        <v>0</v>
      </c>
      <c r="J552" s="69">
        <f>L544</f>
        <v>193266.93000000002</v>
      </c>
      <c r="K552" s="69">
        <f>SUM(F552:J552)</f>
        <v>3640627.8500000006</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9965035.4100000001</v>
      </c>
      <c r="G553" s="70">
        <f t="shared" si="43"/>
        <v>2531380.5</v>
      </c>
      <c r="H553" s="70">
        <f t="shared" si="43"/>
        <v>253931.44</v>
      </c>
      <c r="I553" s="70">
        <f t="shared" si="43"/>
        <v>0</v>
      </c>
      <c r="J553" s="70">
        <f t="shared" si="43"/>
        <v>659483.4</v>
      </c>
      <c r="K553" s="70">
        <f t="shared" si="43"/>
        <v>13409830.75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610.91999999999996</v>
      </c>
      <c r="G576" s="18">
        <v>165.95</v>
      </c>
      <c r="H576" s="18">
        <v>322.05</v>
      </c>
      <c r="I576" s="69">
        <f>SUM(F576:H576)</f>
        <v>1098.9199999999998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7530.02</v>
      </c>
      <c r="G580" s="18">
        <v>2045.51</v>
      </c>
      <c r="H580" s="18">
        <v>3969.47</v>
      </c>
      <c r="I580" s="69">
        <f t="shared" si="48"/>
        <v>13545</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1557912.28</v>
      </c>
      <c r="G583" s="18">
        <v>423202.09</v>
      </c>
      <c r="H583" s="18">
        <v>821257.78</v>
      </c>
      <c r="I583" s="69">
        <f t="shared" si="48"/>
        <v>2802372.1500000004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61215.74</v>
      </c>
      <c r="I585" s="69">
        <f t="shared" si="48"/>
        <v>61215.74</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1566053.22</v>
      </c>
      <c r="G589" s="79">
        <f t="shared" ref="G589:I589" si="49">SUM(G576:G588)</f>
        <v>425413.55000000005</v>
      </c>
      <c r="H589" s="79">
        <f t="shared" si="49"/>
        <v>886765.04</v>
      </c>
      <c r="I589" s="79">
        <f t="shared" si="49"/>
        <v>2878231.8100000005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764145.39</v>
      </c>
      <c r="I592" s="18">
        <v>232030.41</v>
      </c>
      <c r="J592" s="18">
        <v>450288.3</v>
      </c>
      <c r="K592" s="80">
        <f t="shared" ref="K592:K598" si="50">SUM(H592:J592)</f>
        <v>1446464.1</v>
      </c>
      <c r="L592" s="23" t="s">
        <v>288</v>
      </c>
      <c r="M592" s="8"/>
      <c r="N592" s="164"/>
    </row>
    <row r="593" spans="1:14" s="3" customFormat="1" ht="12.2" customHeight="1" x14ac:dyDescent="0.15">
      <c r="A593" s="3" t="s">
        <v>638</v>
      </c>
      <c r="B593" s="22">
        <v>23</v>
      </c>
      <c r="C593" s="22">
        <v>2</v>
      </c>
      <c r="D593" s="2" t="s">
        <v>432</v>
      </c>
      <c r="E593" s="22"/>
      <c r="F593" s="78">
        <v>2722</v>
      </c>
      <c r="G593" s="79" t="s">
        <v>97</v>
      </c>
      <c r="H593" s="18">
        <v>366624.14</v>
      </c>
      <c r="I593" s="18">
        <v>99592.320000000007</v>
      </c>
      <c r="J593" s="18">
        <f>193266.93+0.01</f>
        <v>193266.94</v>
      </c>
      <c r="K593" s="80">
        <f t="shared" si="50"/>
        <v>659483.4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31143.4</v>
      </c>
      <c r="K594" s="80">
        <f t="shared" si="50"/>
        <v>31143.4</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37981.71</v>
      </c>
      <c r="J595" s="18">
        <v>73729.19</v>
      </c>
      <c r="K595" s="80">
        <f t="shared" si="50"/>
        <v>111710.9</v>
      </c>
      <c r="L595" s="23" t="s">
        <v>288</v>
      </c>
      <c r="M595" s="8"/>
      <c r="N595" s="164"/>
    </row>
    <row r="596" spans="1:14" s="3" customFormat="1" ht="12.2" customHeight="1" x14ac:dyDescent="0.15">
      <c r="A596" s="103" t="s">
        <v>652</v>
      </c>
      <c r="B596" s="22">
        <v>23</v>
      </c>
      <c r="C596" s="22">
        <v>5</v>
      </c>
      <c r="D596" s="2" t="s">
        <v>432</v>
      </c>
      <c r="E596" s="22"/>
      <c r="F596" s="78">
        <v>2725</v>
      </c>
      <c r="G596" s="79" t="s">
        <v>97</v>
      </c>
      <c r="H596" s="18">
        <f>286.94+616.54+174.6+198.35+233.75</f>
        <v>1510.1799999999998</v>
      </c>
      <c r="I596" s="18">
        <v>3232.05</v>
      </c>
      <c r="J596" s="18">
        <v>5503.22</v>
      </c>
      <c r="K596" s="80">
        <f t="shared" si="50"/>
        <v>10245.450000000001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939.03</v>
      </c>
      <c r="I598" s="18">
        <v>255.09</v>
      </c>
      <c r="J598" s="18">
        <v>495.01</v>
      </c>
      <c r="K598" s="80">
        <f t="shared" si="50"/>
        <v>1689.1299999999999</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1133218.74</v>
      </c>
      <c r="I599" s="81">
        <f>SUM(I592:I598)</f>
        <v>373091.58</v>
      </c>
      <c r="J599" s="81">
        <f>SUM(J592:J598)</f>
        <v>754426.06</v>
      </c>
      <c r="K599" s="81">
        <f>SUM(K592:K598)</f>
        <v>2260736.38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130543.01</v>
      </c>
      <c r="I605" s="18">
        <f>J230+J310</f>
        <v>43085.91</v>
      </c>
      <c r="J605" s="18">
        <f>J248+J329</f>
        <v>83611.679999999993</v>
      </c>
      <c r="K605" s="80">
        <f>SUM(H605:J605)</f>
        <v>257240.59999999998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130543.01</v>
      </c>
      <c r="I606" s="81">
        <f>SUM(I603:I605)</f>
        <v>43085.91</v>
      </c>
      <c r="J606" s="81">
        <f>SUM(J603:J605)</f>
        <v>83611.679999999993</v>
      </c>
      <c r="K606" s="81">
        <f>SUM(K603:K605)</f>
        <v>257240.59999999998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2347127.7599999998</v>
      </c>
      <c r="H618" s="80">
        <f>SUM(F52)</f>
        <v>2347127.7599999998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347663.46</v>
      </c>
      <c r="H619" s="80">
        <f>SUM(G52)</f>
        <v>347663.45999999996</v>
      </c>
      <c r="I619" s="87" t="s">
        <v>872</v>
      </c>
      <c r="J619" s="80">
        <f>G619-H619</f>
        <v>0</v>
      </c>
      <c r="K619" s="80"/>
      <c r="L619" s="80"/>
      <c r="M619" s="8"/>
    </row>
    <row r="620" spans="1:14" s="3" customFormat="1" ht="12.2" customHeight="1" x14ac:dyDescent="0.15">
      <c r="A620" s="74"/>
      <c r="B620" s="22"/>
      <c r="C620" s="22"/>
      <c r="D620" s="22"/>
      <c r="E620" s="22"/>
      <c r="F620" s="87" t="s">
        <v>685</v>
      </c>
      <c r="G620" s="80">
        <f>SUM(H19)</f>
        <v>575317.76000000001</v>
      </c>
      <c r="H620" s="80">
        <f>SUM(H52)</f>
        <v>575317.76000000001</v>
      </c>
      <c r="I620" s="87" t="s">
        <v>873</v>
      </c>
      <c r="J620" s="80">
        <f>G620-H620</f>
        <v>0</v>
      </c>
      <c r="K620" s="80"/>
      <c r="L620" s="80"/>
      <c r="M620" s="8"/>
    </row>
    <row r="621" spans="1:14" s="3" customFormat="1" ht="12.2" customHeight="1" x14ac:dyDescent="0.15">
      <c r="A621" s="74"/>
      <c r="B621" s="22"/>
      <c r="C621" s="22"/>
      <c r="D621" s="22"/>
      <c r="E621" s="22"/>
      <c r="F621" s="87" t="s">
        <v>686</v>
      </c>
      <c r="G621" s="80">
        <f>SUM(I19)</f>
        <v>21805893.199999999</v>
      </c>
      <c r="H621" s="80">
        <f>SUM(I52)</f>
        <v>21805893.199999999</v>
      </c>
      <c r="I621" s="87" t="s">
        <v>874</v>
      </c>
      <c r="J621" s="80">
        <f>G621-H621</f>
        <v>0</v>
      </c>
      <c r="K621" s="80"/>
      <c r="L621" s="80"/>
      <c r="M621" s="8"/>
    </row>
    <row r="622" spans="1:14" s="3" customFormat="1" ht="12.2" customHeight="1" x14ac:dyDescent="0.15">
      <c r="A622" s="74"/>
      <c r="B622" s="22"/>
      <c r="C622" s="22"/>
      <c r="D622" s="22"/>
      <c r="E622" s="22"/>
      <c r="F622" s="87" t="s">
        <v>687</v>
      </c>
      <c r="G622" s="80">
        <f>SUM(J19)</f>
        <v>686123.77</v>
      </c>
      <c r="H622" s="80">
        <f>SUM(J52)</f>
        <v>686123.77</v>
      </c>
      <c r="I622" s="87" t="s">
        <v>875</v>
      </c>
      <c r="J622" s="80">
        <f>G622-H622</f>
        <v>0</v>
      </c>
      <c r="K622" s="80"/>
      <c r="L622" s="80"/>
      <c r="M622" s="8"/>
    </row>
    <row r="623" spans="1:14" s="3" customFormat="1" ht="12.2" customHeight="1" x14ac:dyDescent="0.15">
      <c r="A623" s="74"/>
      <c r="B623" s="22"/>
      <c r="C623" s="22"/>
      <c r="D623" s="22"/>
      <c r="E623" s="22"/>
      <c r="F623" s="87" t="s">
        <v>861</v>
      </c>
      <c r="G623" s="80">
        <f>F51</f>
        <v>264227.76</v>
      </c>
      <c r="H623" s="80">
        <f>F477</f>
        <v>264227.75999999791</v>
      </c>
      <c r="I623" s="87" t="s">
        <v>101</v>
      </c>
      <c r="J623" s="80">
        <f t="shared" ref="J623:J656" si="52">G623-H623</f>
        <v>2.0954757928848267E-9</v>
      </c>
      <c r="K623" s="80"/>
      <c r="L623" s="80"/>
      <c r="M623" s="8"/>
    </row>
    <row r="624" spans="1:14" s="3" customFormat="1" ht="12.2" customHeight="1" x14ac:dyDescent="0.15">
      <c r="A624" s="74"/>
      <c r="B624" s="22"/>
      <c r="C624" s="85"/>
      <c r="D624" s="85"/>
      <c r="E624" s="85"/>
      <c r="F624" s="85" t="s">
        <v>862</v>
      </c>
      <c r="G624" s="80">
        <f>G51</f>
        <v>232553.46</v>
      </c>
      <c r="H624" s="80">
        <f>G477</f>
        <v>232553.45999999996</v>
      </c>
      <c r="I624" s="87" t="s">
        <v>102</v>
      </c>
      <c r="J624" s="80">
        <f t="shared" si="52"/>
        <v>0</v>
      </c>
      <c r="K624" s="80"/>
      <c r="L624" s="80"/>
      <c r="M624" s="8"/>
    </row>
    <row r="625" spans="1:13" s="3" customFormat="1" ht="12.2" customHeight="1" x14ac:dyDescent="0.15">
      <c r="A625" s="74"/>
      <c r="B625" s="22"/>
      <c r="C625" s="22"/>
      <c r="D625" s="22"/>
      <c r="E625" s="22"/>
      <c r="F625" s="86" t="s">
        <v>863</v>
      </c>
      <c r="G625" s="80">
        <f>H51</f>
        <v>3888.76</v>
      </c>
      <c r="H625" s="80">
        <f>H477</f>
        <v>3888.7600000002421</v>
      </c>
      <c r="I625" s="87" t="s">
        <v>103</v>
      </c>
      <c r="J625" s="80">
        <f t="shared" si="52"/>
        <v>-2.4192559067159891E-10</v>
      </c>
      <c r="K625" s="80"/>
      <c r="L625" s="80"/>
      <c r="M625" s="8"/>
    </row>
    <row r="626" spans="1:13" s="3" customFormat="1" ht="12.2" customHeight="1" x14ac:dyDescent="0.15">
      <c r="A626" s="74"/>
      <c r="B626" s="22"/>
      <c r="C626" s="22"/>
      <c r="D626" s="22"/>
      <c r="E626" s="22"/>
      <c r="F626" s="86" t="s">
        <v>864</v>
      </c>
      <c r="G626" s="80">
        <f>I51</f>
        <v>21233031.199999999</v>
      </c>
      <c r="H626" s="80">
        <f>I477</f>
        <v>21233031.199999999</v>
      </c>
      <c r="I626" s="87" t="s">
        <v>104</v>
      </c>
      <c r="J626" s="80">
        <f t="shared" si="52"/>
        <v>0</v>
      </c>
      <c r="K626" s="80"/>
      <c r="L626" s="80"/>
      <c r="M626" s="8"/>
    </row>
    <row r="627" spans="1:13" s="3" customFormat="1" ht="12.2" customHeight="1" x14ac:dyDescent="0.15">
      <c r="A627" s="21"/>
      <c r="B627" s="22"/>
      <c r="C627" s="22"/>
      <c r="D627" s="22"/>
      <c r="E627" s="22"/>
      <c r="F627" s="86" t="s">
        <v>865</v>
      </c>
      <c r="G627" s="80">
        <f>J51</f>
        <v>686123.77</v>
      </c>
      <c r="H627" s="80">
        <f>J477</f>
        <v>686123.77</v>
      </c>
      <c r="I627" s="87" t="s">
        <v>105</v>
      </c>
      <c r="J627" s="80">
        <f t="shared" si="52"/>
        <v>0</v>
      </c>
      <c r="K627" s="67"/>
      <c r="L627" s="69"/>
      <c r="M627" s="8"/>
    </row>
    <row r="628" spans="1:13" s="3" customFormat="1" ht="12.2" customHeight="1" x14ac:dyDescent="0.15">
      <c r="A628" s="21"/>
      <c r="B628" s="22"/>
      <c r="C628" s="22"/>
      <c r="D628" s="22"/>
      <c r="E628" s="22"/>
      <c r="F628" s="86" t="s">
        <v>658</v>
      </c>
      <c r="G628" s="80">
        <f>F194</f>
        <v>33572593.509999998</v>
      </c>
      <c r="H628" s="80">
        <f>SUM(F469)</f>
        <v>33572593.509999998</v>
      </c>
      <c r="I628" s="87" t="s">
        <v>106</v>
      </c>
      <c r="J628" s="80">
        <f>G628-H628</f>
        <v>0</v>
      </c>
      <c r="K628" s="67"/>
      <c r="L628" s="69"/>
      <c r="M628" s="8"/>
    </row>
    <row r="629" spans="1:13" s="3" customFormat="1" ht="12.2" customHeight="1" x14ac:dyDescent="0.15">
      <c r="A629" s="21"/>
      <c r="B629" s="22"/>
      <c r="C629" s="22"/>
      <c r="D629" s="22"/>
      <c r="E629" s="22"/>
      <c r="F629" s="86" t="s">
        <v>659</v>
      </c>
      <c r="G629" s="80">
        <f>G194</f>
        <v>1030204.66</v>
      </c>
      <c r="H629" s="80">
        <f>SUM(G469)</f>
        <v>1030204.66</v>
      </c>
      <c r="I629" s="87" t="s">
        <v>107</v>
      </c>
      <c r="J629" s="80">
        <f>G629-H629</f>
        <v>0</v>
      </c>
      <c r="K629" s="67"/>
      <c r="L629" s="69"/>
      <c r="M629" s="8"/>
    </row>
    <row r="630" spans="1:13" s="3" customFormat="1" ht="12.2" customHeight="1" x14ac:dyDescent="0.15">
      <c r="A630" s="21"/>
      <c r="B630" s="22"/>
      <c r="C630" s="22"/>
      <c r="D630" s="22"/>
      <c r="E630" s="22"/>
      <c r="F630" s="86" t="s">
        <v>660</v>
      </c>
      <c r="G630" s="80">
        <f>H194</f>
        <v>3711986.48</v>
      </c>
      <c r="H630" s="80">
        <f>SUM(H469)</f>
        <v>3711986.48</v>
      </c>
      <c r="I630" s="87" t="s">
        <v>108</v>
      </c>
      <c r="J630" s="80">
        <f>G630-H630</f>
        <v>0</v>
      </c>
      <c r="K630" s="67"/>
      <c r="L630" s="69"/>
      <c r="M630" s="8"/>
    </row>
    <row r="631" spans="1:13" s="3" customFormat="1" ht="12.2" customHeight="1" x14ac:dyDescent="0.15">
      <c r="A631" s="21"/>
      <c r="B631" s="22"/>
      <c r="C631" s="22"/>
      <c r="D631" s="22"/>
      <c r="E631" s="22"/>
      <c r="F631" s="86" t="s">
        <v>661</v>
      </c>
      <c r="G631" s="80">
        <f>I194</f>
        <v>22854963.699999999</v>
      </c>
      <c r="H631" s="80">
        <f>SUM(I469)</f>
        <v>22854963.699999999</v>
      </c>
      <c r="I631" s="87" t="s">
        <v>109</v>
      </c>
      <c r="J631" s="80">
        <f>G631-H631</f>
        <v>0</v>
      </c>
      <c r="K631" s="67"/>
      <c r="L631" s="69"/>
      <c r="M631" s="8"/>
    </row>
    <row r="632" spans="1:13" s="3" customFormat="1" ht="12.2" customHeight="1" x14ac:dyDescent="0.15">
      <c r="A632" s="21"/>
      <c r="B632" s="22"/>
      <c r="C632" s="22"/>
      <c r="D632" s="22"/>
      <c r="E632" s="22"/>
      <c r="F632" s="86" t="s">
        <v>662</v>
      </c>
      <c r="G632" s="80">
        <f>J194</f>
        <v>92851.760000000009</v>
      </c>
      <c r="H632" s="80">
        <f>SUM(J469)</f>
        <v>92851.760000000009</v>
      </c>
      <c r="I632" s="87" t="s">
        <v>110</v>
      </c>
      <c r="J632" s="80">
        <f>G632-H632</f>
        <v>0</v>
      </c>
      <c r="K632" s="67"/>
      <c r="L632" s="69"/>
      <c r="M632" s="8"/>
    </row>
    <row r="633" spans="1:13" s="3" customFormat="1" ht="12.2" customHeight="1" x14ac:dyDescent="0.15">
      <c r="A633" s="21"/>
      <c r="B633" s="22"/>
      <c r="C633" s="22"/>
      <c r="D633" s="22"/>
      <c r="E633" s="22"/>
      <c r="F633" s="86" t="s">
        <v>394</v>
      </c>
      <c r="G633" s="80">
        <f>SUM(L272)</f>
        <v>34450303.75</v>
      </c>
      <c r="H633" s="80">
        <f>SUM(F473)</f>
        <v>34450303.75</v>
      </c>
      <c r="I633" s="87" t="s">
        <v>111</v>
      </c>
      <c r="J633" s="80">
        <f t="shared" si="52"/>
        <v>0</v>
      </c>
      <c r="K633" s="67"/>
      <c r="L633" s="69"/>
      <c r="M633" s="8"/>
    </row>
    <row r="634" spans="1:13" s="3" customFormat="1" ht="12.2" customHeight="1" x14ac:dyDescent="0.15">
      <c r="A634" s="21"/>
      <c r="B634" s="22"/>
      <c r="C634" s="22"/>
      <c r="D634" s="22"/>
      <c r="E634" s="22"/>
      <c r="F634" s="86" t="s">
        <v>395</v>
      </c>
      <c r="G634" s="80">
        <f>SUM(L353)</f>
        <v>3708097.7199999997</v>
      </c>
      <c r="H634" s="80">
        <f>SUM(H473)</f>
        <v>3708097.7199999997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436224.03</v>
      </c>
      <c r="H635" s="80">
        <f>I370</f>
        <v>436224.03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1478456.23</v>
      </c>
      <c r="H636" s="80">
        <f>SUM(G473)</f>
        <v>1478456.23</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2688946.5</v>
      </c>
      <c r="H637" s="80">
        <f>SUM(I473)</f>
        <v>2688946.5</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92851.760000000009</v>
      </c>
      <c r="H638" s="108">
        <f>SUM(J469)</f>
        <v>92851.760000000009</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62367</v>
      </c>
      <c r="H639" s="108">
        <f>SUM(J473)</f>
        <v>62367</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686123.77</v>
      </c>
      <c r="H641" s="80">
        <f>SUM(G462)</f>
        <v>686123.77</v>
      </c>
      <c r="I641" s="87" t="s">
        <v>838</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2"/>
        <v>0</v>
      </c>
      <c r="K642" s="67"/>
      <c r="L642" s="69"/>
      <c r="M642" s="8"/>
    </row>
    <row r="643" spans="1:13" s="3" customFormat="1" ht="12.2" customHeight="1" x14ac:dyDescent="0.15">
      <c r="A643" s="21"/>
      <c r="B643" s="22"/>
      <c r="C643" s="22"/>
      <c r="D643" s="22"/>
      <c r="E643" s="22"/>
      <c r="F643" s="86" t="s">
        <v>121</v>
      </c>
      <c r="G643" s="80">
        <f>SUM(I447)</f>
        <v>686123.77</v>
      </c>
      <c r="H643" s="80">
        <f>SUM(I462)</f>
        <v>686123.77</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42850.76</v>
      </c>
      <c r="H645" s="80">
        <f>H409</f>
        <v>42850.76</v>
      </c>
      <c r="I645" s="87" t="s">
        <v>480</v>
      </c>
      <c r="J645" s="80">
        <f t="shared" si="52"/>
        <v>0</v>
      </c>
      <c r="K645" s="67"/>
      <c r="L645" s="69"/>
      <c r="M645" s="8"/>
    </row>
    <row r="646" spans="1:13" s="3" customFormat="1" ht="12.2" customHeight="1" x14ac:dyDescent="0.15">
      <c r="A646" s="21"/>
      <c r="B646" s="22"/>
      <c r="C646" s="22"/>
      <c r="D646" s="22"/>
      <c r="E646" s="22"/>
      <c r="F646" s="86" t="s">
        <v>664</v>
      </c>
      <c r="G646" s="80">
        <f>J184</f>
        <v>50001</v>
      </c>
      <c r="H646" s="80">
        <f>G409</f>
        <v>50001</v>
      </c>
      <c r="I646" s="87" t="s">
        <v>481</v>
      </c>
      <c r="J646" s="80">
        <f t="shared" si="52"/>
        <v>0</v>
      </c>
      <c r="K646" s="67"/>
      <c r="L646" s="69"/>
      <c r="M646" s="8"/>
    </row>
    <row r="647" spans="1:13" s="3" customFormat="1" ht="12.2" customHeight="1" x14ac:dyDescent="0.15">
      <c r="A647" s="21"/>
      <c r="B647" s="22"/>
      <c r="C647" s="22"/>
      <c r="D647" s="22"/>
      <c r="E647" s="22"/>
      <c r="F647" s="86" t="s">
        <v>662</v>
      </c>
      <c r="G647" s="80">
        <f>J194</f>
        <v>92851.760000000009</v>
      </c>
      <c r="H647" s="80">
        <f>L409</f>
        <v>92851.760000000009</v>
      </c>
      <c r="I647" s="87" t="s">
        <v>477</v>
      </c>
      <c r="J647" s="80">
        <f t="shared" si="52"/>
        <v>0</v>
      </c>
      <c r="K647" s="67"/>
      <c r="L647" s="69"/>
      <c r="M647" s="8"/>
    </row>
    <row r="648" spans="1:13" s="3" customFormat="1" ht="12.2" customHeight="1" x14ac:dyDescent="0.15">
      <c r="A648" s="21"/>
      <c r="B648" s="22"/>
      <c r="C648" s="22"/>
      <c r="D648" s="22"/>
      <c r="E648" s="22"/>
      <c r="F648" s="86" t="s">
        <v>51</v>
      </c>
      <c r="G648" s="80">
        <f>K599</f>
        <v>2260736.38</v>
      </c>
      <c r="H648" s="80">
        <f>L209+L227+L245</f>
        <v>2260736.3800000004</v>
      </c>
      <c r="I648" s="87" t="s">
        <v>396</v>
      </c>
      <c r="J648" s="80">
        <f t="shared" si="52"/>
        <v>0</v>
      </c>
      <c r="K648" s="67"/>
      <c r="L648" s="69"/>
      <c r="M648" s="8"/>
    </row>
    <row r="649" spans="1:13" s="3" customFormat="1" ht="12.2" customHeight="1" x14ac:dyDescent="0.15">
      <c r="A649" s="21"/>
      <c r="B649" s="22"/>
      <c r="C649" s="22"/>
      <c r="D649" s="22"/>
      <c r="E649" s="22"/>
      <c r="F649" s="86" t="s">
        <v>52</v>
      </c>
      <c r="G649" s="80">
        <f>K606</f>
        <v>257240.59999999998</v>
      </c>
      <c r="H649" s="80">
        <f>(J258+J339)-(J256+J337)</f>
        <v>257240.59999999998</v>
      </c>
      <c r="I649" s="87" t="s">
        <v>699</v>
      </c>
      <c r="J649" s="80">
        <f t="shared" si="52"/>
        <v>0</v>
      </c>
      <c r="K649" s="67"/>
      <c r="L649" s="69"/>
      <c r="M649" s="8"/>
    </row>
    <row r="650" spans="1:13" s="3" customFormat="1" ht="12.2" customHeight="1" x14ac:dyDescent="0.15">
      <c r="A650" s="21"/>
      <c r="B650" s="22"/>
      <c r="C650" s="22"/>
      <c r="D650" s="22"/>
      <c r="E650" s="22"/>
      <c r="F650" s="86" t="s">
        <v>387</v>
      </c>
      <c r="G650" s="80">
        <f>L209</f>
        <v>1133218.7400000002</v>
      </c>
      <c r="H650" s="80">
        <f>H599</f>
        <v>1133218.74</v>
      </c>
      <c r="I650" s="87" t="s">
        <v>388</v>
      </c>
      <c r="J650" s="80">
        <f t="shared" si="52"/>
        <v>0</v>
      </c>
      <c r="K650" s="67"/>
      <c r="L650" s="69"/>
      <c r="M650" s="8"/>
    </row>
    <row r="651" spans="1:13" s="3" customFormat="1" ht="12.2" customHeight="1" x14ac:dyDescent="0.15">
      <c r="A651" s="21"/>
      <c r="B651" s="22"/>
      <c r="C651" s="22"/>
      <c r="D651" s="22"/>
      <c r="E651" s="22"/>
      <c r="F651" s="86" t="s">
        <v>392</v>
      </c>
      <c r="G651" s="80">
        <f>L227</f>
        <v>373091.58</v>
      </c>
      <c r="H651" s="80">
        <f>I599</f>
        <v>373091.58</v>
      </c>
      <c r="I651" s="87" t="s">
        <v>389</v>
      </c>
      <c r="J651" s="80">
        <f t="shared" si="52"/>
        <v>0</v>
      </c>
      <c r="K651" s="67"/>
      <c r="L651" s="69"/>
      <c r="M651" s="8"/>
    </row>
    <row r="652" spans="1:13" s="3" customFormat="1" ht="12.2" customHeight="1" x14ac:dyDescent="0.15">
      <c r="A652" s="21"/>
      <c r="B652" s="22"/>
      <c r="C652" s="22"/>
      <c r="D652" s="22"/>
      <c r="E652" s="22"/>
      <c r="F652" s="86" t="s">
        <v>393</v>
      </c>
      <c r="G652" s="80">
        <f>L245</f>
        <v>754426.06</v>
      </c>
      <c r="H652" s="80">
        <f>J599</f>
        <v>754426.06</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385000</v>
      </c>
      <c r="H655" s="80">
        <f>K266+K347</f>
        <v>385000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50001</v>
      </c>
      <c r="H656" s="80">
        <f>K267+K348</f>
        <v>50001</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21751588.82</v>
      </c>
      <c r="G661" s="13">
        <f>(L230+L310+L360)</f>
        <v>5706864.8899999997</v>
      </c>
      <c r="H661" s="13">
        <f>(L248+L329+L361)</f>
        <v>11172591.83</v>
      </c>
      <c r="I661" s="13">
        <f>SUM(F661:H661)</f>
        <v>38631045.539999999</v>
      </c>
      <c r="J661" s="13"/>
      <c r="K661" s="13"/>
      <c r="L661" s="13"/>
      <c r="M661" s="9"/>
    </row>
    <row r="662" spans="1:13" s="3" customFormat="1" ht="12.2" customHeight="1" x14ac:dyDescent="0.2">
      <c r="A662" s="1" t="s">
        <v>127</v>
      </c>
      <c r="F662" s="13">
        <f>(L359/IF(SUM(L359:L361)=0,1,SUM(L359:L361))*(SUM(G97:G110)))</f>
        <v>263676.01418215665</v>
      </c>
      <c r="G662" s="13">
        <f>(L360/IF(SUM(L359:L361)=0,1,SUM(L359:L361))*(SUM(G97:G110)))</f>
        <v>71626.776296998127</v>
      </c>
      <c r="H662" s="13">
        <f>(L361/IF(SUM(L359:L361)=0,1,SUM(L359:L361))*(SUM(G97:G110)))</f>
        <v>138997.53952084528</v>
      </c>
      <c r="I662" s="13">
        <f>SUM(F662:H662)</f>
        <v>474300.33000000007</v>
      </c>
      <c r="J662"/>
      <c r="K662" s="13"/>
      <c r="L662" s="13"/>
      <c r="M662" s="8"/>
    </row>
    <row r="663" spans="1:13" s="3" customFormat="1" ht="12.2" customHeight="1" x14ac:dyDescent="0.2">
      <c r="A663" s="1" t="s">
        <v>128</v>
      </c>
      <c r="F663" s="13">
        <f>(L209+L288)-(J209+J288)</f>
        <v>1150756.3300000003</v>
      </c>
      <c r="G663" s="13">
        <f>(L227+L307)-(J227+J307)</f>
        <v>392805.61</v>
      </c>
      <c r="H663" s="13">
        <f>(L245+L326)-(J245+J326)</f>
        <v>763671.05</v>
      </c>
      <c r="I663" s="13">
        <f>SUM(F663:H663)</f>
        <v>2307232.9900000002</v>
      </c>
      <c r="J663"/>
      <c r="K663" s="13"/>
      <c r="L663" s="13"/>
      <c r="M663" s="9"/>
    </row>
    <row r="664" spans="1:13" s="3" customFormat="1" ht="12.2" customHeight="1" x14ac:dyDescent="0.15">
      <c r="A664" s="141" t="s">
        <v>129</v>
      </c>
      <c r="B664" s="124"/>
      <c r="C664" s="124"/>
      <c r="D664" s="124"/>
      <c r="E664" s="124"/>
      <c r="F664" s="142">
        <f>SUM(F576:F588)+SUM(H603:H605)+SUM(L612)</f>
        <v>1696596.23</v>
      </c>
      <c r="G664" s="142">
        <f>SUM(G576:G588)+SUM(I603:I605)+L613</f>
        <v>468499.46000000008</v>
      </c>
      <c r="H664" s="142">
        <f>SUM(H576:H588)+SUM(J603:J605)+L614</f>
        <v>970376.72</v>
      </c>
      <c r="I664" s="13">
        <f>SUM(F664:H664)</f>
        <v>3135472.41</v>
      </c>
      <c r="J664" s="13"/>
      <c r="K664" s="13"/>
      <c r="L664" s="13"/>
      <c r="M664" s="9"/>
    </row>
    <row r="665" spans="1:13" s="3" customFormat="1" ht="12.2" customHeight="1" x14ac:dyDescent="0.15">
      <c r="A665" s="1" t="s">
        <v>130</v>
      </c>
      <c r="F665" s="13">
        <f>F661-SUM(F662:F664)</f>
        <v>18640560.245817844</v>
      </c>
      <c r="G665" s="13">
        <f>G661-SUM(G662:G664)</f>
        <v>4773933.043703001</v>
      </c>
      <c r="H665" s="13">
        <f>H661-SUM(H662:H664)</f>
        <v>9299546.5204791538</v>
      </c>
      <c r="I665" s="13">
        <f>I661-SUM(I662:I664)</f>
        <v>32714039.809999999</v>
      </c>
      <c r="J665" s="13"/>
      <c r="K665" s="13"/>
      <c r="L665" s="13"/>
      <c r="M665" s="8"/>
    </row>
    <row r="666" spans="1:13" s="3" customFormat="1" ht="12.2" customHeight="1" x14ac:dyDescent="0.2">
      <c r="A666" s="1" t="s">
        <v>131</v>
      </c>
      <c r="F666" s="182">
        <v>870.53</v>
      </c>
      <c r="G666" s="183">
        <v>250.47</v>
      </c>
      <c r="H666" s="183">
        <v>431.59</v>
      </c>
      <c r="I666" s="13">
        <f>SUM(F666:H666)</f>
        <v>1552.59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21412.89</v>
      </c>
      <c r="G668" s="13">
        <f>ROUND(G665/G666,2)</f>
        <v>19059.900000000001</v>
      </c>
      <c r="H668" s="13">
        <f>ROUND(H665/H666,2)</f>
        <v>21547.18</v>
      </c>
      <c r="I668" s="13">
        <f>ROUND(I665/I666,2)</f>
        <v>21070.62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v>-13.05</v>
      </c>
      <c r="I671" s="13">
        <f>SUM(F671:H671)</f>
        <v>-13.05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21412.89</v>
      </c>
      <c r="G673" s="13">
        <f>ROUND((G665+G670)/(G666+G671),2)</f>
        <v>19059.900000000001</v>
      </c>
      <c r="H673" s="13">
        <f>ROUND((H665+H670)/(H666+H671),2)</f>
        <v>22219.01</v>
      </c>
      <c r="I673" s="13">
        <f>ROUND((I665+I670)/(I666+I671),2)</f>
        <v>21249.23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951682.97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7078.86+113096.79+18350</f>
        <v>138525.65</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28830</v>
      </c>
      <c r="F13" s="271" t="s">
        <v>1614</v>
      </c>
    </row>
    <row r="14" spans="2:8" x14ac:dyDescent="0.25">
      <c r="B14" s="270"/>
      <c r="C14" s="270"/>
      <c r="D14" s="271"/>
      <c r="E14" s="270"/>
      <c r="F14" s="270"/>
    </row>
    <row r="15" spans="2:8" x14ac:dyDescent="0.25">
      <c r="B15" s="270"/>
      <c r="C15" s="271" t="s">
        <v>1608</v>
      </c>
      <c r="D15" s="271" t="s">
        <v>1621</v>
      </c>
      <c r="E15" s="259">
        <f>293.65+78955.3+20919.82+674090.45</f>
        <v>774259.22</v>
      </c>
      <c r="F15" s="271" t="s">
        <v>1615</v>
      </c>
    </row>
    <row r="16" spans="2:8" x14ac:dyDescent="0.25">
      <c r="B16" s="270"/>
      <c r="C16" s="270"/>
      <c r="D16" s="270"/>
      <c r="E16" s="270"/>
      <c r="F16" s="270"/>
    </row>
    <row r="17" spans="2:8" x14ac:dyDescent="0.25">
      <c r="B17" s="270"/>
      <c r="C17" s="271" t="s">
        <v>1607</v>
      </c>
      <c r="D17" s="271" t="s">
        <v>1622</v>
      </c>
      <c r="E17" s="259">
        <v>10068.1</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Monadnock Regional</v>
      </c>
      <c r="C5" s="321"/>
      <c r="D5" s="321"/>
      <c r="E5" s="321"/>
      <c r="F5" s="321"/>
    </row>
    <row r="8" spans="1:9" ht="18" x14ac:dyDescent="0.25">
      <c r="A8" s="239" t="s">
        <v>1548</v>
      </c>
      <c r="F8" s="246" t="s">
        <v>1566</v>
      </c>
    </row>
    <row r="9" spans="1:9" ht="15" x14ac:dyDescent="0.2">
      <c r="A9" s="237" t="s">
        <v>1549</v>
      </c>
      <c r="B9" s="240">
        <f>'DOE25'!G97</f>
        <v>474300.33</v>
      </c>
      <c r="F9" s="237" t="s">
        <v>1562</v>
      </c>
    </row>
    <row r="10" spans="1:9" ht="15" x14ac:dyDescent="0.2">
      <c r="A10" s="237" t="s">
        <v>1550</v>
      </c>
      <c r="B10" s="240">
        <f>'DOE25'!G112-'DOE25'!G97</f>
        <v>0</v>
      </c>
      <c r="F10" s="237" t="s">
        <v>1563</v>
      </c>
    </row>
    <row r="11" spans="1:9" ht="15" x14ac:dyDescent="0.2">
      <c r="A11" s="237" t="s">
        <v>1551</v>
      </c>
      <c r="B11" s="240">
        <f>'DOE25'!G140</f>
        <v>14525.05</v>
      </c>
      <c r="F11" s="237" t="s">
        <v>1564</v>
      </c>
    </row>
    <row r="12" spans="1:9" ht="15" x14ac:dyDescent="0.2">
      <c r="A12" s="237" t="s">
        <v>1552</v>
      </c>
      <c r="B12" s="240">
        <f>'DOE25'!G170</f>
        <v>541379.28</v>
      </c>
      <c r="F12" s="237" t="s">
        <v>1565</v>
      </c>
    </row>
    <row r="13" spans="1:9" ht="15" x14ac:dyDescent="0.2">
      <c r="A13" s="237" t="s">
        <v>1553</v>
      </c>
      <c r="B13" s="240">
        <f>'DOE25'!G193-'DOE25'!G180</f>
        <v>0</v>
      </c>
      <c r="F13" s="237" t="s">
        <v>1575</v>
      </c>
    </row>
    <row r="14" spans="1:9" ht="18" x14ac:dyDescent="0.25">
      <c r="A14" s="239" t="s">
        <v>732</v>
      </c>
      <c r="B14" s="241">
        <f>SUM(B9:B13)</f>
        <v>1030204.66</v>
      </c>
    </row>
    <row r="16" spans="1:9" ht="18" x14ac:dyDescent="0.25">
      <c r="A16" s="239" t="s">
        <v>783</v>
      </c>
      <c r="F16" s="246" t="s">
        <v>1567</v>
      </c>
    </row>
    <row r="17" spans="1:6" ht="15" x14ac:dyDescent="0.2">
      <c r="A17" s="237" t="s">
        <v>1554</v>
      </c>
      <c r="B17" s="240">
        <f>'DOE25'!L363-'DOE25'!L362</f>
        <v>1478456.23</v>
      </c>
      <c r="F17" s="237" t="s">
        <v>1568</v>
      </c>
    </row>
    <row r="18" spans="1:6" ht="15" x14ac:dyDescent="0.2">
      <c r="A18" s="237" t="s">
        <v>1555</v>
      </c>
      <c r="B18" s="250"/>
      <c r="F18" s="246" t="s">
        <v>1592</v>
      </c>
    </row>
    <row r="19" spans="1:6" ht="18" x14ac:dyDescent="0.25">
      <c r="A19" s="239" t="s">
        <v>725</v>
      </c>
      <c r="B19" s="241">
        <f>SUM(B17:B18)</f>
        <v>1478456.23</v>
      </c>
    </row>
    <row r="21" spans="1:6" ht="18.75" thickBot="1" x14ac:dyDescent="0.3">
      <c r="A21" s="239" t="s">
        <v>1556</v>
      </c>
    </row>
    <row r="22" spans="1:6" ht="18.75" thickTop="1" x14ac:dyDescent="0.25">
      <c r="A22" s="239" t="s">
        <v>1557</v>
      </c>
      <c r="B22" s="245">
        <f>B14-B19</f>
        <v>-448251.56999999995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680805.03</v>
      </c>
      <c r="F31" s="237" t="s">
        <v>1572</v>
      </c>
    </row>
    <row r="33" spans="1:6" ht="15" x14ac:dyDescent="0.2">
      <c r="A33" s="237" t="s">
        <v>1790</v>
      </c>
      <c r="B33" s="240">
        <f>'DOE25'!G477</f>
        <v>232553.45999999996</v>
      </c>
      <c r="F33" s="237" t="s">
        <v>1573</v>
      </c>
    </row>
    <row r="36" spans="1:6" ht="15" x14ac:dyDescent="0.2">
      <c r="A36" s="237" t="s">
        <v>1559</v>
      </c>
      <c r="B36" s="251">
        <v>73758.61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V21" sqref="V2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Monadnock Regional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7131725.0800000001</v>
      </c>
      <c r="C9" s="166">
        <f>'DOE25'!G198+'DOE25'!G216+'DOE25'!G234+'DOE25'!G277+'DOE25'!G296+'DOE25'!G315</f>
        <v>3944570.9499999997</v>
      </c>
    </row>
    <row r="10" spans="1:3" x14ac:dyDescent="0.2">
      <c r="A10" t="s">
        <v>772</v>
      </c>
      <c r="B10" s="176">
        <v>6692481.0499999998</v>
      </c>
      <c r="C10" s="176">
        <v>3774246.76</v>
      </c>
    </row>
    <row r="11" spans="1:3" x14ac:dyDescent="0.2">
      <c r="A11" t="s">
        <v>773</v>
      </c>
      <c r="B11" s="176">
        <v>268474.03000000003</v>
      </c>
      <c r="C11" s="176">
        <v>157260.28</v>
      </c>
    </row>
    <row r="12" spans="1:3" x14ac:dyDescent="0.2">
      <c r="A12" t="s">
        <v>774</v>
      </c>
      <c r="B12" s="176">
        <v>170770</v>
      </c>
      <c r="C12" s="176">
        <v>13063.91</v>
      </c>
    </row>
    <row r="13" spans="1:3" x14ac:dyDescent="0.2">
      <c r="A13" t="str">
        <f>IF(B9=B13,IF(C9=C13,"Check Total OK","Check Total Error"),"Check Total Error")</f>
        <v>Check Total OK</v>
      </c>
      <c r="B13" s="168">
        <f>SUM(B10:B12)</f>
        <v>7131725.0800000001</v>
      </c>
      <c r="C13" s="168">
        <f>SUM(C10:C12)</f>
        <v>3944570.9499999997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3085522.0400000005</v>
      </c>
      <c r="C18" s="166">
        <f>'DOE25'!G199+'DOE25'!G217+'DOE25'!G235+'DOE25'!G278+'DOE25'!G297+'DOE25'!G316</f>
        <v>2357129.3300000005</v>
      </c>
    </row>
    <row r="19" spans="1:3" x14ac:dyDescent="0.2">
      <c r="A19" t="s">
        <v>772</v>
      </c>
      <c r="B19" s="176">
        <v>1274425.1299999999</v>
      </c>
      <c r="C19" s="176">
        <v>973494.41</v>
      </c>
    </row>
    <row r="20" spans="1:3" x14ac:dyDescent="0.2">
      <c r="A20" t="s">
        <v>773</v>
      </c>
      <c r="B20" s="176">
        <v>1521168.36</v>
      </c>
      <c r="C20" s="176">
        <v>1162064.76</v>
      </c>
    </row>
    <row r="21" spans="1:3" x14ac:dyDescent="0.2">
      <c r="A21" t="s">
        <v>774</v>
      </c>
      <c r="B21" s="176">
        <v>289928.55</v>
      </c>
      <c r="C21" s="176">
        <v>221570.16</v>
      </c>
    </row>
    <row r="22" spans="1:3" x14ac:dyDescent="0.2">
      <c r="A22" t="str">
        <f>IF(B18=B22,IF(C18=C22,"Check Total OK","Check Total Error"),"Check Total Error")</f>
        <v>Check Total OK</v>
      </c>
      <c r="B22" s="168">
        <f>SUM(B19:B21)</f>
        <v>3085522.04</v>
      </c>
      <c r="C22" s="168">
        <f>SUM(C19:C21)</f>
        <v>2357129.33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725930.4</v>
      </c>
      <c r="C36" s="172">
        <f>'DOE25'!G201+'DOE25'!G219+'DOE25'!G237+'DOE25'!G280+'DOE25'!G299+'DOE25'!G318</f>
        <v>203794.56</v>
      </c>
    </row>
    <row r="37" spans="1:3" x14ac:dyDescent="0.2">
      <c r="A37" t="s">
        <v>772</v>
      </c>
      <c r="B37" s="176">
        <v>17725</v>
      </c>
      <c r="C37" s="176">
        <v>4837.1499999999996</v>
      </c>
    </row>
    <row r="38" spans="1:3" x14ac:dyDescent="0.2">
      <c r="A38" t="s">
        <v>773</v>
      </c>
      <c r="B38" s="176"/>
      <c r="C38" s="176"/>
    </row>
    <row r="39" spans="1:3" x14ac:dyDescent="0.2">
      <c r="A39" t="s">
        <v>774</v>
      </c>
      <c r="B39" s="176">
        <v>708205.4</v>
      </c>
      <c r="C39" s="176">
        <v>198957.41</v>
      </c>
    </row>
    <row r="40" spans="1:3" x14ac:dyDescent="0.2">
      <c r="A40" t="str">
        <f>IF(B36=B40,IF(C36=C40,"Check Total OK","Check Total Error"),"Check Total Error")</f>
        <v>Check Total OK</v>
      </c>
      <c r="B40" s="168">
        <f>SUM(B37:B39)</f>
        <v>725930.4</v>
      </c>
      <c r="C40" s="168">
        <f>SUM(C37:C39)</f>
        <v>203794.56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Monadnock Regional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20959829.280000001</v>
      </c>
      <c r="D5" s="19">
        <f>SUM('DOE25'!L198:L201)+SUM('DOE25'!L216:L219)+SUM('DOE25'!L234:L237)-F5-G5-H5</f>
        <v>20844367.150000002</v>
      </c>
      <c r="E5" s="179"/>
      <c r="F5" s="180"/>
      <c r="G5" s="19">
        <f>SUM('DOE25'!J198:J201)+SUM('DOE25'!J216:J219)+SUM('DOE25'!J234:J237)</f>
        <v>50526.979999999996</v>
      </c>
      <c r="H5" s="19">
        <f>SUM('DOE25'!K198:K201)+SUM('DOE25'!K216:K219)+SUM('DOE25'!K234:K237)</f>
        <v>64935.149999999994</v>
      </c>
      <c r="I5" s="191"/>
    </row>
    <row r="6" spans="1:9" x14ac:dyDescent="0.2">
      <c r="A6" s="31">
        <v>2100</v>
      </c>
      <c r="B6" t="s">
        <v>793</v>
      </c>
      <c r="C6" s="205">
        <f t="shared" si="0"/>
        <v>2153095.36</v>
      </c>
      <c r="D6" s="19">
        <f>'DOE25'!L203+'DOE25'!L221+'DOE25'!L239-F6-G6-H6</f>
        <v>2148951.63</v>
      </c>
      <c r="E6" s="179"/>
      <c r="F6" s="180"/>
      <c r="G6" s="19">
        <f>'DOE25'!J203+'DOE25'!J221+'DOE25'!J239</f>
        <v>0</v>
      </c>
      <c r="H6" s="19">
        <f>'DOE25'!K203+'DOE25'!K221+'DOE25'!K239</f>
        <v>4143.7299999999996</v>
      </c>
      <c r="I6" s="191"/>
    </row>
    <row r="7" spans="1:9" x14ac:dyDescent="0.2">
      <c r="A7" s="31">
        <v>2200</v>
      </c>
      <c r="B7" t="s">
        <v>817</v>
      </c>
      <c r="C7" s="205">
        <f t="shared" si="0"/>
        <v>798517.91999999993</v>
      </c>
      <c r="D7" s="19">
        <f>'DOE25'!L204+'DOE25'!L222+'DOE25'!L240-F7-G7-H7</f>
        <v>795092.64999999991</v>
      </c>
      <c r="E7" s="179"/>
      <c r="F7" s="180"/>
      <c r="G7" s="19">
        <f>'DOE25'!J204+'DOE25'!J222+'DOE25'!J240</f>
        <v>1125.3799999999999</v>
      </c>
      <c r="H7" s="19">
        <f>'DOE25'!K204+'DOE25'!K222+'DOE25'!K240</f>
        <v>2299.89</v>
      </c>
      <c r="I7" s="191"/>
    </row>
    <row r="8" spans="1:9" x14ac:dyDescent="0.2">
      <c r="A8" s="31">
        <v>2300</v>
      </c>
      <c r="B8" t="s">
        <v>794</v>
      </c>
      <c r="C8" s="205">
        <f t="shared" si="0"/>
        <v>597951.42000000004</v>
      </c>
      <c r="D8" s="179"/>
      <c r="E8" s="19">
        <f>'DOE25'!L205+'DOE25'!L223+'DOE25'!L241-F8-G8-H8-D9-D11</f>
        <v>584994.83000000007</v>
      </c>
      <c r="F8" s="180"/>
      <c r="G8" s="19">
        <f>'DOE25'!J205+'DOE25'!J223+'DOE25'!J241</f>
        <v>0</v>
      </c>
      <c r="H8" s="19">
        <f>'DOE25'!K205+'DOE25'!K223+'DOE25'!K241</f>
        <v>12956.59</v>
      </c>
      <c r="I8" s="191"/>
    </row>
    <row r="9" spans="1:9" ht="14.25" x14ac:dyDescent="0.2">
      <c r="A9" s="31">
        <v>2310</v>
      </c>
      <c r="B9" s="71" t="s">
        <v>884</v>
      </c>
      <c r="C9" s="205">
        <f t="shared" si="0"/>
        <v>16700</v>
      </c>
      <c r="D9" s="180">
        <v>16700</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1990880.2000000002</v>
      </c>
      <c r="D12" s="19">
        <f>'DOE25'!L206+'DOE25'!L224+'DOE25'!L242-F12-G12-H12</f>
        <v>1981309.6400000001</v>
      </c>
      <c r="E12" s="179"/>
      <c r="F12" s="180"/>
      <c r="G12" s="19">
        <f>'DOE25'!J206+'DOE25'!J224+'DOE25'!J242</f>
        <v>817.56</v>
      </c>
      <c r="H12" s="19">
        <f>'DOE25'!K206+'DOE25'!K224+'DOE25'!K242</f>
        <v>8753</v>
      </c>
      <c r="I12" s="191"/>
    </row>
    <row r="13" spans="1:9" x14ac:dyDescent="0.2">
      <c r="A13" s="31">
        <v>2500</v>
      </c>
      <c r="B13" t="s">
        <v>795</v>
      </c>
      <c r="C13" s="205">
        <f t="shared" si="0"/>
        <v>890328.51</v>
      </c>
      <c r="D13" s="179"/>
      <c r="E13" s="19">
        <f>'DOE25'!L207+'DOE25'!L225+'DOE25'!L243-F13-G13-H13</f>
        <v>874450.33000000007</v>
      </c>
      <c r="F13" s="180"/>
      <c r="G13" s="19">
        <f>'DOE25'!J207+'DOE25'!J225+'DOE25'!J243</f>
        <v>14899.19</v>
      </c>
      <c r="H13" s="19">
        <f>'DOE25'!K207+'DOE25'!K225+'DOE25'!K243</f>
        <v>978.99</v>
      </c>
      <c r="I13" s="191"/>
    </row>
    <row r="14" spans="1:9" x14ac:dyDescent="0.2">
      <c r="A14" s="31">
        <v>2600</v>
      </c>
      <c r="B14" t="s">
        <v>815</v>
      </c>
      <c r="C14" s="205">
        <f t="shared" si="0"/>
        <v>2541950.92</v>
      </c>
      <c r="D14" s="19">
        <f>'DOE25'!L208+'DOE25'!L226+'DOE25'!L244-F14-G14-H14</f>
        <v>2398530.11</v>
      </c>
      <c r="E14" s="179"/>
      <c r="F14" s="180">
        <f>132514.2+20960.55-25000</f>
        <v>128474.75</v>
      </c>
      <c r="G14" s="19">
        <f>'DOE25'!J208+'DOE25'!J226+'DOE25'!J244</f>
        <v>14237.77</v>
      </c>
      <c r="H14" s="19">
        <f>'DOE25'!K208+'DOE25'!K226+'DOE25'!K244</f>
        <v>708.29</v>
      </c>
      <c r="I14" s="191"/>
    </row>
    <row r="15" spans="1:9" x14ac:dyDescent="0.2">
      <c r="A15" s="31">
        <v>2700</v>
      </c>
      <c r="B15" t="s">
        <v>796</v>
      </c>
      <c r="C15" s="205">
        <f t="shared" si="0"/>
        <v>2260736.3800000004</v>
      </c>
      <c r="D15" s="19">
        <f>'DOE25'!L209+'DOE25'!L227+'DOE25'!L245-F15-G15-H15</f>
        <v>967572.00000000047</v>
      </c>
      <c r="E15" s="179"/>
      <c r="F15" s="180">
        <f>1318164.38-25000</f>
        <v>1293164.3799999999</v>
      </c>
      <c r="G15" s="19">
        <f>'DOE25'!J209+'DOE25'!J227+'DOE25'!J245</f>
        <v>0</v>
      </c>
      <c r="H15" s="19">
        <f>'DOE25'!K209+'DOE25'!K227+'DOE25'!K245</f>
        <v>0</v>
      </c>
      <c r="I15" s="191"/>
    </row>
    <row r="16" spans="1:9" x14ac:dyDescent="0.2">
      <c r="A16" s="31">
        <v>2800</v>
      </c>
      <c r="B16" t="s">
        <v>797</v>
      </c>
      <c r="C16" s="205">
        <f t="shared" si="0"/>
        <v>1313230.43</v>
      </c>
      <c r="D16" s="179"/>
      <c r="E16" s="19">
        <f>'DOE25'!L210+'DOE25'!L228+'DOE25'!L246-F16-G16-H16</f>
        <v>1076223.5999999999</v>
      </c>
      <c r="F16" s="180">
        <f>76620.36-25000+4400+44352.75-25000</f>
        <v>75373.11</v>
      </c>
      <c r="G16" s="19">
        <f>'DOE25'!J210+'DOE25'!J228+'DOE25'!J246</f>
        <v>161633.72</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492082.33</v>
      </c>
      <c r="D25" s="179"/>
      <c r="E25" s="179"/>
      <c r="F25" s="190"/>
      <c r="G25" s="179"/>
      <c r="H25" s="179"/>
      <c r="I25" s="189">
        <f>'DOE25'!L261+'DOE25'!L262+'DOE25'!L342+'DOE25'!L343</f>
        <v>492082.33</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1083886.56</v>
      </c>
      <c r="D29" s="211">
        <f>'DOE25'!L359+'DOE25'!L360+'DOE25'!L361-'DOE25'!I368-F29-G29-H29-F39</f>
        <v>867092.65000000014</v>
      </c>
      <c r="E29" s="179"/>
      <c r="F29" s="179"/>
      <c r="G29" s="19">
        <f>'DOE25'!J359+'DOE25'!J360+'DOE25'!J361</f>
        <v>216160.90999999997</v>
      </c>
      <c r="H29" s="19">
        <f>'DOE25'!K359+'DOE25'!K360+'DOE25'!K361</f>
        <v>633</v>
      </c>
      <c r="I29" s="191"/>
    </row>
    <row r="30" spans="1:9" x14ac:dyDescent="0.2">
      <c r="A30" s="31"/>
      <c r="C30" s="206"/>
      <c r="D30" s="19"/>
      <c r="F30" s="200"/>
      <c r="G30" s="19"/>
      <c r="H30" s="19"/>
      <c r="I30" s="191"/>
    </row>
    <row r="31" spans="1:9" x14ac:dyDescent="0.2">
      <c r="A31" s="31" t="s">
        <v>814</v>
      </c>
      <c r="B31" t="s">
        <v>813</v>
      </c>
      <c r="C31" s="205">
        <f>SUM(D31:I31)</f>
        <v>3629368.8899999997</v>
      </c>
      <c r="D31" s="19">
        <f>'DOE25'!L291+'DOE25'!L310+'DOE25'!L329+'DOE25'!L334+'DOE25'!L335+'DOE25'!L336-F31-G31-H31</f>
        <v>3596867.59</v>
      </c>
      <c r="E31" s="179"/>
      <c r="F31" s="180"/>
      <c r="G31" s="19">
        <f>'DOE25'!J291+'DOE25'!J310+'DOE25'!J329+'DOE25'!J334+'DOE25'!J335+'DOE25'!J336</f>
        <v>14000</v>
      </c>
      <c r="H31" s="19">
        <f>'DOE25'!K291+'DOE25'!K310+'DOE25'!K329+'DOE25'!K334+'DOE25'!K335+'DOE25'!K336</f>
        <v>18501.300000000003</v>
      </c>
      <c r="I31" s="191"/>
    </row>
    <row r="32" spans="1:9" ht="12" thickBot="1" x14ac:dyDescent="0.25">
      <c r="C32" s="206"/>
      <c r="G32" s="187"/>
      <c r="H32" s="187"/>
      <c r="I32" s="193"/>
    </row>
    <row r="33" spans="1:9" ht="12" thickTop="1" x14ac:dyDescent="0.2">
      <c r="B33" t="s">
        <v>806</v>
      </c>
      <c r="D33" s="181">
        <f t="shared" ref="D33:I33" si="1">SUM(D5:D31)</f>
        <v>33616483.420000002</v>
      </c>
      <c r="E33" s="181">
        <f t="shared" si="1"/>
        <v>2535668.7599999998</v>
      </c>
      <c r="F33" s="181">
        <f t="shared" si="1"/>
        <v>1497012.24</v>
      </c>
      <c r="G33" s="181">
        <f t="shared" si="1"/>
        <v>473401.50999999995</v>
      </c>
      <c r="H33" s="181">
        <f t="shared" si="1"/>
        <v>113909.93999999999</v>
      </c>
      <c r="I33" s="181">
        <f t="shared" si="1"/>
        <v>492082.33</v>
      </c>
    </row>
    <row r="34" spans="1:9" ht="12" thickBot="1" x14ac:dyDescent="0.25"/>
    <row r="35" spans="1:9" ht="12" thickBot="1" x14ac:dyDescent="0.25">
      <c r="B35" s="187" t="s">
        <v>827</v>
      </c>
      <c r="D35" s="188">
        <f>E33</f>
        <v>2535668.7599999998</v>
      </c>
      <c r="E35" s="184"/>
      <c r="F35" s="294" t="s">
        <v>1596</v>
      </c>
      <c r="G35" s="295"/>
      <c r="H35" s="295"/>
      <c r="I35" s="296"/>
    </row>
    <row r="36" spans="1:9" ht="12" thickTop="1" x14ac:dyDescent="0.2">
      <c r="B36" t="s">
        <v>807</v>
      </c>
      <c r="D36" s="19">
        <f>D33</f>
        <v>33616483.420000002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3" zoomScale="90" zoomScaleNormal="90" workbookViewId="0">
      <selection activeCell="A15" sqref="A1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Monadnock Regional</v>
      </c>
      <c r="B2">
        <f>'DOE25'!B2</f>
        <v>363</v>
      </c>
      <c r="J2" s="223" t="s">
        <v>1799</v>
      </c>
      <c r="K2" s="308">
        <f>SUM('DOE25'!L198:L201)+SUM('DOE25'!L277:L280)</f>
        <v>13343238.34</v>
      </c>
      <c r="L2" s="308">
        <f>'DOE25'!L203+'DOE25'!L282</f>
        <v>1386943.0999999999</v>
      </c>
      <c r="M2" s="308">
        <f>'DOE25'!L204+'DOE25'!L283</f>
        <v>671866.08</v>
      </c>
      <c r="N2" s="308">
        <f>'DOE25'!L206+'DOE25'!L285</f>
        <v>1296538.2700000003</v>
      </c>
      <c r="O2" s="316">
        <f>'Salaries-Benefits'!B10+'Salaries-Benefits'!B12+'Salaries-Benefits'!B19+'Salaries-Benefits'!B21+'Salaries-Benefits'!B28+'Salaries-Benefits'!B30+'Salaries-Benefits'!B37+'Salaries-Benefits'!B39</f>
        <v>9153535.1300000008</v>
      </c>
      <c r="P2" s="316">
        <f>'Salaries-Benefits'!B11+'Salaries-Benefits'!B20+'Salaries-Benefits'!B29+'Salaries-Benefits'!B38</f>
        <v>1789642.3900000001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20929676.16</v>
      </c>
      <c r="G4" s="228">
        <f>'DOE25'!L212+'DOE25'!L291</f>
        <v>20929676.16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1988403.23</v>
      </c>
      <c r="E5" s="219">
        <v>270743.40999999997</v>
      </c>
      <c r="F5" s="231">
        <f>D5+E5</f>
        <v>2259146.64</v>
      </c>
      <c r="G5" s="222"/>
      <c r="H5" s="222"/>
      <c r="J5" s="71" t="s">
        <v>1840</v>
      </c>
      <c r="K5" s="20">
        <f>1654459.42+270743.43</f>
        <v>1925202.8499999999</v>
      </c>
      <c r="L5" s="20"/>
      <c r="M5" s="20"/>
      <c r="N5" s="20"/>
      <c r="O5" s="20"/>
      <c r="P5" s="20"/>
      <c r="Q5" s="20"/>
    </row>
    <row r="6" spans="1:22" x14ac:dyDescent="0.2">
      <c r="A6" t="str" cm="1">
        <f t="array" ref="A6">IFERROR(INDEX('School Tables'!$A$4:$G$365,'School Tables'!$J4,3),"")</f>
        <v>Cutler Elementary School</v>
      </c>
      <c r="B6" s="229">
        <f>IFERROR(VLOOKUP(A6,'School Tables'!$C$3:$D$365,2,FALSE),"")</f>
        <v>21715</v>
      </c>
      <c r="C6" s="222" t="str">
        <f>IFERROR(INDEX('School Tables'!$B$3:$B$365,MATCH('School Level Expenditures'!B6,'School Tables'!$D$3:$D$365,0)),"")</f>
        <v>Monadnock Regional</v>
      </c>
      <c r="D6" s="219">
        <v>5624993.1299999999</v>
      </c>
      <c r="E6" s="219">
        <v>528035.29</v>
      </c>
      <c r="F6" s="231">
        <f t="shared" ref="F6:F20" si="2">D6+E6</f>
        <v>6153028.4199999999</v>
      </c>
      <c r="G6" s="222"/>
      <c r="H6" s="222"/>
      <c r="J6" t="str">
        <f t="shared" ref="J6:J20" si="3">A6</f>
        <v>Cutler Elementary School</v>
      </c>
      <c r="K6" s="20">
        <v>3762908.64</v>
      </c>
      <c r="L6" s="20">
        <v>457078.64</v>
      </c>
      <c r="M6" s="307">
        <v>221419.06</v>
      </c>
      <c r="N6" s="20">
        <v>427284.98</v>
      </c>
      <c r="O6" s="20">
        <v>1677020.34</v>
      </c>
      <c r="P6" s="20">
        <v>327880.61</v>
      </c>
      <c r="Q6" s="20">
        <v>14704.05</v>
      </c>
    </row>
    <row r="7" spans="1:22" x14ac:dyDescent="0.2">
      <c r="A7" t="str" cm="1">
        <f t="array" ref="A7">IFERROR(INDEX('School Tables'!$A$4:$G$365,'School Tables'!$J5,3),"")</f>
        <v>Dr. George S. Emerson Elementary School</v>
      </c>
      <c r="B7" s="229">
        <f>IFERROR(VLOOKUP(A7,'School Tables'!$C$3:$D$365,2,FALSE),"")</f>
        <v>21665</v>
      </c>
      <c r="C7" s="222" t="str">
        <f>IFERROR(INDEX('School Tables'!$B$3:$B$365,MATCH('School Level Expenditures'!B7,'School Tables'!$D$3:$D$365,0)),"")</f>
        <v>Monadnock Regional</v>
      </c>
      <c r="D7" s="219">
        <v>3034790.11</v>
      </c>
      <c r="E7" s="219">
        <v>284885.02</v>
      </c>
      <c r="F7" s="231">
        <f t="shared" si="2"/>
        <v>3319675.13</v>
      </c>
      <c r="G7" s="222"/>
      <c r="H7" s="222"/>
      <c r="J7" t="str">
        <f t="shared" si="3"/>
        <v>Dr. George S. Emerson Elementary School</v>
      </c>
      <c r="K7" s="20">
        <v>2030160.33</v>
      </c>
      <c r="L7" s="20">
        <v>246602.57</v>
      </c>
      <c r="M7" s="307">
        <v>119459.77</v>
      </c>
      <c r="N7" s="20">
        <v>230528.32</v>
      </c>
      <c r="O7" s="20">
        <v>904784.17</v>
      </c>
      <c r="P7" s="20">
        <v>176897.79</v>
      </c>
      <c r="Q7" s="20">
        <v>10015.1</v>
      </c>
    </row>
    <row r="8" spans="1:22" x14ac:dyDescent="0.2">
      <c r="A8" t="str" cm="1">
        <f t="array" ref="A8">IFERROR(INDEX('School Tables'!$A$4:$G$365,'School Tables'!$J6,3),"")</f>
        <v>Gilsum STEAM Academy</v>
      </c>
      <c r="B8" s="229">
        <f>IFERROR(VLOOKUP(A8,'School Tables'!$C$3:$D$365,2,FALSE),"")</f>
        <v>21670</v>
      </c>
      <c r="C8" s="222" t="str">
        <f>IFERROR(INDEX('School Tables'!$B$3:$B$365,MATCH('School Level Expenditures'!B8,'School Tables'!$D$3:$D$365,0)),"")</f>
        <v>Monadnock Regional</v>
      </c>
      <c r="D8" s="219">
        <v>1005153.41</v>
      </c>
      <c r="E8" s="219">
        <v>94356.82</v>
      </c>
      <c r="F8" s="231">
        <f t="shared" si="2"/>
        <v>1099510.23</v>
      </c>
      <c r="G8" s="222"/>
      <c r="H8" s="222"/>
      <c r="J8" t="str">
        <f t="shared" si="3"/>
        <v>Gilsum STEAM Academy</v>
      </c>
      <c r="K8" s="20">
        <v>672409.79</v>
      </c>
      <c r="L8" s="20">
        <v>81677.279999999999</v>
      </c>
      <c r="M8" s="307">
        <v>39566.29</v>
      </c>
      <c r="N8" s="20">
        <v>76353.33</v>
      </c>
      <c r="O8" s="20">
        <v>299673.74</v>
      </c>
      <c r="P8" s="20">
        <v>58590.35</v>
      </c>
      <c r="Q8" s="20">
        <v>3781.99</v>
      </c>
    </row>
    <row r="9" spans="1:22" x14ac:dyDescent="0.2">
      <c r="A9" t="str" cm="1">
        <f t="array" ref="A9">IFERROR(INDEX('School Tables'!$A$4:$G$365,'School Tables'!$J7,3),"")</f>
        <v>Mt. Caesar Elementary School</v>
      </c>
      <c r="B9" s="229">
        <f>IFERROR(VLOOKUP(A9,'School Tables'!$C$3:$D$365,2,FALSE),"")</f>
        <v>21695</v>
      </c>
      <c r="C9" s="222" t="str">
        <f>IFERROR(INDEX('School Tables'!$B$3:$B$365,MATCH('School Level Expenditures'!B9,'School Tables'!$D$3:$D$365,0)),"")</f>
        <v>Monadnock Regional</v>
      </c>
      <c r="D9" s="219">
        <v>5064426.8</v>
      </c>
      <c r="E9" s="219">
        <v>475413.21</v>
      </c>
      <c r="F9" s="231">
        <f t="shared" si="2"/>
        <v>5539840.0099999998</v>
      </c>
      <c r="G9" s="222"/>
      <c r="H9" s="222"/>
      <c r="J9" t="str">
        <f t="shared" si="3"/>
        <v>Mt. Caesar Elementary School</v>
      </c>
      <c r="K9" s="20">
        <v>3387910.87</v>
      </c>
      <c r="L9" s="20">
        <v>411527.85</v>
      </c>
      <c r="M9" s="307">
        <v>199353.24</v>
      </c>
      <c r="N9" s="20">
        <v>384703.32</v>
      </c>
      <c r="O9" s="20">
        <v>1509894.6</v>
      </c>
      <c r="P9" s="20">
        <v>295205.21999999997</v>
      </c>
      <c r="Q9" s="20">
        <v>9768.82</v>
      </c>
    </row>
    <row r="10" spans="1:22" x14ac:dyDescent="0.2">
      <c r="A10" t="str" cm="1">
        <f t="array" ref="A10">IFERROR(INDEX('School Tables'!$A$4:$G$365,'School Tables'!$J8,3),"")</f>
        <v>Troy Elementary School</v>
      </c>
      <c r="B10" s="229">
        <f>IFERROR(VLOOKUP(A10,'School Tables'!$C$3:$D$365,2,FALSE),"")</f>
        <v>21725</v>
      </c>
      <c r="C10" s="222" t="str">
        <f>IFERROR(INDEX('School Tables'!$B$3:$B$365,MATCH('School Level Expenditures'!B10,'School Tables'!$D$3:$D$365,0)),"")</f>
        <v>Monadnock Regional</v>
      </c>
      <c r="D10" s="219">
        <v>2338914.67</v>
      </c>
      <c r="E10" s="219">
        <v>219561.06</v>
      </c>
      <c r="F10" s="231">
        <f t="shared" si="2"/>
        <v>2558475.73</v>
      </c>
      <c r="G10" s="222"/>
      <c r="H10" s="222"/>
      <c r="J10" t="str">
        <f t="shared" si="3"/>
        <v>Troy Elementary School</v>
      </c>
      <c r="K10" s="20">
        <v>1564645.86</v>
      </c>
      <c r="L10" s="20">
        <v>190056.76</v>
      </c>
      <c r="M10" s="20">
        <v>92067.72</v>
      </c>
      <c r="N10" s="20">
        <v>177668.32</v>
      </c>
      <c r="O10" s="20">
        <v>697317.74</v>
      </c>
      <c r="P10" s="20">
        <v>136335.24</v>
      </c>
      <c r="Q10" s="20">
        <v>6935.41</v>
      </c>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19056681.350000001</v>
      </c>
      <c r="E21" s="261">
        <f>SUM(E5:E20)</f>
        <v>1872994.81</v>
      </c>
      <c r="F21" s="216"/>
      <c r="G21" s="216"/>
      <c r="H21" s="216"/>
      <c r="K21" s="262">
        <f t="shared" ref="K21:Q21" si="4">SUM(K5:K20)</f>
        <v>13343238.34</v>
      </c>
      <c r="L21" s="262">
        <f t="shared" si="4"/>
        <v>1386943.0999999999</v>
      </c>
      <c r="M21" s="262">
        <f t="shared" si="4"/>
        <v>671866.08</v>
      </c>
      <c r="N21" s="262">
        <f t="shared" si="4"/>
        <v>1296538.27</v>
      </c>
      <c r="O21" s="262">
        <f t="shared" si="4"/>
        <v>5088690.59</v>
      </c>
      <c r="P21" s="262">
        <f t="shared" si="4"/>
        <v>994909.21</v>
      </c>
      <c r="Q21" s="262">
        <f t="shared" si="4"/>
        <v>45205.369999999995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3283914.15</v>
      </c>
      <c r="L23" s="19">
        <f>'DOE25'!L221+'DOE25'!L301</f>
        <v>389147.32000000007</v>
      </c>
      <c r="M23" s="19">
        <f>'DOE25'!L222+'DOE25'!L302</f>
        <v>161858.96</v>
      </c>
      <c r="N23" s="19">
        <f>'DOE25'!L224+'DOE25'!L304</f>
        <v>288435.86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5483594.8499999996</v>
      </c>
      <c r="G25" s="228">
        <f>'DOE25'!L230+'DOE25'!L310</f>
        <v>5483594.8499999996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540143.64</v>
      </c>
      <c r="E26" s="219">
        <v>73546.62</v>
      </c>
      <c r="F26" s="231">
        <f>D26+E26</f>
        <v>613690.26</v>
      </c>
      <c r="G26" s="222"/>
      <c r="H26" s="222"/>
      <c r="J26" s="71" t="s">
        <v>1840</v>
      </c>
      <c r="K26" s="315">
        <f>449428.83+73546.62</f>
        <v>522975.45</v>
      </c>
      <c r="L26" s="315"/>
      <c r="M26" s="315"/>
      <c r="N26" s="315"/>
      <c r="O26" s="315"/>
      <c r="P26" s="315"/>
      <c r="Q26" s="315"/>
    </row>
    <row r="27" spans="1:17" x14ac:dyDescent="0.2">
      <c r="A27" t="str" cm="1">
        <f t="array" ref="A27">IFERROR(INDEX('School Tables'!$L$4:$R$100,'School Tables'!$U4,3),"")</f>
        <v>Monadnock Regional Middle School</v>
      </c>
      <c r="B27" s="229">
        <f>IFERROR(VLOOKUP(A27,'School Tables'!$N$4:$O$100,2,FALSE),"")</f>
        <v>26980</v>
      </c>
      <c r="C27" s="222" t="str">
        <f>IFERROR(INDEX('School Tables'!$M$4:$M$100,MATCH('School Level Expenditures'!A27,'School Tables'!$N$4:$N$100,0)),"")</f>
        <v>Monadnock Regional</v>
      </c>
      <c r="D27" s="219">
        <v>4337418.3</v>
      </c>
      <c r="E27" s="219">
        <v>532486.29</v>
      </c>
      <c r="F27" s="231">
        <f t="shared" ref="F27:F33" si="6">D27+E27</f>
        <v>4869904.59</v>
      </c>
      <c r="G27" s="222"/>
      <c r="H27" s="222"/>
      <c r="J27" t="str">
        <f t="shared" ref="J27:J33" si="7">A27</f>
        <v>Monadnock Regional Middle School</v>
      </c>
      <c r="K27" s="20">
        <v>2760938.7</v>
      </c>
      <c r="L27" s="20">
        <v>389147.32</v>
      </c>
      <c r="M27" s="307">
        <v>161858.96</v>
      </c>
      <c r="N27" s="20">
        <v>288435.86</v>
      </c>
      <c r="O27" s="20">
        <v>1382327.19</v>
      </c>
      <c r="P27" s="20">
        <v>270264.03000000003</v>
      </c>
      <c r="Q27" s="20">
        <v>21648.31</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4877561.9399999995</v>
      </c>
      <c r="E34" s="261">
        <f>SUM(E26:E33)</f>
        <v>606032.91</v>
      </c>
      <c r="F34" s="216"/>
      <c r="G34" s="216"/>
      <c r="H34" s="216"/>
      <c r="K34" s="262">
        <f t="shared" ref="K34:Q34" si="8">SUM(K26:K33)</f>
        <v>3283914.1500000004</v>
      </c>
      <c r="L34" s="262">
        <f t="shared" si="8"/>
        <v>389147.32</v>
      </c>
      <c r="M34" s="262">
        <f t="shared" si="8"/>
        <v>161858.96</v>
      </c>
      <c r="N34" s="262">
        <f t="shared" si="8"/>
        <v>288435.86</v>
      </c>
      <c r="O34" s="262">
        <f t="shared" si="8"/>
        <v>1382327.19</v>
      </c>
      <c r="P34" s="262">
        <f t="shared" si="8"/>
        <v>270264.03000000003</v>
      </c>
      <c r="Q34" s="262">
        <f t="shared" si="8"/>
        <v>21648.31</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6468746.9800000014</v>
      </c>
      <c r="L36" s="19">
        <f>'DOE25'!L239+'DOE25'!L320</f>
        <v>755199.07000000007</v>
      </c>
      <c r="M36" s="19">
        <f>'DOE25'!L240+'DOE25'!L321</f>
        <v>314123.06999999995</v>
      </c>
      <c r="N36" s="19">
        <f>'DOE25'!L242+'DOE25'!L323</f>
        <v>559733.06999999995</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10739318.299999999</v>
      </c>
      <c r="G38" s="228">
        <f>'DOE25'!L248+'DOE25'!L329</f>
        <v>10739318.300000001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1048192.28</v>
      </c>
      <c r="E39" s="219">
        <v>142723.14000000001</v>
      </c>
      <c r="F39" s="231">
        <f t="shared" ref="F39:F44" si="10">D39+E39</f>
        <v>1190915.42</v>
      </c>
      <c r="G39" s="222"/>
      <c r="H39" s="222"/>
      <c r="J39" s="71" t="s">
        <v>1840</v>
      </c>
      <c r="K39" s="315">
        <f>872152.88+142723.14</f>
        <v>1014876.02</v>
      </c>
      <c r="L39" s="315"/>
      <c r="M39" s="315"/>
      <c r="N39" s="315"/>
      <c r="O39" s="315"/>
      <c r="P39" s="315"/>
      <c r="Q39" s="315"/>
    </row>
    <row r="40" spans="1:17" x14ac:dyDescent="0.2">
      <c r="A40" t="str" cm="1">
        <f t="array" ref="A40">IFERROR(INDEX('School Tables'!$W$4:$AC$120,'School Tables'!$AF4,3),"")</f>
        <v>Monadnock Regional High School</v>
      </c>
      <c r="B40" s="229">
        <f>IFERROR(VLOOKUP(A40,'School Tables'!$Y$4:$Z$120,2,FALSE),"")</f>
        <v>21700</v>
      </c>
      <c r="C40" s="222" t="str">
        <f>IFERROR(INDEX('School Tables'!$X$4:$X$120,MATCH('School Level Expenditures'!A40,'School Tables'!$Y$4:$Y$120,0)),"")</f>
        <v>Monadnock Regional</v>
      </c>
      <c r="D40" s="219">
        <v>8540784.8599999994</v>
      </c>
      <c r="E40" s="219">
        <v>1007618.02</v>
      </c>
      <c r="F40" s="231">
        <f t="shared" si="10"/>
        <v>9548402.879999999</v>
      </c>
      <c r="G40" s="222"/>
      <c r="H40" s="222"/>
      <c r="J40" t="str">
        <f>A40</f>
        <v>Monadnock Regional High School</v>
      </c>
      <c r="K40" s="20">
        <v>5453870.96</v>
      </c>
      <c r="L40" s="20">
        <v>755199.07</v>
      </c>
      <c r="M40" s="307">
        <v>314123.07</v>
      </c>
      <c r="N40" s="20">
        <v>559733.06999999995</v>
      </c>
      <c r="O40" s="20">
        <v>2682517.35</v>
      </c>
      <c r="P40" s="20">
        <v>524469.15</v>
      </c>
      <c r="Q40" s="20">
        <v>42019.67</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9588977.1399999987</v>
      </c>
      <c r="E45" s="262">
        <f>SUM(E39:E44)</f>
        <v>1150341.1600000001</v>
      </c>
      <c r="K45" s="262">
        <f t="shared" ref="K45:Q45" si="11">SUM(K39:K44)</f>
        <v>6468746.9800000004</v>
      </c>
      <c r="L45" s="262">
        <f t="shared" si="11"/>
        <v>755199.07</v>
      </c>
      <c r="M45" s="262">
        <f t="shared" si="11"/>
        <v>314123.07</v>
      </c>
      <c r="N45" s="262">
        <f t="shared" si="11"/>
        <v>559733.06999999995</v>
      </c>
      <c r="O45" s="262">
        <f t="shared" si="11"/>
        <v>2682517.35</v>
      </c>
      <c r="P45" s="262">
        <f t="shared" si="11"/>
        <v>524469.15</v>
      </c>
      <c r="Q45" s="262">
        <f t="shared" si="11"/>
        <v>42019.67</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Monadnock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286580.76</v>
      </c>
      <c r="D8" s="73">
        <f>'DOE25'!G9</f>
        <v>119280.46</v>
      </c>
      <c r="E8" s="73">
        <f>'DOE25'!H9</f>
        <v>574908.76</v>
      </c>
      <c r="F8" s="73">
        <f>'DOE25'!I9</f>
        <v>3398269.2</v>
      </c>
      <c r="G8" s="73">
        <f>'DOE25'!J9</f>
        <v>0</v>
      </c>
      <c r="H8" s="13">
        <f>SUM(C8:G8)</f>
        <v>4379039.18</v>
      </c>
      <c r="I8" s="90"/>
    </row>
    <row r="9" spans="1:9" x14ac:dyDescent="0.2">
      <c r="A9" s="1" t="s">
        <v>140</v>
      </c>
      <c r="B9" s="6">
        <v>110</v>
      </c>
      <c r="C9" s="73">
        <f>'DOE25'!F10</f>
        <v>27154</v>
      </c>
      <c r="D9" s="73">
        <f>'DOE25'!G10</f>
        <v>0</v>
      </c>
      <c r="E9" s="73">
        <f>'DOE25'!H10</f>
        <v>0</v>
      </c>
      <c r="F9" s="73">
        <f>'DOE25'!I10</f>
        <v>18407624</v>
      </c>
      <c r="G9" s="73">
        <f>'DOE25'!J10</f>
        <v>0</v>
      </c>
      <c r="H9" s="13">
        <f t="shared" ref="H9:H18" si="0">SUM(C9:G9)</f>
        <v>18434778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574683</v>
      </c>
      <c r="D11" s="73">
        <f>'DOE25'!G12</f>
        <v>0</v>
      </c>
      <c r="E11" s="73">
        <f>'DOE25'!H12</f>
        <v>0</v>
      </c>
      <c r="F11" s="73">
        <f>'DOE25'!I12</f>
        <v>0</v>
      </c>
      <c r="G11" s="73">
        <f>'DOE25'!J12</f>
        <v>0</v>
      </c>
      <c r="H11" s="13">
        <f t="shared" si="0"/>
        <v>574683</v>
      </c>
      <c r="I11" s="90"/>
    </row>
    <row r="12" spans="1:9" x14ac:dyDescent="0.2">
      <c r="A12" s="1" t="s">
        <v>143</v>
      </c>
      <c r="B12" s="6">
        <v>140</v>
      </c>
      <c r="C12" s="73">
        <f>'DOE25'!F13</f>
        <v>1457885</v>
      </c>
      <c r="D12" s="73">
        <f>'DOE25'!G13</f>
        <v>119517</v>
      </c>
      <c r="E12" s="73">
        <f>'DOE25'!H13</f>
        <v>0</v>
      </c>
      <c r="F12" s="73">
        <f>'DOE25'!I13</f>
        <v>0</v>
      </c>
      <c r="G12" s="73">
        <f>'DOE25'!J13</f>
        <v>686123.77</v>
      </c>
      <c r="H12" s="13">
        <f t="shared" si="0"/>
        <v>2263525.77</v>
      </c>
      <c r="I12" s="90"/>
    </row>
    <row r="13" spans="1:9" x14ac:dyDescent="0.2">
      <c r="A13" s="1" t="s">
        <v>144</v>
      </c>
      <c r="B13" s="6">
        <v>150</v>
      </c>
      <c r="C13" s="73">
        <f>'DOE25'!F14</f>
        <v>0</v>
      </c>
      <c r="D13" s="73">
        <f>'DOE25'!G14</f>
        <v>59593</v>
      </c>
      <c r="E13" s="73">
        <f>'DOE25'!H14</f>
        <v>409</v>
      </c>
      <c r="F13" s="73">
        <f>'DOE25'!I14</f>
        <v>0</v>
      </c>
      <c r="G13" s="73">
        <f>'DOE25'!J14</f>
        <v>0</v>
      </c>
      <c r="H13" s="13">
        <f t="shared" si="0"/>
        <v>60002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49273</v>
      </c>
      <c r="E15" s="73">
        <f>'DOE25'!H16</f>
        <v>0</v>
      </c>
      <c r="F15" s="73">
        <f>'DOE25'!I16</f>
        <v>0</v>
      </c>
      <c r="G15" s="23" t="s">
        <v>288</v>
      </c>
      <c r="H15" s="13">
        <f t="shared" si="0"/>
        <v>49273</v>
      </c>
      <c r="I15" s="90"/>
    </row>
    <row r="16" spans="1:9" x14ac:dyDescent="0.2">
      <c r="A16" s="1" t="s">
        <v>147</v>
      </c>
      <c r="B16" s="6">
        <v>180</v>
      </c>
      <c r="C16" s="73">
        <f>'DOE25'!F17</f>
        <v>825</v>
      </c>
      <c r="D16" s="73">
        <f>'DOE25'!G17</f>
        <v>0</v>
      </c>
      <c r="E16" s="73">
        <f>'DOE25'!H17</f>
        <v>0</v>
      </c>
      <c r="F16" s="73">
        <f>'DOE25'!I17</f>
        <v>0</v>
      </c>
      <c r="G16" s="73">
        <f>'DOE25'!J17</f>
        <v>0</v>
      </c>
      <c r="H16" s="13">
        <f t="shared" si="0"/>
        <v>825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2347127.7599999998</v>
      </c>
      <c r="D18" s="38">
        <f>SUM(D8:D17)</f>
        <v>347663.46</v>
      </c>
      <c r="E18" s="38">
        <f>SUM(E8:E17)</f>
        <v>575317.76000000001</v>
      </c>
      <c r="F18" s="38">
        <f>SUM(F8:F17)</f>
        <v>21805893.199999999</v>
      </c>
      <c r="G18" s="38">
        <f>SUM(G8:G17)</f>
        <v>686123.77</v>
      </c>
      <c r="H18" s="38">
        <f t="shared" si="0"/>
        <v>25762125.949999999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58295</v>
      </c>
      <c r="D21" s="73">
        <f>'DOE25'!G22</f>
        <v>0</v>
      </c>
      <c r="E21" s="73">
        <f>'DOE25'!H22</f>
        <v>456071</v>
      </c>
      <c r="F21" s="73">
        <f>'DOE25'!I22</f>
        <v>0</v>
      </c>
      <c r="G21" s="73">
        <f>'DOE25'!J22</f>
        <v>0</v>
      </c>
      <c r="H21" s="13">
        <f t="shared" ref="H21:H31" si="1">SUM(C21:G21)</f>
        <v>514366</v>
      </c>
      <c r="I21" s="90"/>
    </row>
    <row r="22" spans="1:9" x14ac:dyDescent="0.2">
      <c r="A22" s="1" t="s">
        <v>151</v>
      </c>
      <c r="B22" s="6">
        <v>410</v>
      </c>
      <c r="C22" s="73">
        <f>'DOE25'!F23</f>
        <v>1257289</v>
      </c>
      <c r="D22" s="73">
        <f>'DOE25'!G23</f>
        <v>0</v>
      </c>
      <c r="E22" s="73">
        <f>'DOE25'!H23</f>
        <v>0</v>
      </c>
      <c r="F22" s="73">
        <f>'DOE25'!I23</f>
        <v>0</v>
      </c>
      <c r="G22" s="73">
        <f>'DOE25'!J23</f>
        <v>0</v>
      </c>
      <c r="H22" s="13">
        <f t="shared" si="1"/>
        <v>1257289</v>
      </c>
      <c r="I22" s="90"/>
    </row>
    <row r="23" spans="1:9" x14ac:dyDescent="0.2">
      <c r="A23" s="1" t="s">
        <v>152</v>
      </c>
      <c r="B23" s="6">
        <v>420</v>
      </c>
      <c r="C23" s="73">
        <f>'DOE25'!F24</f>
        <v>237749</v>
      </c>
      <c r="D23" s="73">
        <f>'DOE25'!G24</f>
        <v>115110</v>
      </c>
      <c r="E23" s="73">
        <f>'DOE25'!H24</f>
        <v>58407</v>
      </c>
      <c r="F23" s="73">
        <f>'DOE25'!I24</f>
        <v>57968</v>
      </c>
      <c r="G23" s="73">
        <f>'DOE25'!J24</f>
        <v>0</v>
      </c>
      <c r="H23" s="13">
        <f t="shared" si="1"/>
        <v>469234</v>
      </c>
      <c r="I23" s="90"/>
    </row>
    <row r="24" spans="1:9" x14ac:dyDescent="0.2">
      <c r="A24" s="1" t="s">
        <v>153</v>
      </c>
      <c r="B24" s="6">
        <v>430</v>
      </c>
      <c r="C24" s="73">
        <f>'DOE25'!F25</f>
        <v>0</v>
      </c>
      <c r="D24" s="73">
        <f>'DOE25'!G25</f>
        <v>0</v>
      </c>
      <c r="E24" s="73">
        <f>'DOE25'!H25</f>
        <v>0</v>
      </c>
      <c r="F24" s="73">
        <f>'DOE25'!I25</f>
        <v>487794</v>
      </c>
      <c r="G24" s="23" t="s">
        <v>288</v>
      </c>
      <c r="H24" s="13">
        <f t="shared" si="1"/>
        <v>487794</v>
      </c>
      <c r="I24" s="90"/>
    </row>
    <row r="25" spans="1:9" x14ac:dyDescent="0.2">
      <c r="A25" s="1" t="s">
        <v>154</v>
      </c>
      <c r="B25" s="6">
        <v>440</v>
      </c>
      <c r="C25" s="73">
        <f>'DOE25'!F26</f>
        <v>0</v>
      </c>
      <c r="D25" s="23" t="s">
        <v>288</v>
      </c>
      <c r="E25" s="23" t="s">
        <v>288</v>
      </c>
      <c r="F25" s="73">
        <f>'DOE25'!I26</f>
        <v>27100</v>
      </c>
      <c r="G25" s="23" t="s">
        <v>288</v>
      </c>
      <c r="H25" s="13">
        <f t="shared" si="1"/>
        <v>27100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529277</v>
      </c>
      <c r="D28" s="73">
        <f>'DOE25'!G29</f>
        <v>0</v>
      </c>
      <c r="E28" s="73">
        <f>'DOE25'!H29</f>
        <v>12959</v>
      </c>
      <c r="F28" s="73">
        <f>'DOE25'!I29</f>
        <v>0</v>
      </c>
      <c r="G28" s="23" t="s">
        <v>288</v>
      </c>
      <c r="H28" s="13">
        <f t="shared" si="1"/>
        <v>542236</v>
      </c>
      <c r="I28" s="90"/>
    </row>
    <row r="29" spans="1:9" x14ac:dyDescent="0.2">
      <c r="A29" s="1" t="s">
        <v>158</v>
      </c>
      <c r="B29" s="6">
        <v>480</v>
      </c>
      <c r="C29" s="73">
        <f>'DOE25'!F30</f>
        <v>290</v>
      </c>
      <c r="D29" s="73">
        <f>'DOE25'!G30</f>
        <v>0</v>
      </c>
      <c r="E29" s="73">
        <f>'DOE25'!H30</f>
        <v>43992</v>
      </c>
      <c r="F29" s="73">
        <f>'DOE25'!I30</f>
        <v>0</v>
      </c>
      <c r="G29" s="23" t="s">
        <v>288</v>
      </c>
      <c r="H29" s="13">
        <f t="shared" si="1"/>
        <v>44282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2082900</v>
      </c>
      <c r="D31" s="38">
        <f>SUM(D21:D30)</f>
        <v>115110</v>
      </c>
      <c r="E31" s="38">
        <f>SUM(E21:E30)</f>
        <v>571429</v>
      </c>
      <c r="F31" s="38">
        <f>SUM(F21:F30)</f>
        <v>572862</v>
      </c>
      <c r="G31" s="38">
        <f>SUM(G21:G30)</f>
        <v>0</v>
      </c>
      <c r="H31" s="38">
        <f t="shared" si="1"/>
        <v>3342301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49273</v>
      </c>
      <c r="E34" s="73">
        <f>'DOE25'!H35</f>
        <v>0</v>
      </c>
      <c r="F34" s="73">
        <f>'DOE25'!I35</f>
        <v>0</v>
      </c>
      <c r="G34" s="23" t="s">
        <v>288</v>
      </c>
      <c r="H34" s="13">
        <f t="shared" ref="H34:H51" si="2">SUM(C34:G34)</f>
        <v>49273</v>
      </c>
      <c r="I34" s="90"/>
    </row>
    <row r="35" spans="1:9" x14ac:dyDescent="0.2">
      <c r="A35" s="1" t="s">
        <v>846</v>
      </c>
      <c r="B35" s="6">
        <v>752</v>
      </c>
      <c r="C35" s="73">
        <f>'DOE25'!F36</f>
        <v>825</v>
      </c>
      <c r="D35" s="73">
        <f>'DOE25'!G36</f>
        <v>0</v>
      </c>
      <c r="E35" s="73">
        <f>'DOE25'!H36</f>
        <v>0</v>
      </c>
      <c r="F35" s="73">
        <f>'DOE25'!I36</f>
        <v>0</v>
      </c>
      <c r="G35" s="23" t="s">
        <v>288</v>
      </c>
      <c r="H35" s="13">
        <f t="shared" si="2"/>
        <v>825</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183280.46</v>
      </c>
      <c r="E39" s="23" t="s">
        <v>288</v>
      </c>
      <c r="F39" s="23" t="s">
        <v>288</v>
      </c>
      <c r="G39" s="23" t="s">
        <v>288</v>
      </c>
      <c r="H39" s="13">
        <f t="shared" si="2"/>
        <v>183280.46</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21233031.199999999</v>
      </c>
      <c r="G42" s="73">
        <f>'DOE25'!J43</f>
        <v>0</v>
      </c>
      <c r="H42" s="13">
        <f t="shared" si="2"/>
        <v>21233031.199999999</v>
      </c>
      <c r="I42" s="90"/>
    </row>
    <row r="43" spans="1:9" x14ac:dyDescent="0.2">
      <c r="A43" s="1" t="s">
        <v>859</v>
      </c>
      <c r="B43" s="6">
        <v>755</v>
      </c>
      <c r="C43" s="73">
        <f>'DOE25'!F44</f>
        <v>54000</v>
      </c>
      <c r="D43" s="73">
        <f>'DOE25'!G44</f>
        <v>0</v>
      </c>
      <c r="E43" s="73">
        <f>'DOE25'!H44</f>
        <v>0</v>
      </c>
      <c r="F43" s="73">
        <f>'DOE25'!I44</f>
        <v>0</v>
      </c>
      <c r="G43" s="23" t="s">
        <v>288</v>
      </c>
      <c r="H43" s="13">
        <f t="shared" si="2"/>
        <v>54000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3888.76</v>
      </c>
      <c r="F47" s="73">
        <f>'DOE25'!I48</f>
        <v>0</v>
      </c>
      <c r="G47" s="73">
        <f>'DOE25'!J48</f>
        <v>686123.77</v>
      </c>
      <c r="H47" s="13">
        <f t="shared" si="2"/>
        <v>690012.53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209402.76</v>
      </c>
      <c r="D49" s="23" t="s">
        <v>288</v>
      </c>
      <c r="E49" s="23" t="s">
        <v>288</v>
      </c>
      <c r="F49" s="23" t="s">
        <v>288</v>
      </c>
      <c r="G49" s="23" t="s">
        <v>288</v>
      </c>
      <c r="H49" s="13">
        <f t="shared" si="2"/>
        <v>209402.76</v>
      </c>
      <c r="I49" s="90"/>
    </row>
    <row r="50" spans="1:9" ht="12.75" thickTop="1" thickBot="1" x14ac:dyDescent="0.25">
      <c r="A50" s="35" t="s">
        <v>880</v>
      </c>
      <c r="B50" s="44"/>
      <c r="C50" s="38">
        <f>SUM(C34:C49)</f>
        <v>264227.76</v>
      </c>
      <c r="D50" s="38">
        <f>SUM(D34:D49)</f>
        <v>232553.46</v>
      </c>
      <c r="E50" s="38">
        <f>SUM(E34:E49)</f>
        <v>3888.76</v>
      </c>
      <c r="F50" s="38">
        <f>SUM(F34:F49)</f>
        <v>21233031.199999999</v>
      </c>
      <c r="G50" s="38">
        <f>SUM(G34:G49)</f>
        <v>686123.77</v>
      </c>
      <c r="H50" s="38">
        <f t="shared" si="2"/>
        <v>22419824.949999999</v>
      </c>
      <c r="I50" s="90"/>
    </row>
    <row r="51" spans="1:9" ht="12" thickTop="1" x14ac:dyDescent="0.2">
      <c r="A51" s="35" t="s">
        <v>881</v>
      </c>
      <c r="B51" s="2"/>
      <c r="C51" s="38">
        <f>C50+C31</f>
        <v>2347127.7599999998</v>
      </c>
      <c r="D51" s="38">
        <f>D50+D31</f>
        <v>347663.45999999996</v>
      </c>
      <c r="E51" s="38">
        <f>E50+E31</f>
        <v>575317.76000000001</v>
      </c>
      <c r="F51" s="38">
        <f>F50+F31</f>
        <v>21805893.199999999</v>
      </c>
      <c r="G51" s="38">
        <f>G50+G31</f>
        <v>686123.77</v>
      </c>
      <c r="H51" s="38">
        <f t="shared" si="2"/>
        <v>25762125.949999999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18512400</v>
      </c>
      <c r="D56" s="73">
        <f>'DOE25'!G60</f>
        <v>0</v>
      </c>
      <c r="E56" s="73">
        <f>'DOE25'!H60</f>
        <v>0</v>
      </c>
      <c r="F56" s="73">
        <f>'DOE25'!I60</f>
        <v>0</v>
      </c>
      <c r="G56" s="73">
        <f>'DOE25'!J60</f>
        <v>0</v>
      </c>
      <c r="H56" s="13">
        <f t="shared" ref="H56:H63" si="3">SUM(C56:G56)</f>
        <v>18512400</v>
      </c>
      <c r="I56"/>
    </row>
    <row r="57" spans="1:9" x14ac:dyDescent="0.2">
      <c r="A57" s="1" t="s">
        <v>164</v>
      </c>
      <c r="B57" s="6" t="s">
        <v>165</v>
      </c>
      <c r="C57" s="73">
        <f>'DOE25'!F79</f>
        <v>177154.66</v>
      </c>
      <c r="D57" s="23" t="s">
        <v>288</v>
      </c>
      <c r="E57" s="73">
        <f>'DOE25'!H79</f>
        <v>0</v>
      </c>
      <c r="F57" s="23" t="s">
        <v>288</v>
      </c>
      <c r="G57" s="23" t="s">
        <v>288</v>
      </c>
      <c r="H57" s="13">
        <f t="shared" si="3"/>
        <v>177154.66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56913.99</v>
      </c>
      <c r="D59" s="73">
        <f>'DOE25'!G96</f>
        <v>0</v>
      </c>
      <c r="E59" s="73">
        <f>'DOE25'!H96</f>
        <v>0</v>
      </c>
      <c r="F59" s="73">
        <f>'DOE25'!I96</f>
        <v>0</v>
      </c>
      <c r="G59" s="73">
        <f>'DOE25'!J96</f>
        <v>42850.76</v>
      </c>
      <c r="H59" s="13">
        <f t="shared" si="3"/>
        <v>99764.75</v>
      </c>
      <c r="I59"/>
    </row>
    <row r="60" spans="1:9" x14ac:dyDescent="0.2">
      <c r="A60" s="1" t="s">
        <v>170</v>
      </c>
      <c r="B60" s="22" t="s">
        <v>171</v>
      </c>
      <c r="C60" s="23" t="s">
        <v>288</v>
      </c>
      <c r="D60" s="73">
        <f>'DOE25'!G97</f>
        <v>474300.33</v>
      </c>
      <c r="E60" s="23" t="s">
        <v>288</v>
      </c>
      <c r="F60" s="23" t="s">
        <v>288</v>
      </c>
      <c r="G60" s="23" t="s">
        <v>288</v>
      </c>
      <c r="H60" s="13">
        <f t="shared" si="3"/>
        <v>474300.33</v>
      </c>
      <c r="I60"/>
    </row>
    <row r="61" spans="1:9" ht="12" thickBot="1" x14ac:dyDescent="0.25">
      <c r="A61" s="1" t="s">
        <v>172</v>
      </c>
      <c r="B61" s="22" t="s">
        <v>173</v>
      </c>
      <c r="C61" s="73">
        <f>SUM('DOE25'!F98:F110)</f>
        <v>379088.19</v>
      </c>
      <c r="D61" s="73">
        <f>SUM('DOE25'!G98:G110)</f>
        <v>0</v>
      </c>
      <c r="E61" s="73">
        <f>SUM('DOE25'!H98:H110)</f>
        <v>29941.67</v>
      </c>
      <c r="F61" s="73">
        <f>SUM('DOE25'!I98:I110)</f>
        <v>0</v>
      </c>
      <c r="G61" s="73">
        <f>SUM('DOE25'!J98:J110)</f>
        <v>0</v>
      </c>
      <c r="H61" s="13">
        <f t="shared" si="3"/>
        <v>409029.86</v>
      </c>
      <c r="I61"/>
    </row>
    <row r="62" spans="1:9" ht="12.75" thickTop="1" thickBot="1" x14ac:dyDescent="0.25">
      <c r="A62" s="28" t="s">
        <v>174</v>
      </c>
      <c r="B62" s="6"/>
      <c r="C62" s="93">
        <f>SUM(C57:C61)</f>
        <v>613156.84</v>
      </c>
      <c r="D62" s="93">
        <f>SUM(D57:D61)</f>
        <v>474300.33</v>
      </c>
      <c r="E62" s="93">
        <f>SUM(E57:E61)</f>
        <v>29941.67</v>
      </c>
      <c r="F62" s="93">
        <f>SUM(F57:F61)</f>
        <v>0</v>
      </c>
      <c r="G62" s="93">
        <f>SUM(G57:G61)</f>
        <v>42850.76</v>
      </c>
      <c r="H62" s="13">
        <f t="shared" si="3"/>
        <v>1160249.5999999999</v>
      </c>
      <c r="I62"/>
    </row>
    <row r="63" spans="1:9" ht="12" thickTop="1" x14ac:dyDescent="0.2">
      <c r="A63" s="28" t="s">
        <v>175</v>
      </c>
      <c r="B63" s="6"/>
      <c r="C63" s="21">
        <f>C56+C62</f>
        <v>19125556.84</v>
      </c>
      <c r="D63" s="21">
        <f>D56+D62</f>
        <v>474300.33</v>
      </c>
      <c r="E63" s="21">
        <f>E56+E62</f>
        <v>29941.67</v>
      </c>
      <c r="F63" s="21">
        <f>F56+F62</f>
        <v>0</v>
      </c>
      <c r="G63" s="21">
        <f>G56+G62</f>
        <v>42850.76</v>
      </c>
      <c r="H63" s="13">
        <f t="shared" si="3"/>
        <v>19672649.600000001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11041055.4</v>
      </c>
      <c r="D66" s="23" t="s">
        <v>288</v>
      </c>
      <c r="E66" s="23" t="s">
        <v>288</v>
      </c>
      <c r="F66" s="23" t="s">
        <v>288</v>
      </c>
      <c r="G66" s="23" t="s">
        <v>288</v>
      </c>
      <c r="H66" s="13">
        <f t="shared" ref="H66:H81" si="4">SUM(C66:G66)</f>
        <v>11041055.4</v>
      </c>
      <c r="I66"/>
    </row>
    <row r="67" spans="1:9" x14ac:dyDescent="0.2">
      <c r="A67" s="1" t="s">
        <v>767</v>
      </c>
      <c r="B67" s="6">
        <v>3112</v>
      </c>
      <c r="C67" s="73">
        <f>'DOE25'!F118</f>
        <v>2212285</v>
      </c>
      <c r="D67" s="23"/>
      <c r="E67" s="23"/>
      <c r="F67" s="23"/>
      <c r="G67" s="23"/>
      <c r="H67" s="13">
        <f t="shared" si="4"/>
        <v>2212285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36928.57</v>
      </c>
      <c r="D69" s="73">
        <f>'DOE25'!G120</f>
        <v>0</v>
      </c>
      <c r="E69" s="73">
        <f>'DOE25'!H120</f>
        <v>0</v>
      </c>
      <c r="F69" s="73">
        <f>'DOE25'!I120</f>
        <v>0</v>
      </c>
      <c r="G69" s="73">
        <f>'DOE25'!J120</f>
        <v>0</v>
      </c>
      <c r="H69" s="13">
        <f t="shared" si="4"/>
        <v>36928.57</v>
      </c>
      <c r="I69"/>
    </row>
    <row r="70" spans="1:9" ht="12" thickTop="1" x14ac:dyDescent="0.2">
      <c r="A70" s="28" t="s">
        <v>252</v>
      </c>
      <c r="B70" s="2"/>
      <c r="C70" s="97">
        <f>SUM(C66:C69)</f>
        <v>13290268.970000001</v>
      </c>
      <c r="D70" s="97">
        <f>D69</f>
        <v>0</v>
      </c>
      <c r="E70" s="97">
        <f>E69</f>
        <v>0</v>
      </c>
      <c r="F70" s="97">
        <f>F69</f>
        <v>0</v>
      </c>
      <c r="G70" s="97">
        <f>G69</f>
        <v>0</v>
      </c>
      <c r="H70" s="13">
        <f t="shared" si="4"/>
        <v>13290268.970000001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825468.7</v>
      </c>
      <c r="D75" s="23" t="s">
        <v>288</v>
      </c>
      <c r="E75" s="23" t="s">
        <v>288</v>
      </c>
      <c r="F75" s="23" t="s">
        <v>288</v>
      </c>
      <c r="G75" s="23" t="s">
        <v>288</v>
      </c>
      <c r="H75" s="13">
        <f t="shared" si="4"/>
        <v>825468.7</v>
      </c>
      <c r="I75"/>
    </row>
    <row r="76" spans="1:9" x14ac:dyDescent="0.2">
      <c r="A76" s="1" t="s">
        <v>257</v>
      </c>
      <c r="B76" s="6" t="s">
        <v>179</v>
      </c>
      <c r="C76" s="73">
        <f>SUM('DOE25'!F127:F130)</f>
        <v>6767</v>
      </c>
      <c r="D76" s="23" t="s">
        <v>288</v>
      </c>
      <c r="E76" s="73">
        <f>SUM('DOE25'!H127:H130)</f>
        <v>0</v>
      </c>
      <c r="F76" s="73">
        <f>SUM('DOE25'!I127:I130)</f>
        <v>0</v>
      </c>
      <c r="G76" s="23" t="s">
        <v>288</v>
      </c>
      <c r="H76" s="13">
        <f t="shared" si="4"/>
        <v>6767</v>
      </c>
      <c r="I76"/>
    </row>
    <row r="77" spans="1:9" ht="12" thickBot="1" x14ac:dyDescent="0.25">
      <c r="A77" s="1" t="s">
        <v>258</v>
      </c>
      <c r="B77" s="6" t="s">
        <v>180</v>
      </c>
      <c r="C77" s="73">
        <f>SUM('DOE25'!F131:F135)</f>
        <v>0</v>
      </c>
      <c r="D77" s="73">
        <f>SUM('DOE25'!G131:G135)</f>
        <v>14525.05</v>
      </c>
      <c r="E77" s="73">
        <f>SUM('DOE25'!H131:H135)</f>
        <v>0</v>
      </c>
      <c r="F77" s="73">
        <f>SUM('DOE25'!I131:I135)</f>
        <v>0</v>
      </c>
      <c r="G77" s="73">
        <f>SUM('DOE25'!J131:J135)</f>
        <v>0</v>
      </c>
      <c r="H77" s="13">
        <f t="shared" si="4"/>
        <v>14525.05</v>
      </c>
      <c r="I77"/>
    </row>
    <row r="78" spans="1:9" ht="12.75" thickTop="1" thickBot="1" x14ac:dyDescent="0.25">
      <c r="A78" s="28" t="s">
        <v>259</v>
      </c>
      <c r="B78" s="6"/>
      <c r="C78" s="93">
        <f>SUM(C72:C77)</f>
        <v>832235.7</v>
      </c>
      <c r="D78" s="93">
        <f>SUM(D72:D77)</f>
        <v>14525.05</v>
      </c>
      <c r="E78" s="93">
        <f>SUM(E72:E77)</f>
        <v>0</v>
      </c>
      <c r="F78" s="93">
        <f>SUM(F72:F77)</f>
        <v>0</v>
      </c>
      <c r="G78" s="93">
        <f>SUM(G72:G77)</f>
        <v>0</v>
      </c>
      <c r="H78" s="13">
        <f t="shared" si="4"/>
        <v>846760.75</v>
      </c>
      <c r="I78"/>
    </row>
    <row r="79" spans="1:9" ht="12" thickTop="1" x14ac:dyDescent="0.2">
      <c r="A79" s="1" t="s">
        <v>260</v>
      </c>
      <c r="B79" s="6">
        <v>3700</v>
      </c>
      <c r="C79" s="73">
        <f>'DOE25'!F137</f>
        <v>0</v>
      </c>
      <c r="D79" s="73">
        <f>'DOE25'!G137</f>
        <v>0</v>
      </c>
      <c r="E79" s="73">
        <f>'DOE25'!H137</f>
        <v>8808.64</v>
      </c>
      <c r="F79" s="23" t="s">
        <v>288</v>
      </c>
      <c r="G79" s="23" t="s">
        <v>288</v>
      </c>
      <c r="H79" s="13">
        <f t="shared" si="4"/>
        <v>8808.64</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14122504.67</v>
      </c>
      <c r="D81" s="93">
        <f>SUM(D79:D80)+D78+D70</f>
        <v>14525.05</v>
      </c>
      <c r="E81" s="93">
        <f>SUM(E79:E80)+E78+E70</f>
        <v>8808.64</v>
      </c>
      <c r="F81" s="93">
        <f>SUM(F79:F80)+F78+F70</f>
        <v>0</v>
      </c>
      <c r="G81" s="93">
        <f>SUM(G79:G80)+G78+G70</f>
        <v>0</v>
      </c>
      <c r="H81" s="93">
        <f t="shared" si="4"/>
        <v>14145838.360000001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238103</v>
      </c>
      <c r="D88" s="252">
        <f>SUM('DOE25'!G153:G162)</f>
        <v>541379.28</v>
      </c>
      <c r="E88" s="252">
        <f>SUM('DOE25'!H153:H162)</f>
        <v>3673236.17</v>
      </c>
      <c r="F88" s="252">
        <f>SUM('DOE25'!I153:I162)</f>
        <v>0</v>
      </c>
      <c r="G88" s="23" t="s">
        <v>288</v>
      </c>
      <c r="H88" s="13">
        <f t="shared" si="5"/>
        <v>4452718.45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238103</v>
      </c>
      <c r="D91" s="94">
        <f>SUM(D85:D90)</f>
        <v>541379.28</v>
      </c>
      <c r="E91" s="94">
        <f>SUM(E85:E90)</f>
        <v>3673236.17</v>
      </c>
      <c r="F91" s="94">
        <f>SUM(F85:F90)</f>
        <v>0</v>
      </c>
      <c r="G91" s="23" t="s">
        <v>288</v>
      </c>
      <c r="H91" s="13">
        <f t="shared" si="5"/>
        <v>4452718.45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22469963.699999999</v>
      </c>
      <c r="G93" s="23" t="s">
        <v>288</v>
      </c>
      <c r="H93" s="13">
        <f t="shared" si="5"/>
        <v>22469963.699999999</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385000</v>
      </c>
      <c r="G96" s="73">
        <f>'DOE25'!J180</f>
        <v>50001</v>
      </c>
      <c r="H96" s="13">
        <f t="shared" si="5"/>
        <v>435001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86294</v>
      </c>
      <c r="D100" s="73">
        <f>SUM('DOE25'!G187:G188)</f>
        <v>0</v>
      </c>
      <c r="E100" s="73">
        <f>SUM('DOE25'!H187:H188)</f>
        <v>0</v>
      </c>
      <c r="F100" s="73">
        <f>SUM('DOE25'!I187:I188)</f>
        <v>0</v>
      </c>
      <c r="G100" s="23" t="s">
        <v>288</v>
      </c>
      <c r="H100" s="13">
        <f t="shared" si="5"/>
        <v>86294</v>
      </c>
    </row>
    <row r="101" spans="1:8" x14ac:dyDescent="0.2">
      <c r="A101" t="s">
        <v>755</v>
      </c>
      <c r="B101" s="31" t="s">
        <v>191</v>
      </c>
      <c r="C101" s="73">
        <f>'DOE25'!F190</f>
        <v>135</v>
      </c>
      <c r="D101" s="73">
        <f>'DOE25'!G190</f>
        <v>0</v>
      </c>
      <c r="E101" s="73">
        <f>'DOE25'!H190</f>
        <v>0</v>
      </c>
      <c r="F101" s="73">
        <f>'DOE25'!I190</f>
        <v>0</v>
      </c>
      <c r="G101" s="23" t="s">
        <v>288</v>
      </c>
      <c r="H101" s="13">
        <f t="shared" si="5"/>
        <v>135</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86429</v>
      </c>
      <c r="D103" s="68">
        <f>SUM(D93:D102)</f>
        <v>0</v>
      </c>
      <c r="E103" s="68">
        <f>SUM(E93:E102)</f>
        <v>0</v>
      </c>
      <c r="F103" s="68">
        <f>SUM(F93:F102)</f>
        <v>22854963.699999999</v>
      </c>
      <c r="G103" s="68">
        <f>SUM(G93:G102)</f>
        <v>50001</v>
      </c>
      <c r="H103" s="68">
        <f t="shared" si="5"/>
        <v>22991393.699999999</v>
      </c>
    </row>
    <row r="104" spans="1:8" ht="12.75" thickTop="1" thickBot="1" x14ac:dyDescent="0.25">
      <c r="A104" s="32" t="s">
        <v>758</v>
      </c>
      <c r="C104" s="68">
        <f>C63+C81+C91+C103</f>
        <v>33572593.509999998</v>
      </c>
      <c r="D104" s="68">
        <f>D63+D81+D91+D103</f>
        <v>1030204.66</v>
      </c>
      <c r="E104" s="68">
        <f>E63+E81+E91+E103</f>
        <v>3711986.48</v>
      </c>
      <c r="F104" s="68">
        <f>F63+F81+F91+F103</f>
        <v>22854963.699999999</v>
      </c>
      <c r="G104" s="68">
        <f>G63+G81+G103</f>
        <v>92851.760000000009</v>
      </c>
      <c r="H104" s="68">
        <f t="shared" si="5"/>
        <v>61262600.109999992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11068365.080000002</v>
      </c>
      <c r="D109" s="23" t="s">
        <v>288</v>
      </c>
      <c r="E109" s="73">
        <f>('DOE25'!L277)+('DOE25'!L296)+('DOE25'!L315)</f>
        <v>516112.49999999988</v>
      </c>
      <c r="F109" s="23" t="s">
        <v>288</v>
      </c>
      <c r="G109" s="23" t="s">
        <v>288</v>
      </c>
      <c r="H109" s="13">
        <f t="shared" ref="H109:H115" si="6">SUM(C109:G109)</f>
        <v>11584477.580000002</v>
      </c>
    </row>
    <row r="110" spans="1:8" x14ac:dyDescent="0.2">
      <c r="A110" t="s">
        <v>198</v>
      </c>
      <c r="B110" s="31" t="s">
        <v>199</v>
      </c>
      <c r="C110" s="73">
        <f>('DOE25'!L199)+('DOE25'!L217)+('DOE25'!L235)</f>
        <v>9386122.9100000001</v>
      </c>
      <c r="D110" s="23" t="s">
        <v>288</v>
      </c>
      <c r="E110" s="73">
        <f>('DOE25'!L278)+('DOE25'!L297)+('DOE25'!L316)</f>
        <v>832843.98</v>
      </c>
      <c r="F110" s="23" t="s">
        <v>288</v>
      </c>
      <c r="G110" s="23" t="s">
        <v>288</v>
      </c>
      <c r="H110" s="13">
        <f t="shared" si="6"/>
        <v>10218966.890000001</v>
      </c>
    </row>
    <row r="111" spans="1:8" x14ac:dyDescent="0.2">
      <c r="A111" t="s">
        <v>200</v>
      </c>
      <c r="B111" s="31" t="s">
        <v>165</v>
      </c>
      <c r="C111" s="73">
        <f>('DOE25'!L200)+('DOE25'!L218)+('DOE25'!L236)</f>
        <v>61215.74</v>
      </c>
      <c r="D111" s="23" t="s">
        <v>288</v>
      </c>
      <c r="E111" s="73">
        <f>('DOE25'!L279)+('DOE25'!L298)+('DOE25'!L317)</f>
        <v>0</v>
      </c>
      <c r="F111" s="23" t="s">
        <v>288</v>
      </c>
      <c r="G111" s="23" t="s">
        <v>288</v>
      </c>
      <c r="H111" s="13">
        <f t="shared" si="6"/>
        <v>61215.74</v>
      </c>
    </row>
    <row r="112" spans="1:8" x14ac:dyDescent="0.2">
      <c r="A112" t="s">
        <v>201</v>
      </c>
      <c r="B112" s="31" t="s">
        <v>167</v>
      </c>
      <c r="C112" s="73">
        <f>('DOE25'!L201)+('DOE25'!L219)+('DOE25'!L237)</f>
        <v>444125.55</v>
      </c>
      <c r="D112" s="23" t="s">
        <v>288</v>
      </c>
      <c r="E112" s="73">
        <f>+('DOE25'!L280)+('DOE25'!L299)+('DOE25'!L318)</f>
        <v>787113.71</v>
      </c>
      <c r="F112" s="23" t="s">
        <v>288</v>
      </c>
      <c r="G112" s="23" t="s">
        <v>288</v>
      </c>
      <c r="H112" s="13">
        <f t="shared" si="6"/>
        <v>1231239.26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20959829.280000001</v>
      </c>
      <c r="D115" s="68">
        <f>SUM(D109:D114)</f>
        <v>0</v>
      </c>
      <c r="E115" s="68">
        <f>SUM(E109:E114)</f>
        <v>2136070.19</v>
      </c>
      <c r="F115" s="68">
        <f>SUM(F109:F114)</f>
        <v>0</v>
      </c>
      <c r="G115" s="68">
        <f>SUM(G109:G114)</f>
        <v>0</v>
      </c>
      <c r="H115" s="68">
        <f t="shared" si="6"/>
        <v>23095899.470000003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2153095.36</v>
      </c>
      <c r="D118" s="23" t="s">
        <v>288</v>
      </c>
      <c r="E118" s="73">
        <f>+('DOE25'!L282)+('DOE25'!L301)+('DOE25'!L320)</f>
        <v>378194.12999999995</v>
      </c>
      <c r="F118" s="23" t="s">
        <v>288</v>
      </c>
      <c r="G118" s="23" t="s">
        <v>288</v>
      </c>
      <c r="H118" s="13">
        <f t="shared" ref="H118:H145" si="7">SUM(C118:G118)</f>
        <v>2531289.4899999998</v>
      </c>
    </row>
    <row r="119" spans="1:8" x14ac:dyDescent="0.2">
      <c r="A119" t="s">
        <v>208</v>
      </c>
      <c r="B119" s="31" t="s">
        <v>209</v>
      </c>
      <c r="C119" s="73">
        <f>('DOE25'!L204)+('DOE25'!L222)+('DOE25'!L240)</f>
        <v>798517.91999999993</v>
      </c>
      <c r="D119" s="23" t="s">
        <v>288</v>
      </c>
      <c r="E119" s="73">
        <f>+('DOE25'!L283)+('DOE25'!L302)+('DOE25'!L321)</f>
        <v>349330.18999999994</v>
      </c>
      <c r="F119" s="23" t="s">
        <v>288</v>
      </c>
      <c r="G119" s="23" t="s">
        <v>288</v>
      </c>
      <c r="H119" s="13">
        <f t="shared" si="7"/>
        <v>1147848.1099999999</v>
      </c>
    </row>
    <row r="120" spans="1:8" x14ac:dyDescent="0.2">
      <c r="A120" t="s">
        <v>210</v>
      </c>
      <c r="B120" s="31" t="s">
        <v>211</v>
      </c>
      <c r="C120" s="73">
        <f>('DOE25'!L205)+('DOE25'!L223)+('DOE25'!L241)</f>
        <v>614651.42000000004</v>
      </c>
      <c r="D120" s="23" t="s">
        <v>288</v>
      </c>
      <c r="E120" s="73">
        <f>+('DOE25'!L284)+('DOE25'!L303)+('DOE25'!L322)</f>
        <v>88761.67</v>
      </c>
      <c r="F120" s="23" t="s">
        <v>288</v>
      </c>
      <c r="G120" s="23" t="s">
        <v>288</v>
      </c>
      <c r="H120" s="13">
        <f t="shared" si="7"/>
        <v>703413.09000000008</v>
      </c>
    </row>
    <row r="121" spans="1:8" x14ac:dyDescent="0.2">
      <c r="A121" t="s">
        <v>212</v>
      </c>
      <c r="B121" s="31" t="s">
        <v>213</v>
      </c>
      <c r="C121" s="73">
        <f>('DOE25'!L206)+('DOE25'!L224)+('DOE25'!L242)</f>
        <v>1990880.2000000002</v>
      </c>
      <c r="D121" s="23" t="s">
        <v>288</v>
      </c>
      <c r="E121" s="73">
        <f>+('DOE25'!L285)+('DOE25'!L304)+('DOE25'!L323)</f>
        <v>153827</v>
      </c>
      <c r="F121" s="23" t="s">
        <v>288</v>
      </c>
      <c r="G121" s="23" t="s">
        <v>288</v>
      </c>
      <c r="H121" s="13">
        <f t="shared" si="7"/>
        <v>2144707.2000000002</v>
      </c>
    </row>
    <row r="122" spans="1:8" x14ac:dyDescent="0.2">
      <c r="A122" t="s">
        <v>214</v>
      </c>
      <c r="B122" s="31" t="s">
        <v>215</v>
      </c>
      <c r="C122" s="73">
        <f>('DOE25'!L207)+('DOE25'!L225)+('DOE25'!L243)</f>
        <v>890328.51</v>
      </c>
      <c r="D122" s="23" t="s">
        <v>288</v>
      </c>
      <c r="E122" s="73">
        <f>+('DOE25'!L286)+('DOE25'!L305)+('DOE25'!L324)</f>
        <v>0</v>
      </c>
      <c r="F122" s="23" t="s">
        <v>288</v>
      </c>
      <c r="G122" s="23" t="s">
        <v>288</v>
      </c>
      <c r="H122" s="13">
        <f t="shared" si="7"/>
        <v>890328.51</v>
      </c>
    </row>
    <row r="123" spans="1:8" x14ac:dyDescent="0.2">
      <c r="A123" t="s">
        <v>216</v>
      </c>
      <c r="B123" s="31" t="s">
        <v>217</v>
      </c>
      <c r="C123" s="73">
        <f>('DOE25'!L208)+('DOE25'!L226)+('DOE25'!L244)</f>
        <v>2541950.92</v>
      </c>
      <c r="D123" s="23" t="s">
        <v>288</v>
      </c>
      <c r="E123" s="73">
        <f>+('DOE25'!L287)+('DOE25'!L306)+('DOE25'!L325)</f>
        <v>470916.02</v>
      </c>
      <c r="F123" s="23" t="s">
        <v>288</v>
      </c>
      <c r="G123" s="23" t="s">
        <v>288</v>
      </c>
      <c r="H123" s="13">
        <f t="shared" si="7"/>
        <v>3012866.94</v>
      </c>
    </row>
    <row r="124" spans="1:8" x14ac:dyDescent="0.2">
      <c r="A124" t="s">
        <v>218</v>
      </c>
      <c r="B124" s="31" t="s">
        <v>219</v>
      </c>
      <c r="C124" s="73">
        <f>('DOE25'!L209)+('DOE25'!L227)+('DOE25'!L245+'DOE25'!L255)</f>
        <v>2260736.3800000004</v>
      </c>
      <c r="D124" s="23" t="s">
        <v>288</v>
      </c>
      <c r="E124" s="73">
        <f>+('DOE25'!L288)+('DOE25'!L307)+('DOE25'!L326)</f>
        <v>46496.609999999993</v>
      </c>
      <c r="F124" s="23" t="s">
        <v>288</v>
      </c>
      <c r="G124" s="23" t="s">
        <v>288</v>
      </c>
      <c r="H124" s="13">
        <f t="shared" si="7"/>
        <v>2307232.9900000002</v>
      </c>
    </row>
    <row r="125" spans="1:8" x14ac:dyDescent="0.2">
      <c r="A125" t="s">
        <v>220</v>
      </c>
      <c r="B125" s="31" t="s">
        <v>221</v>
      </c>
      <c r="C125" s="73">
        <f>('DOE25'!L210)+('DOE25'!L228)+('DOE25'!L246)</f>
        <v>1313230.43</v>
      </c>
      <c r="D125" s="23" t="s">
        <v>288</v>
      </c>
      <c r="E125" s="73">
        <f>+('DOE25'!L289)+('DOE25'!L308)+('DOE25'!L327)</f>
        <v>5773.08</v>
      </c>
      <c r="F125" s="23" t="s">
        <v>288</v>
      </c>
      <c r="G125" s="23" t="s">
        <v>288</v>
      </c>
      <c r="H125" s="13">
        <f t="shared" si="7"/>
        <v>1319003.51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1478456.23</v>
      </c>
      <c r="E127" s="23" t="s">
        <v>288</v>
      </c>
      <c r="F127" s="23" t="s">
        <v>288</v>
      </c>
      <c r="G127" s="23" t="s">
        <v>288</v>
      </c>
      <c r="H127" s="13">
        <f t="shared" si="7"/>
        <v>1478456.23</v>
      </c>
    </row>
    <row r="128" spans="1:8" ht="12.75" thickTop="1" thickBot="1" x14ac:dyDescent="0.25">
      <c r="A128" s="32" t="s">
        <v>226</v>
      </c>
      <c r="C128" s="68">
        <f>SUM(C118:C127)</f>
        <v>12563391.140000001</v>
      </c>
      <c r="D128" s="68">
        <f>SUM(D118:D127)</f>
        <v>1478456.23</v>
      </c>
      <c r="E128" s="68">
        <f>SUM(E118:E127)</f>
        <v>1493298.7</v>
      </c>
      <c r="F128" s="68">
        <f>SUM(F118:F127)</f>
        <v>0</v>
      </c>
      <c r="G128" s="68">
        <f>SUM(G118:G127)</f>
        <v>0</v>
      </c>
      <c r="H128" s="68">
        <f t="shared" si="7"/>
        <v>15535146.07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2688946.5</v>
      </c>
      <c r="G130" s="23" t="s">
        <v>288</v>
      </c>
      <c r="H130" s="13">
        <f t="shared" si="7"/>
        <v>2688946.5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492082.33</v>
      </c>
      <c r="D132" s="23" t="s">
        <v>288</v>
      </c>
      <c r="E132" s="92">
        <f>'DOE25'!L343</f>
        <v>0</v>
      </c>
      <c r="F132" s="23" t="s">
        <v>288</v>
      </c>
      <c r="G132" s="23" t="s">
        <v>288</v>
      </c>
      <c r="H132" s="13">
        <f t="shared" si="7"/>
        <v>492082.33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78728.83</v>
      </c>
      <c r="F134" s="73">
        <f>'DOE25'!K382</f>
        <v>0</v>
      </c>
      <c r="G134" s="73">
        <f>'DOE25'!K435</f>
        <v>62367</v>
      </c>
      <c r="H134" s="13">
        <f t="shared" si="7"/>
        <v>141095.83000000002</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385000</v>
      </c>
      <c r="D137" s="23" t="s">
        <v>288</v>
      </c>
      <c r="E137" s="92">
        <f>'DOE25'!L347</f>
        <v>0</v>
      </c>
      <c r="F137" s="23" t="s">
        <v>288</v>
      </c>
      <c r="G137" s="23" t="s">
        <v>288</v>
      </c>
      <c r="H137" s="13">
        <f t="shared" si="7"/>
        <v>385000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92851.760000000009</v>
      </c>
      <c r="D139" s="23" t="s">
        <v>288</v>
      </c>
      <c r="E139" s="23" t="s">
        <v>288</v>
      </c>
      <c r="F139" s="23" t="s">
        <v>288</v>
      </c>
      <c r="G139" s="23" t="s">
        <v>288</v>
      </c>
      <c r="H139" s="13">
        <f t="shared" si="7"/>
        <v>92851.760000000009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-42850.760000000009</v>
      </c>
      <c r="D141" s="23" t="s">
        <v>288</v>
      </c>
      <c r="E141" s="23" t="s">
        <v>288</v>
      </c>
      <c r="F141" s="23" t="s">
        <v>288</v>
      </c>
      <c r="G141" s="23" t="s">
        <v>288</v>
      </c>
      <c r="H141" s="13">
        <f t="shared" si="7"/>
        <v>-42850.760000000009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927083.33000000007</v>
      </c>
      <c r="D144" s="98">
        <f>SUM(D130:D143)</f>
        <v>0</v>
      </c>
      <c r="E144" s="98">
        <f>SUM(E130:E143)</f>
        <v>78728.83</v>
      </c>
      <c r="F144" s="98">
        <f>SUM(F130:F143)</f>
        <v>2688946.5</v>
      </c>
      <c r="G144" s="98">
        <f>SUM(G130:G143)</f>
        <v>62367</v>
      </c>
      <c r="H144" s="98">
        <f t="shared" si="7"/>
        <v>3757125.66</v>
      </c>
    </row>
    <row r="145" spans="1:9" ht="12.75" thickTop="1" thickBot="1" x14ac:dyDescent="0.25">
      <c r="A145" s="32" t="s">
        <v>244</v>
      </c>
      <c r="C145" s="68">
        <f>(C115+C128+C144)</f>
        <v>34450303.75</v>
      </c>
      <c r="D145" s="68">
        <f>(D115+D128+D144)</f>
        <v>1478456.23</v>
      </c>
      <c r="E145" s="68">
        <f>(E115+E128+E144)</f>
        <v>3708097.7199999997</v>
      </c>
      <c r="F145" s="68">
        <f>(F115+F128+F144)</f>
        <v>2688946.5</v>
      </c>
      <c r="G145" s="68">
        <f>(G115+G128+G144)</f>
        <v>62367</v>
      </c>
      <c r="H145" s="68">
        <f t="shared" si="7"/>
        <v>42388171.199999996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07/23</v>
      </c>
      <c r="C152" s="109">
        <f>'DOE25'!G492</f>
        <v>0</v>
      </c>
      <c r="D152" s="109">
        <f>'DOE25'!H492</f>
        <v>0</v>
      </c>
      <c r="E152" s="109">
        <f>'DOE25'!I492</f>
        <v>0</v>
      </c>
      <c r="F152" s="109">
        <f>'DOE25'!J492</f>
        <v>0</v>
      </c>
      <c r="G152" s="23" t="s">
        <v>288</v>
      </c>
    </row>
    <row r="153" spans="1:9" x14ac:dyDescent="0.2">
      <c r="A153" s="21" t="s">
        <v>29</v>
      </c>
      <c r="B153" s="109" t="str">
        <f>'DOE25'!F493</f>
        <v>08/43</v>
      </c>
      <c r="C153" s="109">
        <f>'DOE25'!G493</f>
        <v>0</v>
      </c>
      <c r="D153" s="109">
        <f>'DOE25'!H493</f>
        <v>0</v>
      </c>
      <c r="E153" s="109">
        <f>'DOE25'!I493</f>
        <v>0</v>
      </c>
      <c r="F153" s="109">
        <f>'DOE25'!J493</f>
        <v>0</v>
      </c>
      <c r="G153" s="23" t="s">
        <v>288</v>
      </c>
    </row>
    <row r="154" spans="1:9" x14ac:dyDescent="0.2">
      <c r="A154" s="21" t="s">
        <v>30</v>
      </c>
      <c r="B154" s="19">
        <f>'DOE25'!F494</f>
        <v>19770242</v>
      </c>
      <c r="C154" s="19">
        <f>'DOE25'!G494</f>
        <v>0</v>
      </c>
      <c r="D154" s="19">
        <f>'DOE25'!H494</f>
        <v>0</v>
      </c>
      <c r="E154" s="19">
        <f>'DOE25'!I494</f>
        <v>0</v>
      </c>
      <c r="F154" s="19">
        <f>'DOE25'!J494</f>
        <v>0</v>
      </c>
      <c r="G154" s="23" t="s">
        <v>288</v>
      </c>
    </row>
    <row r="155" spans="1:9" x14ac:dyDescent="0.2">
      <c r="A155" s="21" t="s">
        <v>31</v>
      </c>
      <c r="B155" s="19">
        <f>'DOE25'!F495</f>
        <v>3.75</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19770242</v>
      </c>
      <c r="C157" s="19">
        <f>'DOE25'!G497</f>
        <v>0</v>
      </c>
      <c r="D157" s="19">
        <f>'DOE25'!H497</f>
        <v>0</v>
      </c>
      <c r="E157" s="19">
        <f>'DOE25'!I497</f>
        <v>0</v>
      </c>
      <c r="F157" s="19">
        <f>'DOE25'!J497</f>
        <v>0</v>
      </c>
      <c r="G157" s="96">
        <f t="shared" ref="G157:G164" si="8">SUM(B157:F157)</f>
        <v>19770242</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19770242</v>
      </c>
      <c r="C159" s="19">
        <f>'DOE25'!G499</f>
        <v>0</v>
      </c>
      <c r="D159" s="19">
        <f>'DOE25'!H499</f>
        <v>0</v>
      </c>
      <c r="E159" s="19">
        <f>'DOE25'!I499</f>
        <v>0</v>
      </c>
      <c r="F159" s="19">
        <f>'DOE25'!J499</f>
        <v>0</v>
      </c>
      <c r="G159" s="96">
        <f t="shared" si="8"/>
        <v>19770242</v>
      </c>
    </row>
    <row r="160" spans="1:9" x14ac:dyDescent="0.2">
      <c r="A160" s="21" t="s">
        <v>36</v>
      </c>
      <c r="B160" s="19">
        <f>'DOE25'!F500</f>
        <v>10681880.25</v>
      </c>
      <c r="C160" s="19">
        <f>'DOE25'!G500</f>
        <v>0</v>
      </c>
      <c r="D160" s="19">
        <f>'DOE25'!H500</f>
        <v>0</v>
      </c>
      <c r="E160" s="19">
        <f>'DOE25'!I500</f>
        <v>0</v>
      </c>
      <c r="F160" s="19">
        <f>'DOE25'!J500</f>
        <v>0</v>
      </c>
      <c r="G160" s="96">
        <f t="shared" si="8"/>
        <v>10681880.25</v>
      </c>
    </row>
    <row r="161" spans="1:7" x14ac:dyDescent="0.2">
      <c r="A161" s="21" t="s">
        <v>37</v>
      </c>
      <c r="B161" s="19">
        <f>'DOE25'!F501</f>
        <v>30452122.25</v>
      </c>
      <c r="C161" s="19">
        <f>'DOE25'!G501</f>
        <v>0</v>
      </c>
      <c r="D161" s="19">
        <f>'DOE25'!H501</f>
        <v>0</v>
      </c>
      <c r="E161" s="19">
        <f>'DOE25'!I501</f>
        <v>0</v>
      </c>
      <c r="F161" s="19">
        <f>'DOE25'!J501</f>
        <v>0</v>
      </c>
      <c r="G161" s="96">
        <f t="shared" si="8"/>
        <v>30452122.25</v>
      </c>
    </row>
    <row r="162" spans="1:7" x14ac:dyDescent="0.2">
      <c r="A162" s="21" t="s">
        <v>38</v>
      </c>
      <c r="B162" s="19">
        <f>'DOE25'!F502</f>
        <v>593331</v>
      </c>
      <c r="C162" s="19">
        <f>'DOE25'!G502</f>
        <v>0</v>
      </c>
      <c r="D162" s="19">
        <f>'DOE25'!H502</f>
        <v>0</v>
      </c>
      <c r="E162" s="19">
        <f>'DOE25'!I502</f>
        <v>0</v>
      </c>
      <c r="F162" s="19">
        <f>'DOE25'!J502</f>
        <v>0</v>
      </c>
      <c r="G162" s="96">
        <f t="shared" si="8"/>
        <v>593331</v>
      </c>
    </row>
    <row r="163" spans="1:7" x14ac:dyDescent="0.2">
      <c r="A163" s="21" t="s">
        <v>39</v>
      </c>
      <c r="B163" s="19">
        <f>'DOE25'!F503</f>
        <v>937287.48</v>
      </c>
      <c r="C163" s="19">
        <f>'DOE25'!G503</f>
        <v>0</v>
      </c>
      <c r="D163" s="19">
        <f>'DOE25'!H503</f>
        <v>0</v>
      </c>
      <c r="E163" s="19">
        <f>'DOE25'!I503</f>
        <v>0</v>
      </c>
      <c r="F163" s="19">
        <f>'DOE25'!J503</f>
        <v>0</v>
      </c>
      <c r="G163" s="96">
        <f t="shared" si="8"/>
        <v>937287.48</v>
      </c>
    </row>
    <row r="164" spans="1:7" x14ac:dyDescent="0.2">
      <c r="A164" s="21" t="s">
        <v>246</v>
      </c>
      <c r="B164" s="19">
        <f>'DOE25'!F504</f>
        <v>1530618.48</v>
      </c>
      <c r="C164" s="19">
        <f>'DOE25'!G504</f>
        <v>0</v>
      </c>
      <c r="D164" s="19">
        <f>'DOE25'!H504</f>
        <v>0</v>
      </c>
      <c r="E164" s="19">
        <f>'DOE25'!I504</f>
        <v>0</v>
      </c>
      <c r="F164" s="19">
        <f>'DOE25'!J504</f>
        <v>0</v>
      </c>
      <c r="G164" s="96">
        <f t="shared" si="8"/>
        <v>1530618.48</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Monadnock Regional</v>
      </c>
    </row>
    <row r="3" spans="1:4" x14ac:dyDescent="0.2">
      <c r="B3" s="136" t="s">
        <v>1792</v>
      </c>
    </row>
    <row r="4" spans="1:4" x14ac:dyDescent="0.2">
      <c r="B4" t="s">
        <v>61</v>
      </c>
      <c r="C4" s="128">
        <f>IF('DOE25'!F666+'DOE25'!F671=0,0,ROUND('DOE25'!F673,0))</f>
        <v>21413</v>
      </c>
    </row>
    <row r="5" spans="1:4" x14ac:dyDescent="0.2">
      <c r="B5" t="s">
        <v>700</v>
      </c>
      <c r="C5" s="128">
        <f>IF('DOE25'!G666+'DOE25'!G671=0,0,ROUND('DOE25'!G673,0))</f>
        <v>19060</v>
      </c>
    </row>
    <row r="6" spans="1:4" x14ac:dyDescent="0.2">
      <c r="B6" t="s">
        <v>62</v>
      </c>
      <c r="C6" s="128">
        <f>IF('DOE25'!H666+'DOE25'!H671=0,0,ROUND('DOE25'!H673,0))</f>
        <v>22219</v>
      </c>
    </row>
    <row r="7" spans="1:4" x14ac:dyDescent="0.2">
      <c r="B7" t="s">
        <v>701</v>
      </c>
      <c r="C7" s="128">
        <f>IF('DOE25'!I666+'DOE25'!I671=0,0,ROUND('DOE25'!I673,0))</f>
        <v>21249</v>
      </c>
    </row>
    <row r="9" spans="1:4" x14ac:dyDescent="0.2">
      <c r="A9" s="135" t="s">
        <v>94</v>
      </c>
      <c r="B9" s="136" t="s">
        <v>1793</v>
      </c>
      <c r="C9" s="130" t="s">
        <v>720</v>
      </c>
      <c r="D9" s="130" t="s">
        <v>721</v>
      </c>
    </row>
    <row r="10" spans="1:4" x14ac:dyDescent="0.2">
      <c r="A10">
        <v>1100</v>
      </c>
      <c r="B10" t="s">
        <v>702</v>
      </c>
      <c r="C10" s="128">
        <f>ROUND('DOE25'!L198+'DOE25'!L216+'DOE25'!L234+'DOE25'!L277+'DOE25'!L296+'DOE25'!L315,0)</f>
        <v>11584478</v>
      </c>
      <c r="D10" s="131">
        <f>ROUND((C10/$C$28)*100,1)</f>
        <v>30</v>
      </c>
    </row>
    <row r="11" spans="1:4" x14ac:dyDescent="0.2">
      <c r="A11">
        <v>1200</v>
      </c>
      <c r="B11" t="s">
        <v>703</v>
      </c>
      <c r="C11" s="128">
        <f>ROUND('DOE25'!L199+'DOE25'!L217+'DOE25'!L235+'DOE25'!L278+'DOE25'!L297+'DOE25'!L316,0)</f>
        <v>10218967</v>
      </c>
      <c r="D11" s="131">
        <f>ROUND((C11/$C$28)*100,1)</f>
        <v>26.4</v>
      </c>
    </row>
    <row r="12" spans="1:4" x14ac:dyDescent="0.2">
      <c r="A12">
        <v>1300</v>
      </c>
      <c r="B12" t="s">
        <v>704</v>
      </c>
      <c r="C12" s="128">
        <f>ROUND('DOE25'!L200+'DOE25'!L218+'DOE25'!L236+'DOE25'!L279+'DOE25'!L298+'DOE25'!L317,0)</f>
        <v>61216</v>
      </c>
      <c r="D12" s="131">
        <f>ROUND((C12/$C$28)*100,1)</f>
        <v>0.2</v>
      </c>
    </row>
    <row r="13" spans="1:4" x14ac:dyDescent="0.2">
      <c r="A13">
        <v>1400</v>
      </c>
      <c r="B13" t="s">
        <v>705</v>
      </c>
      <c r="C13" s="128">
        <f>ROUND('DOE25'!L201+'DOE25'!L219+'DOE25'!L237+'DOE25'!L280+'DOE25'!L299+'DOE25'!L318,0)</f>
        <v>1231239</v>
      </c>
      <c r="D13" s="131">
        <f>ROUND((C13/$C$28)*100,1)</f>
        <v>3.2</v>
      </c>
    </row>
    <row r="14" spans="1:4" x14ac:dyDescent="0.2">
      <c r="D14" s="131"/>
    </row>
    <row r="15" spans="1:4" x14ac:dyDescent="0.2">
      <c r="A15">
        <v>2100</v>
      </c>
      <c r="B15" t="s">
        <v>706</v>
      </c>
      <c r="C15" s="128">
        <f>ROUND('DOE25'!L203+'DOE25'!L221+'DOE25'!L239+'DOE25'!L282+'DOE25'!L301+'DOE25'!L320,0)</f>
        <v>2531289</v>
      </c>
      <c r="D15" s="131">
        <f t="shared" ref="D15:D27" si="0">ROUND((C15/$C$28)*100,1)</f>
        <v>6.5</v>
      </c>
    </row>
    <row r="16" spans="1:4" x14ac:dyDescent="0.2">
      <c r="A16">
        <v>2200</v>
      </c>
      <c r="B16" t="s">
        <v>707</v>
      </c>
      <c r="C16" s="128">
        <f>ROUND('DOE25'!L204+'DOE25'!L222+'DOE25'!L240+'DOE25'!L283+'DOE25'!L302+'DOE25'!L321,0)</f>
        <v>1147848</v>
      </c>
      <c r="D16" s="131">
        <f t="shared" si="0"/>
        <v>3</v>
      </c>
    </row>
    <row r="17" spans="1:4" x14ac:dyDescent="0.2">
      <c r="A17" s="132" t="s">
        <v>723</v>
      </c>
      <c r="B17" t="s">
        <v>738</v>
      </c>
      <c r="C17" s="128">
        <f>ROUND('DOE25'!L205+'DOE25'!L210+'DOE25'!L223+'DOE25'!L228+'DOE25'!L241+'DOE25'!L246+'DOE25'!L284+'DOE25'!L289+'DOE25'!L303+'DOE25'!L308+'DOE25'!L322+'DOE25'!L327,0)</f>
        <v>2022417</v>
      </c>
      <c r="D17" s="131">
        <f t="shared" si="0"/>
        <v>5.2</v>
      </c>
    </row>
    <row r="18" spans="1:4" x14ac:dyDescent="0.2">
      <c r="A18">
        <v>2400</v>
      </c>
      <c r="B18" t="s">
        <v>711</v>
      </c>
      <c r="C18" s="128">
        <f>ROUND('DOE25'!L206+'DOE25'!L224+'DOE25'!L242+'DOE25'!L285+'DOE25'!L304+'DOE25'!L323,0)</f>
        <v>2144707</v>
      </c>
      <c r="D18" s="131">
        <f t="shared" si="0"/>
        <v>5.5</v>
      </c>
    </row>
    <row r="19" spans="1:4" x14ac:dyDescent="0.2">
      <c r="A19">
        <v>2500</v>
      </c>
      <c r="B19" t="s">
        <v>708</v>
      </c>
      <c r="C19" s="128">
        <f>ROUND('DOE25'!L207+'DOE25'!L225+'DOE25'!L243+'DOE25'!L286+'DOE25'!L305+'DOE25'!L324,0)</f>
        <v>890329</v>
      </c>
      <c r="D19" s="131">
        <f t="shared" si="0"/>
        <v>2.2999999999999998</v>
      </c>
    </row>
    <row r="20" spans="1:4" x14ac:dyDescent="0.2">
      <c r="A20">
        <v>2600</v>
      </c>
      <c r="B20" t="s">
        <v>709</v>
      </c>
      <c r="C20" s="128">
        <f>ROUND('DOE25'!L208+'DOE25'!L226+'DOE25'!L244+'DOE25'!L287+'DOE25'!L306+'DOE25'!L325,0)</f>
        <v>3012867</v>
      </c>
      <c r="D20" s="131">
        <f t="shared" si="0"/>
        <v>7.8</v>
      </c>
    </row>
    <row r="21" spans="1:4" x14ac:dyDescent="0.2">
      <c r="A21">
        <v>2700</v>
      </c>
      <c r="B21" t="s">
        <v>710</v>
      </c>
      <c r="C21" s="128">
        <f>ROUND('DOE25'!L209+'DOE25'!L227+'DOE25'!L245+'DOE25'!L288+'DOE25'!L307+'DOE25'!L326,0)</f>
        <v>2307233</v>
      </c>
      <c r="D21" s="131">
        <f t="shared" si="0"/>
        <v>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492082</v>
      </c>
      <c r="D25" s="131">
        <f t="shared" si="0"/>
        <v>1.3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1004155.6699999999</v>
      </c>
      <c r="D27" s="131">
        <f t="shared" si="0"/>
        <v>2.6</v>
      </c>
    </row>
    <row r="28" spans="1:4" x14ac:dyDescent="0.2">
      <c r="B28" s="135" t="s">
        <v>719</v>
      </c>
      <c r="C28" s="129">
        <f>SUM(C10:C27)</f>
        <v>38648827.670000002</v>
      </c>
      <c r="D28" s="133">
        <f>ROUND(SUM(D10:D27),0)</f>
        <v>100</v>
      </c>
    </row>
    <row r="29" spans="1:4" x14ac:dyDescent="0.2">
      <c r="A29">
        <v>4000</v>
      </c>
      <c r="B29" t="s">
        <v>724</v>
      </c>
      <c r="C29" s="128">
        <f>ROUND('DOE25'!L256+'DOE25'!L337+'DOE25'!L375+'DOE25'!L376+'DOE25'!L377+'DOE25'!L378+'DOE25'!L379+'DOE25'!L380+'DOE25'!L381,0)</f>
        <v>2688947</v>
      </c>
    </row>
    <row r="30" spans="1:4" x14ac:dyDescent="0.2">
      <c r="B30" s="135" t="s">
        <v>725</v>
      </c>
      <c r="C30" s="129">
        <f>SUM(C28:C29)</f>
        <v>41337774.670000002</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18512400</v>
      </c>
      <c r="D35" s="131">
        <f t="shared" ref="D35:D40" si="1">ROUND((C35/$C$41)*100,1)</f>
        <v>47.8</v>
      </c>
    </row>
    <row r="36" spans="1:4" x14ac:dyDescent="0.2">
      <c r="B36" s="71" t="s">
        <v>739</v>
      </c>
      <c r="C36" s="128">
        <f>SUM('DOE25'!F112:J112)-SUM('DOE25'!G97:G110)+('DOE25'!F175+'DOE25'!F176+'DOE25'!I175+'DOE25'!I176)-C35</f>
        <v>1655912.9700000025</v>
      </c>
      <c r="D36" s="131">
        <f t="shared" si="1"/>
        <v>4.3</v>
      </c>
    </row>
    <row r="37" spans="1:4" x14ac:dyDescent="0.2">
      <c r="A37" s="132" t="s">
        <v>831</v>
      </c>
      <c r="B37" s="71" t="s">
        <v>728</v>
      </c>
      <c r="C37" s="128">
        <f>ROUND('DOE25'!F117+'DOE25'!F118,0)</f>
        <v>13253340</v>
      </c>
      <c r="D37" s="131">
        <f t="shared" si="1"/>
        <v>34.200000000000003</v>
      </c>
    </row>
    <row r="38" spans="1:4" x14ac:dyDescent="0.2">
      <c r="A38" s="132" t="s">
        <v>734</v>
      </c>
      <c r="B38" s="71" t="s">
        <v>729</v>
      </c>
      <c r="C38" s="128">
        <f>ROUND(SUM('DOE25'!F140:J140)-SUM('DOE25'!F117:F119),0)</f>
        <v>892498</v>
      </c>
      <c r="D38" s="131">
        <f t="shared" si="1"/>
        <v>2.2999999999999998</v>
      </c>
    </row>
    <row r="39" spans="1:4" x14ac:dyDescent="0.2">
      <c r="A39">
        <v>4000</v>
      </c>
      <c r="B39" s="71" t="s">
        <v>730</v>
      </c>
      <c r="C39" s="128">
        <f>ROUND('DOE25'!F170+'DOE25'!G170+'DOE25'!H170+'DOE25'!I170,0)</f>
        <v>4452718</v>
      </c>
      <c r="D39" s="131">
        <f t="shared" si="1"/>
        <v>11.5</v>
      </c>
    </row>
    <row r="40" spans="1:4" x14ac:dyDescent="0.2">
      <c r="A40" s="132" t="s">
        <v>735</v>
      </c>
      <c r="B40" s="71" t="s">
        <v>731</v>
      </c>
      <c r="C40" s="128">
        <f>ROUND(SUM('DOE25'!F190:F192)+SUM('DOE25'!G190:G192)+SUM('DOE25'!H190:H192)+SUM('DOE25'!I190:I192),0)</f>
        <v>135</v>
      </c>
      <c r="D40" s="131">
        <f t="shared" si="1"/>
        <v>0</v>
      </c>
    </row>
    <row r="41" spans="1:4" x14ac:dyDescent="0.2">
      <c r="B41" s="135" t="s">
        <v>732</v>
      </c>
      <c r="C41" s="129">
        <f>SUM(C35:C40)</f>
        <v>38767003.969999999</v>
      </c>
      <c r="D41" s="133">
        <f>SUM(D35:D40)</f>
        <v>100.1</v>
      </c>
    </row>
    <row r="42" spans="1:4" x14ac:dyDescent="0.2">
      <c r="A42" s="132" t="s">
        <v>737</v>
      </c>
      <c r="B42" s="71" t="s">
        <v>733</v>
      </c>
      <c r="C42" s="128">
        <f>ROUND('DOE25'!F174+'DOE25'!I174+'DOE25'!F177+'DOE25'!I177,0)</f>
        <v>21500000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Monadnock Regional</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58</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48</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61</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66</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102</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IFERROR(SMALL($I$4:$I$385,ROWS($I$4:I7)),"")</f>
        <v>208</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IFERROR(SMALL($I$4:$I$385,ROWS($I$4:I8)),"")</f>
        <v>303</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f>IF('School Level Expenditures'!$B$2='School Tables'!L51,'School Tables'!S51,"")</f>
        <v>48</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f>IF('School Level Expenditures'!$B$2=A61,'School Tables'!H61,"")</f>
        <v>58</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f>IF('School Level Expenditures'!$B$2='School Tables'!W64,'School Tables'!AD64,"")</f>
        <v>61</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f>IF('School Level Expenditures'!$B$2=A69,'School Tables'!H69,"")</f>
        <v>66</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f>IF('School Level Expenditures'!$B$2=A105,'School Tables'!H105,"")</f>
        <v>102</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f>IF('School Level Expenditures'!$B$2=A211,'School Tables'!H211,"")</f>
        <v>208</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f>IF('School Level Expenditures'!$B$2=A306,'School Tables'!H306,"")</f>
        <v>303</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2024-10-01T16:58:40Z</cp:lastPrinted>
  <dcterms:created xsi:type="dcterms:W3CDTF">1997-12-04T19:04:30Z</dcterms:created>
  <dcterms:modified xsi:type="dcterms:W3CDTF">2024-12-20T19:17:00Z</dcterms:modified>
</cp:coreProperties>
</file>