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799B3B60-ACCE-4BA9-8DE2-461320FAF59B}"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D26" i="14"/>
  <c r="E26" i="14"/>
  <c r="E6" i="14"/>
  <c r="E13" i="17"/>
  <c r="E9" i="17"/>
  <c r="J469" i="1"/>
  <c r="F580" i="1"/>
  <c r="G473" i="1"/>
  <c r="H473" i="1"/>
  <c r="F473" i="1"/>
  <c r="G460" i="1"/>
  <c r="J110" i="1"/>
  <c r="J180" i="1"/>
  <c r="J96" i="1"/>
  <c r="G469" i="1"/>
  <c r="H469" i="1"/>
  <c r="I469" i="1"/>
  <c r="F469" i="1"/>
  <c r="H460" i="1"/>
  <c r="F50"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F475" i="1"/>
  <c r="G475" i="1"/>
  <c r="H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3" i="1"/>
  <c r="H634" i="1"/>
  <c r="H636" i="1"/>
  <c r="H637" i="1"/>
  <c r="G644" i="1"/>
  <c r="G645" i="1"/>
  <c r="G652" i="1"/>
  <c r="H653" i="1"/>
  <c r="G654" i="1"/>
  <c r="H654" i="1"/>
  <c r="H655" i="1"/>
  <c r="H656" i="1"/>
  <c r="G62" i="2" l="1"/>
  <c r="H58" i="2"/>
  <c r="H94" i="2"/>
  <c r="H79" i="2"/>
  <c r="H137" i="2"/>
  <c r="H101" i="2"/>
  <c r="H99" i="2"/>
  <c r="H87" i="2"/>
  <c r="H80" i="2"/>
  <c r="H96" i="2"/>
  <c r="H12" i="2"/>
  <c r="G477" i="1"/>
  <c r="G409" i="1"/>
  <c r="H646" i="1" s="1"/>
  <c r="H8" i="2"/>
  <c r="G646" i="1"/>
  <c r="F85" i="2"/>
  <c r="H35" i="2"/>
  <c r="H13" i="2"/>
  <c r="H9" i="2"/>
  <c r="H38" i="2"/>
  <c r="H43" i="2"/>
  <c r="H69" i="2"/>
  <c r="H25" i="2"/>
  <c r="H17" i="2"/>
  <c r="H143" i="2"/>
  <c r="J652" i="1"/>
  <c r="H102" i="2"/>
  <c r="H100" i="2"/>
  <c r="H98" i="2"/>
  <c r="H15" i="2"/>
  <c r="E124" i="2"/>
  <c r="G663" i="1"/>
  <c r="H125" i="2"/>
  <c r="H477" i="1"/>
  <c r="H625" i="1" s="1"/>
  <c r="J625" i="1" s="1"/>
  <c r="J140" i="1"/>
  <c r="K36" i="14"/>
  <c r="K37" i="14" s="1"/>
  <c r="D18" i="13"/>
  <c r="C18" i="13" s="1"/>
  <c r="H93" i="2"/>
  <c r="I409" i="1"/>
  <c r="H89" i="2"/>
  <c r="H72" i="2"/>
  <c r="H59" i="2"/>
  <c r="H34" i="2"/>
  <c r="H132" i="2"/>
  <c r="H36" i="2"/>
  <c r="H44" i="2"/>
  <c r="H97" i="2"/>
  <c r="H26" i="2"/>
  <c r="D144" i="2"/>
  <c r="H76" i="2"/>
  <c r="H24" i="2"/>
  <c r="C13" i="10"/>
  <c r="C12" i="10"/>
  <c r="H77" i="2"/>
  <c r="H61" i="2"/>
  <c r="D29" i="13"/>
  <c r="C29" i="13" s="1"/>
  <c r="G662" i="1"/>
  <c r="C32" i="10"/>
  <c r="E13" i="13"/>
  <c r="C13" i="13" s="1"/>
  <c r="D15" i="13"/>
  <c r="C15" i="13" s="1"/>
  <c r="G651" i="1"/>
  <c r="J651" i="1" s="1"/>
  <c r="C120" i="2"/>
  <c r="H120" i="2" s="1"/>
  <c r="K2" i="14"/>
  <c r="K3" i="14" s="1"/>
  <c r="C112" i="2"/>
  <c r="H112" i="2" s="1"/>
  <c r="C119" i="2"/>
  <c r="H48" i="2"/>
  <c r="H47" i="2"/>
  <c r="H30" i="2"/>
  <c r="H29" i="2"/>
  <c r="H28" i="2"/>
  <c r="H27" i="2"/>
  <c r="H23" i="2"/>
  <c r="H22"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140" i="1"/>
  <c r="B11" i="16" s="1"/>
  <c r="F140" i="1"/>
  <c r="F194" i="1" s="1"/>
  <c r="G63" i="2"/>
  <c r="J619" i="1"/>
  <c r="G42" i="2"/>
  <c r="G50" i="2" s="1"/>
  <c r="J51" i="1"/>
  <c r="G16" i="2"/>
  <c r="G18" i="2" s="1"/>
  <c r="J19" i="1"/>
  <c r="G622" i="1" s="1"/>
  <c r="F546" i="1"/>
  <c r="H435" i="1"/>
  <c r="D103" i="2"/>
  <c r="I140" i="1"/>
  <c r="A22" i="12"/>
  <c r="J653" i="1"/>
  <c r="G572" i="1"/>
  <c r="I435" i="1"/>
  <c r="G435" i="1"/>
  <c r="I664" i="1"/>
  <c r="H103" i="2" l="1"/>
  <c r="G647" i="1"/>
  <c r="H16" i="2"/>
  <c r="H57" i="2"/>
  <c r="H42" i="2"/>
  <c r="H21" i="2"/>
  <c r="H78" i="2"/>
  <c r="L572" i="1"/>
  <c r="H134" i="2"/>
  <c r="H85" i="2"/>
  <c r="H123" i="2"/>
  <c r="H122" i="2"/>
  <c r="H91" i="2"/>
  <c r="I662" i="1"/>
  <c r="H62" i="2"/>
  <c r="C81" i="2"/>
  <c r="H81" i="2" s="1"/>
  <c r="D128" i="2"/>
  <c r="D145" i="2" s="1"/>
  <c r="H127" i="2"/>
  <c r="E51" i="2"/>
  <c r="H50" i="2"/>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9" i="1" s="1"/>
  <c r="J629" i="1" s="1"/>
  <c r="G627" i="1"/>
  <c r="J52" i="1"/>
  <c r="H622" i="1" s="1"/>
  <c r="J622" i="1" s="1"/>
  <c r="C38" i="10"/>
  <c r="G639" i="1" l="1"/>
  <c r="J473" i="1"/>
  <c r="H638" i="1"/>
  <c r="J471" i="1"/>
  <c r="H632" i="1"/>
  <c r="J632" i="1" s="1"/>
  <c r="C104" i="2"/>
  <c r="H104" i="2" s="1"/>
  <c r="H63" i="2"/>
  <c r="C144" i="2"/>
  <c r="H144" i="2" s="1"/>
  <c r="H141" i="2"/>
  <c r="H51" i="2"/>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475" i="1" l="1"/>
  <c r="J477" i="1" s="1"/>
  <c r="H627" i="1" s="1"/>
  <c r="H639" i="1"/>
  <c r="J639" i="1"/>
  <c r="C145" i="2"/>
  <c r="J638" i="1"/>
  <c r="H145" i="2"/>
  <c r="I670" i="1"/>
  <c r="I673" i="1" s="1"/>
  <c r="C7" i="10" s="1"/>
  <c r="F673" i="1"/>
  <c r="C4" i="10" s="1"/>
  <c r="I668" i="1"/>
  <c r="D28" i="10"/>
  <c r="D37" i="10"/>
  <c r="D36" i="10"/>
  <c r="D35" i="10"/>
  <c r="D40" i="10"/>
  <c r="D39" i="10"/>
  <c r="J627"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<sst xmlns="http://schemas.openxmlformats.org/spreadsheetml/2006/main" count="6642" uniqueCount="1843">
  <si>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</si>
  <si>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</si>
  <si>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</si>
  <si>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</si>
  <si>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</si>
  <si>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</si>
  <si>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</si>
  <si>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</si>
  <si>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</si>
  <si>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</si>
  <si>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</si>
  <si>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</si>
  <si>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</si>
  <si>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</si>
  <si>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</si>
  <si>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</si>
  <si>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</si>
  <si>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</si>
  <si>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</si>
  <si>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</si>
  <si>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</si>
  <si>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</si>
  <si>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</si>
  <si>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</si>
  <si>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</si>
  <si>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</si>
  <si>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</si>
  <si>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</si>
  <si>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</si>
  <si>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</si>
  <si>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</si>
  <si>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</si>
  <si>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</si>
  <si>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</si>
  <si>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</si>
  <si>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</si>
  <si>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</si>
  <si>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</si>
  <si>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</si>
  <si>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</si>
  <si>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</si>
  <si>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</si>
  <si>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</si>
  <si>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</si>
  <si>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</si>
  <si>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</si>
  <si>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</si>
  <si>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</si>
  <si>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</si>
  <si>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</si>
  <si>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</si>
  <si>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</si>
  <si>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</si>
  <si>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</si>
  <si>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</si>
  <si>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</si>
  <si>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</si>
  <si>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</si>
  <si>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</si>
  <si>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</si>
  <si>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</si>
  <si>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</si>
  <si>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</si>
  <si>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</si>
  <si>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</si>
  <si>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</si>
  <si>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</si>
  <si>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</si>
  <si>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</si>
  <si>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</si>
  <si>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</si>
  <si>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</si>
  <si>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</si>
  <si>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</si>
  <si>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</si>
  <si>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</si>
  <si>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</si>
  <si>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</si>
  <si>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</si>
  <si>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</si>
  <si>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</si>
  <si>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</si>
  <si>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</si>
  <si>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</si>
  <si>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</si>
  <si>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</si>
  <si>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</si>
  <si>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</si>
  <si>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</si>
  <si>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</si>
  <si>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</si>
  <si>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</si>
  <si>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</si>
  <si>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</si>
  <si>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</si>
  <si>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</si>
  <si>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</si>
  <si>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</si>
  <si>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</si>
  <si>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</si>
  <si>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</si>
  <si>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</si>
  <si>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</si>
  <si>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</si>
  <si>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</si>
  <si>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</si>
  <si>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</si>
  <si>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</si>
  <si>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</si>
  <si>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</si>
  <si>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</si>
  <si>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</si>
  <si>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</si>
  <si>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</si>
  <si>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</si>
  <si>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</si>
  <si>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</si>
  <si>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</si>
  <si>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</si>
  <si>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</si>
  <si>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</si>
  <si>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</si>
  <si>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</si>
  <si>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</si>
  <si>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</si>
  <si>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</si>
  <si>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</si>
  <si>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</si>
  <si>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</si>
  <si>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</si>
  <si>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</si>
  <si>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</si>
  <si>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</si>
  <si>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</si>
  <si>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</si>
  <si>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</si>
  <si>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</si>
  <si>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</si>
  <si>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</si>
  <si>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</si>
  <si>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</si>
  <si>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</si>
  <si>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</si>
  <si>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</si>
  <si>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</si>
  <si>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</si>
  <si>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</si>
  <si>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</si>
  <si>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</si>
  <si>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</si>
  <si>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</si>
  <si>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</si>
  <si>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</si>
  <si>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</si>
  <si>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</si>
  <si>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</si>
  <si>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</si>
  <si>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</si>
  <si>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</si>
  <si>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</si>
  <si>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</si>
  <si>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</si>
  <si>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</si>
  <si>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</si>
  <si>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</si>
  <si>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</si>
  <si>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</si>
  <si>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</si>
  <si>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</si>
  <si>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</si>
  <si>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</si>
  <si>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</si>
  <si>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</si>
  <si>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</si>
  <si>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</si>
  <si>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</si>
  <si>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</si>
  <si>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</si>
  <si>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</si>
  <si>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</si>
  <si>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</si>
  <si>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</si>
  <si>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</si>
  <si>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</si>
  <si>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</si>
  <si>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</si>
  <si>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</si>
  <si>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</si>
  <si>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</si>
  <si>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</si>
  <si>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</si>
  <si>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</si>
  <si>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</si>
  <si>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</si>
  <si>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</si>
  <si>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</si>
  <si>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</si>
  <si>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</si>
  <si>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</si>
  <si>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</si>
  <si>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</si>
  <si>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</si>
  <si>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</si>
  <si>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</si>
  <si>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</si>
  <si>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</si>
  <si>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</si>
  <si>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</si>
  <si>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</si>
  <si>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</si>
  <si>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</si>
  <si>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</si>
  <si>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</si>
  <si>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</si>
  <si>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</si>
  <si>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</si>
  <si>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</si>
  <si>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</si>
  <si>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</si>
  <si>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</si>
  <si>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</si>
  <si>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</si>
  <si>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</si>
  <si>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</si>
  <si>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</si>
  <si>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</si>
  <si>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</si>
  <si>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</si>
  <si>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</si>
  <si>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</si>
  <si>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</si>
  <si>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</si>
  <si>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</si>
  <si>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</si>
  <si>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</si>
  <si>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</si>
  <si>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</si>
  <si>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</si>
  <si>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</si>
  <si>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</si>
  <si>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</si>
  <si>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</si>
  <si>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</si>
  <si>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</si>
  <si>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</si>
  <si>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</si>
  <si>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</si>
  <si>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</si>
  <si>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</si>
  <si>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</si>
  <si>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</si>
  <si>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</si>
  <si>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</si>
  <si>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</si>
  <si>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</si>
  <si>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</si>
  <si>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</si>
  <si>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</si>
  <si>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</si>
  <si>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</si>
  <si>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</si>
  <si>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</si>
  <si>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</si>
  <si>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</si>
  <si>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</si>
  <si>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</si>
  <si>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</si>
  <si>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</si>
  <si>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</si>
  <si>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</si>
  <si>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</si>
  <si>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</si>
  <si>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</si>
  <si>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</si>
  <si>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</si>
  <si>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</si>
  <si>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</si>
  <si>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</si>
  <si>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</si>
  <si>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</si>
  <si>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</si>
  <si>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</si>
  <si>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</si>
  <si>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</si>
  <si>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</si>
  <si>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</si>
  <si>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</si>
  <si>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</si>
  <si>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</si>
  <si>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</si>
  <si>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</si>
  <si>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</si>
  <si>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</si>
  <si>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</si>
  <si>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</si>
  <si>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</si>
  <si>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</si>
  <si>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</si>
  <si>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</si>
  <si>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</si>
  <si>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</si>
  <si>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</si>
  <si>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</si>
  <si>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</si>
  <si>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</si>
  <si>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</si>
  <si>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</si>
  <si>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</si>
  <si>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</si>
  <si>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</si>
  <si>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</si>
  <si>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</si>
  <si>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</si>
  <si>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</si>
  <si>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</si>
  <si>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</si>
  <si>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</si>
  <si>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</si>
  <si>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</si>
  <si>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</si>
  <si>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</si>
  <si>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</si>
  <si>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</si>
  <si>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</si>
  <si>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</si>
  <si>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</si>
  <si>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</si>
  <si>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</si>
  <si>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</si>
  <si>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</si>
  <si>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</si>
  <si>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</si>
  <si>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</si>
  <si>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</si>
  <si>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</si>
  <si>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</si>
  <si>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</si>
  <si>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</si>
  <si>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</si>
  <si>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</si>
  <si>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</si>
  <si>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</si>
  <si>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</si>
  <si>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</si>
  <si>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</si>
  <si>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</si>
  <si>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</si>
  <si>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</si>
  <si>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</si>
  <si>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</si>
  <si>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</si>
  <si>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</si>
  <si>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</si>
  <si>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</si>
  <si>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</si>
  <si>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</si>
  <si>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</si>
  <si>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</si>
  <si>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</si>
  <si>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</si>
  <si>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</si>
  <si>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</si>
  <si>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</si>
  <si>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</si>
  <si>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</si>
  <si>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</si>
  <si>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</si>
  <si>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</si>
  <si>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</si>
  <si>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</si>
  <si>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</si>
  <si>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</si>
  <si>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</si>
  <si>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</si>
  <si>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</si>
  <si>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</si>
  <si>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</si>
  <si>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</si>
  <si>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</si>
  <si>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</si>
  <si>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</si>
  <si>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</si>
  <si>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</si>
  <si>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</si>
  <si>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</si>
  <si>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</si>
  <si>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</si>
  <si>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</si>
  <si>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</si>
  <si>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</si>
  <si>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</si>
  <si>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</si>
  <si>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</si>
  <si>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</si>
  <si>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</si>
  <si>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</si>
  <si>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</si>
  <si>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</si>
  <si>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</si>
  <si>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</si>
  <si>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</si>
  <si>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</si>
  <si>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</si>
  <si>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</si>
  <si>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</si>
  <si>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</si>
  <si>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</si>
  <si>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</si>
  <si>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</si>
  <si>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</si>
  <si>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</si>
  <si>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</si>
  <si>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</si>
  <si>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</si>
  <si>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</si>
  <si>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</si>
  <si>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</si>
  <si>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</si>
  <si>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</si>
  <si>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</si>
  <si>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</si>
  <si>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</si>
  <si>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</si>
  <si>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</si>
  <si>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</si>
  <si>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</si>
  <si>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</si>
  <si>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</si>
  <si>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</si>
  <si>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</si>
  <si>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</si>
  <si>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</si>
  <si>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</si>
  <si>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</si>
  <si>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</si>
  <si>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</si>
  <si>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</si>
  <si>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</si>
  <si>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</si>
  <si>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</si>
  <si>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</si>
  <si>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</si>
  <si>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</si>
  <si>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</si>
  <si>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</si>
  <si>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</si>
  <si>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</si>
  <si>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</si>
  <si>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</si>
  <si>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</si>
  <si>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</si>
  <si>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</si>
  <si>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</si>
  <si>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</si>
  <si>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</si>
  <si>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</si>
  <si>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</si>
  <si>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</si>
  <si>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</si>
  <si>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</si>
  <si>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</si>
  <si>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</si>
  <si>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</si>
  <si>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</si>
  <si>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</si>
  <si>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</si>
  <si>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</si>
  <si>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</si>
  <si>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</si>
  <si>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</si>
  <si>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</si>
  <si>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</si>
  <si>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</si>
  <si>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</si>
  <si>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</si>
  <si>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</si>
  <si>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</si>
  <si>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</si>
  <si>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</si>
  <si>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</si>
  <si>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</si>
  <si>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</si>
  <si>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</si>
  <si>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</si>
  <si>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</si>
  <si>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</si>
  <si>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</si>
  <si>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</si>
  <si>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</si>
  <si>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</si>
  <si>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</si>
  <si>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</si>
  <si>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</si>
  <si>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</si>
  <si>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</si>
  <si>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</si>
  <si>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</si>
  <si>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</si>
  <si>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</si>
  <si>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</si>
  <si>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</si>
  <si>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</si>
  <si>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</si>
  <si>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</si>
  <si>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</si>
  <si>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</si>
  <si>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</si>
  <si>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</si>
  <si>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</si>
  <si>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</si>
  <si>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</si>
  <si>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</si>
  <si>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</si>
  <si>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</si>
  <si>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</si>
  <si>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</si>
  <si>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</si>
  <si>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</si>
  <si>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</si>
  <si>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</si>
  <si>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</si>
  <si>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</si>
  <si>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</si>
  <si>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</si>
  <si>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</si>
  <si>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</si>
  <si>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</si>
  <si>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</si>
  <si>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</si>
  <si>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</si>
  <si>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</si>
  <si>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</si>
  <si>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</si>
  <si>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</si>
  <si>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</si>
  <si>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</si>
  <si>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</si>
  <si>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</si>
  <si>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</si>
  <si>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</si>
  <si>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</si>
  <si>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</si>
  <si>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</si>
  <si>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</si>
  <si>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</si>
  <si>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</si>
  <si>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</si>
  <si>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</si>
  <si>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</si>
  <si>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</si>
  <si>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</si>
  <si>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</si>
  <si>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</si>
  <si>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</si>
  <si>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</si>
  <si>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</si>
  <si>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</si>
  <si>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</si>
  <si>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</si>
  <si>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</si>
  <si>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</si>
  <si>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</si>
  <si>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</si>
  <si>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</si>
  <si>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</si>
  <si>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</si>
  <si>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</si>
  <si>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</si>
  <si>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</si>
  <si>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</si>
  <si>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</si>
  <si>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</si>
  <si>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</si>
  <si>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</si>
  <si>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</si>
  <si>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</si>
  <si>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</si>
  <si>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</si>
  <si>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</si>
  <si>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</si>
  <si>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</si>
  <si>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</si>
  <si>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</si>
  <si>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</si>
  <si>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</si>
  <si>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</si>
  <si>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</si>
  <si>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</si>
  <si>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</si>
  <si>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</si>
  <si>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</si>
  <si>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</si>
  <si>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</si>
  <si>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</si>
  <si>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</si>
  <si>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</si>
  <si>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</si>
  <si>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</si>
  <si>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</si>
  <si>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</si>
  <si>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</si>
  <si>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</si>
  <si>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</si>
  <si>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</si>
  <si>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</si>
  <si>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</si>
  <si>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</si>
  <si>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</si>
  <si>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</si>
  <si>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</si>
  <si>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</si>
  <si>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</si>
  <si>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</si>
  <si>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</si>
  <si>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</si>
  <si>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</si>
  <si>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</si>
  <si>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</si>
  <si>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</si>
  <si>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</si>
  <si>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</si>
  <si>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</si>
  <si>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</si>
  <si>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</si>
  <si>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</si>
  <si>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</si>
  <si>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</si>
  <si>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</si>
  <si>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</si>
  <si>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</si>
  <si>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</si>
  <si>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</si>
  <si>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</si>
  <si>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</si>
  <si>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</si>
  <si>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</si>
  <si>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</si>
  <si>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</si>
  <si>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</si>
  <si>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</si>
  <si>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</si>
  <si>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</si>
  <si>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</si>
  <si>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</si>
  <si>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</si>
  <si>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</si>
  <si>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</si>
  <si>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</si>
  <si>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</si>
  <si>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</si>
  <si>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</si>
  <si>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</si>
  <si>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</si>
  <si>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</si>
  <si>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</si>
  <si>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</si>
  <si>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</si>
  <si>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</si>
  <si>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</si>
  <si>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</si>
  <si>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</si>
  <si>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</si>
  <si>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</si>
  <si>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</si>
  <si>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</si>
  <si>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</si>
  <si>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</si>
  <si>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</si>
  <si>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</si>
  <si>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</si>
  <si>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</si>
  <si>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</si>
  <si>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</si>
  <si>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</si>
  <si>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</si>
  <si>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</si>
  <si>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</si>
  <si>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</si>
  <si>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</si>
  <si>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</si>
  <si>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</si>
  <si>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</si>
  <si>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</si>
  <si>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</si>
  <si>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</si>
  <si>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</si>
  <si>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</si>
  <si>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</si>
  <si>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</si>
  <si>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</si>
  <si>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</si>
  <si>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</si>
  <si>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</si>
  <si>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</si>
  <si>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</si>
  <si>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</si>
  <si>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</si>
  <si>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</si>
  <si>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</si>
  <si>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</si>
  <si>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</si>
  <si>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</si>
  <si>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</si>
  <si>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</si>
  <si>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</si>
  <si>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</si>
  <si>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</si>
  <si>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</si>
  <si>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</si>
  <si>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</si>
  <si>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</si>
  <si>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</si>
  <si>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</si>
  <si>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</si>
  <si>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</si>
  <si>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</si>
  <si>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</si>
  <si>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</si>
  <si>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</si>
  <si>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</si>
  <si>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</si>
  <si>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</si>
  <si>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</si>
  <si>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</si>
  <si>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</si>
  <si>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</si>
  <si>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</si>
  <si>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</si>
  <si>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</si>
  <si>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</si>
  <si>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</si>
  <si>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</si>
  <si>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</si>
  <si>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</si>
  <si>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</si>
  <si>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</si>
  <si>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</si>
  <si>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</si>
  <si>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</si>
  <si>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</si>
  <si>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</si>
  <si>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</si>
  <si>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</si>
  <si>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</si>
  <si>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</si>
  <si>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</si>
  <si>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</si>
  <si>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</si>
  <si>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</si>
  <si>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</si>
  <si>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</si>
  <si>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</si>
  <si>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</si>
  <si>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</si>
  <si>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</si>
  <si>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</si>
  <si>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</si>
  <si>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</si>
  <si>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</si>
  <si>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</si>
  <si>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</si>
  <si>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</si>
  <si>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</si>
  <si>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</si>
  <si>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</si>
  <si>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</si>
  <si>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</si>
  <si>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</si>
  <si>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</si>
  <si>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</si>
  <si>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</si>
  <si>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</si>
  <si>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</si>
  <si>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</si>
  <si>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</si>
  <si>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</si>
  <si>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</si>
  <si>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</si>
  <si>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</si>
  <si>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</si>
  <si>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</si>
  <si>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</si>
  <si>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</si>
  <si>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</si>
  <si>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</si>
  <si>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</si>
  <si>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</si>
  <si>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</si>
  <si>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</si>
  <si>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</si>
  <si>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</si>
  <si>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</si>
  <si>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</si>
  <si>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</si>
  <si>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</si>
  <si>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</si>
  <si>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</si>
  <si>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</si>
  <si>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</si>
  <si>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</si>
  <si>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</si>
  <si>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</si>
  <si>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</si>
  <si>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</si>
  <si>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</si>
  <si>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</si>
  <si>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</si>
  <si>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</si>
  <si>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</si>
  <si>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</si>
  <si>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</si>
  <si>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</si>
  <si>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</si>
  <si>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</si>
  <si>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</si>
  <si>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</si>
  <si>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</si>
  <si>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</si>
  <si>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</si>
  <si>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</si>
  <si>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</si>
  <si>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</si>
  <si>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</si>
  <si>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</si>
  <si>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</si>
  <si>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</si>
  <si>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</si>
  <si>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</si>
  <si>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</si>
  <si>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</si>
  <si>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</si>
  <si>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</si>
  <si>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</si>
  <si>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</si>
  <si>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</si>
  <si>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</si>
  <si>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</si>
  <si>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</si>
  <si>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</si>
  <si>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</si>
  <si>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</si>
  <si>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</si>
  <si>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</si>
  <si>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</si>
  <si>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</si>
  <si>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</si>
  <si>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</si>
  <si>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</si>
  <si>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</si>
  <si>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</si>
  <si>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</si>
  <si>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</si>
  <si>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</si>
  <si>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</si>
  <si>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</si>
  <si>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</si>
  <si>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</si>
  <si>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</si>
  <si>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</si>
  <si>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</si>
  <si>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</si>
  <si>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</si>
  <si>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</si>
  <si>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</si>
  <si>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</si>
  <si>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</si>
  <si>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</si>
  <si>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</si>
  <si>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</si>
  <si>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</si>
  <si>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</si>
  <si>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</si>
  <si>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</si>
  <si>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</si>
  <si>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</si>
  <si>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</si>
  <si>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</si>
  <si>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</si>
  <si>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</si>
  <si>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</si>
  <si>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</si>
  <si>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</si>
  <si>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</si>
  <si>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</si>
  <si>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</si>
  <si>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</si>
  <si>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</si>
  <si>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</si>
  <si>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</si>
  <si>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</si>
  <si>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</si>
  <si>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</si>
  <si>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</si>
  <si>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</si>
  <si>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</si>
  <si>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</si>
  <si>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</si>
  <si>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</si>
  <si>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</si>
  <si>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</si>
  <si>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</si>
  <si>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</si>
  <si>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</si>
  <si>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</si>
  <si>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</si>
  <si>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</si>
  <si>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</si>
  <si>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</si>
  <si>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</si>
  <si>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</si>
  <si>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</si>
  <si>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</si>
  <si>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</si>
  <si>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</si>
  <si>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</si>
  <si>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</si>
  <si>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</si>
  <si>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</si>
  <si>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</si>
  <si>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</si>
  <si>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</si>
  <si>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</si>
  <si>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</si>
  <si>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</si>
  <si>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</si>
  <si>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</si>
  <si>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</si>
  <si>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</si>
  <si>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</si>
  <si>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</si>
  <si>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</si>
  <si>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</si>
  <si>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</si>
  <si>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</si>
  <si>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</si>
  <si>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</si>
  <si>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</si>
  <si>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</si>
  <si>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</si>
  <si>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</si>
  <si>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</si>
  <si>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</si>
  <si>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</si>
  <si>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</si>
  <si>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</si>
  <si>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</si>
  <si>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</si>
  <si>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</si>
  <si>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</si>
  <si>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</si>
  <si>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</si>
  <si>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</si>
  <si>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</si>
  <si>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</si>
  <si>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</si>
  <si>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</si>
  <si>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</si>
  <si>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</si>
  <si>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</si>
  <si>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</si>
  <si>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</si>
  <si>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</si>
  <si>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</si>
  <si>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</si>
  <si>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</si>
  <si>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</si>
  <si>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</si>
  <si>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</si>
  <si>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</si>
  <si>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</si>
  <si>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</si>
  <si>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</si>
  <si>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</si>
  <si>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</si>
  <si>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</si>
  <si>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</si>
  <si>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</si>
  <si>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</si>
  <si>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</si>
  <si>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</si>
  <si>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</si>
  <si>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</si>
  <si>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</si>
  <si>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</si>
  <si>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</si>
  <si>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</si>
  <si>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</si>
  <si>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</si>
  <si>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</si>
  <si>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</si>
  <si>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</si>
  <si>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</si>
  <si>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</si>
  <si>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</si>
  <si>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</si>
  <si>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</si>
  <si>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</si>
  <si>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</si>
  <si>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</si>
  <si>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</si>
  <si>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</si>
  <si>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</si>
  <si>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</si>
  <si>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</si>
  <si>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</si>
  <si>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</si>
  <si>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</si>
  <si>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</si>
  <si>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</si>
  <si>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</si>
  <si>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</si>
  <si>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</si>
  <si>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</si>
  <si>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</si>
  <si>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</si>
  <si>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</si>
  <si>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</si>
  <si>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</si>
  <si>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</si>
  <si>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</si>
  <si>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</si>
  <si>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</si>
  <si>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</si>
  <si>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</si>
  <si>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</si>
  <si>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</si>
  <si>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</si>
  <si>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</si>
  <si>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</si>
  <si>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</si>
  <si>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</si>
  <si>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</si>
  <si>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</si>
  <si>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</si>
  <si>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</si>
  <si>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</si>
  <si>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</si>
  <si>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</si>
  <si>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</si>
  <si>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</si>
  <si>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</si>
  <si>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</si>
  <si>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</si>
  <si>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</si>
  <si>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</si>
  <si>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</si>
  <si>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</si>
  <si>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</si>
  <si>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</si>
  <si>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</si>
  <si>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</si>
  <si>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</si>
  <si>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</si>
  <si>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</si>
  <si>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</si>
  <si>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</si>
  <si>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</si>
  <si>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</si>
  <si>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</si>
  <si>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</si>
  <si>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</si>
  <si>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</si>
  <si>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</si>
  <si>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</si>
  <si>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</si>
  <si>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</si>
  <si>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</si>
  <si>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</si>
  <si>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</si>
  <si>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</si>
  <si>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</si>
  <si>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</si>
  <si>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</si>
  <si>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</si>
  <si>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</si>
  <si>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</si>
  <si>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</si>
  <si>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</si>
  <si>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</si>
  <si>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</si>
  <si>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</si>
  <si>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</si>
  <si>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</si>
  <si>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</si>
  <si>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</si>
  <si>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</si>
  <si>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</si>
  <si>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</si>
  <si>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</si>
  <si>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</si>
  <si>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</si>
  <si>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</si>
  <si>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</si>
  <si>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</si>
  <si>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</si>
  <si>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</si>
  <si>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</si>
  <si>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</si>
  <si>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</si>
  <si>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</si>
  <si>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</si>
  <si>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</si>
  <si>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</si>
  <si>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</si>
  <si>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</si>
  <si>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</si>
  <si>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</si>
  <si>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</si>
  <si>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</si>
  <si>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</si>
  <si>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</si>
  <si>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</si>
  <si>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</si>
  <si>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</si>
  <si>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</si>
  <si>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</si>
  <si>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</si>
  <si>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</si>
  <si>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</si>
  <si>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</si>
  <si>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</si>
  <si>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</si>
  <si>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</si>
  <si>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</si>
  <si>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</si>
  <si>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</si>
  <si>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</si>
  <si>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</si>
  <si>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</si>
  <si>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</si>
  <si>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</si>
  <si>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</si>
  <si>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</si>
  <si>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</si>
  <si>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</si>
  <si>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</si>
  <si>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</si>
  <si>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</si>
  <si>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</si>
  <si>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</si>
  <si>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</si>
  <si>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</si>
  <si>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</si>
  <si>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</si>
  <si>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</si>
  <si>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</si>
  <si>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</si>
  <si>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</si>
  <si>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</si>
  <si>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</si>
  <si>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</si>
  <si>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</si>
  <si>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</si>
  <si>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</si>
  <si>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</si>
  <si>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</si>
  <si>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</si>
  <si>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</si>
  <si>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</si>
  <si>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</si>
  <si>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</si>
  <si>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</si>
  <si>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</si>
  <si>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</si>
  <si>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</si>
  <si>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</si>
  <si>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</si>
  <si>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</si>
  <si>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</si>
  <si>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</si>
  <si>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</si>
  <si>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</si>
  <si>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</si>
  <si>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</si>
  <si>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</si>
  <si>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</si>
  <si>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</si>
  <si>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</si>
  <si>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</si>
  <si>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</si>
  <si>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</si>
  <si>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</si>
  <si>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</si>
  <si>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</si>
  <si>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</si>
  <si>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</si>
  <si>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</si>
  <si>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</si>
  <si>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</si>
  <si>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</si>
  <si>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</si>
  <si>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</si>
  <si>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</si>
  <si>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</si>
  <si>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</si>
  <si>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</si>
  <si>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</si>
  <si>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</si>
  <si>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</si>
  <si>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</si>
  <si>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</si>
  <si>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</si>
  <si>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</si>
  <si>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</si>
  <si>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</si>
  <si>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</si>
  <si>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</si>
  <si>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</si>
  <si>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</si>
  <si>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</si>
  <si>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</si>
  <si>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</si>
  <si>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</si>
  <si>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</si>
  <si>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</si>
  <si>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</si>
  <si>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</si>
  <si>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</si>
  <si>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</si>
  <si>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</si>
  <si>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</si>
  <si>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</si>
  <si>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</si>
  <si>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</si>
  <si>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</si>
  <si>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</si>
  <si>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</si>
  <si>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</si>
  <si>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</si>
  <si>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</si>
  <si>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</si>
  <si>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</si>
  <si>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</si>
  <si>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</si>
  <si>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</si>
  <si>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</si>
  <si>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</si>
  <si>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</si>
  <si>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</si>
  <si>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</si>
  <si>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</si>
  <si>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</si>
  <si>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</si>
  <si>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</si>
  <si>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</si>
  <si>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</si>
  <si>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</si>
  <si>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</si>
  <si>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</si>
  <si>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</si>
  <si>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</si>
  <si>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</si>
  <si>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</si>
  <si>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</si>
  <si>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</si>
  <si>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</si>
  <si>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</si>
  <si>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</si>
  <si>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</si>
  <si>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</si>
  <si>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</si>
  <si>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</si>
  <si>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</si>
  <si>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</si>
  <si>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</si>
  <si>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</si>
  <si>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</si>
  <si>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</si>
  <si>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</si>
  <si>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</si>
  <si>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</si>
  <si>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</si>
  <si>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</si>
  <si>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</si>
  <si>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</si>
  <si>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</si>
  <si>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</si>
  <si>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</si>
  <si>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</si>
  <si>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</si>
  <si>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</si>
  <si>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</si>
  <si>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</si>
  <si>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</si>
  <si>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</si>
  <si>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</si>
  <si>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</si>
  <si>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</si>
  <si>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</si>
  <si>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</si>
  <si>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</si>
  <si>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</si>
  <si>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</si>
  <si>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</si>
  <si>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</si>
  <si>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</si>
  <si>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</si>
  <si>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</si>
  <si>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</si>
  <si>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</si>
  <si>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</si>
  <si>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</si>
  <si>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</si>
  <si>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</si>
  <si>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</si>
  <si>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</si>
  <si>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</si>
  <si>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</si>
  <si>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</si>
  <si>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</si>
  <si>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</si>
  <si>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</si>
  <si>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</si>
  <si>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</si>
  <si>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</si>
  <si>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</si>
  <si>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</si>
  <si>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</si>
  <si>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</si>
  <si>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</si>
  <si>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</si>
  <si>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</si>
  <si>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</si>
  <si>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</si>
  <si>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</si>
  <si>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</si>
  <si>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</si>
  <si>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</si>
  <si>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</si>
  <si>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</si>
  <si>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</si>
  <si>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</si>
  <si>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</si>
  <si>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</si>
  <si>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</si>
  <si>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</si>
  <si>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</si>
  <si>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</si>
  <si>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</si>
  <si>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</si>
  <si>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</si>
  <si>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</si>
  <si>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</si>
  <si>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</si>
  <si>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</si>
  <si>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</si>
  <si>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</si>
  <si>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</si>
  <si>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</si>
  <si>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</si>
  <si>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</si>
  <si>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</si>
  <si>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</si>
  <si>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</si>
  <si>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</si>
  <si>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</si>
  <si>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</si>
  <si>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</si>
  <si>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</si>
  <si>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</si>
  <si>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</si>
  <si>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</si>
  <si>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</si>
  <si>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</si>
  <si>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</si>
  <si>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</si>
  <si>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</si>
  <si>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</si>
  <si>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</si>
  <si>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</si>
  <si>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</si>
  <si>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</si>
  <si>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</si>
  <si>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</si>
  <si>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</si>
  <si>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</si>
  <si>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</si>
  <si>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</si>
  <si>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</si>
  <si>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</si>
  <si>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</si>
  <si>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</si>
  <si>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</si>
  <si>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</si>
  <si>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</si>
  <si>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</si>
  <si>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</si>
  <si>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</si>
  <si>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</si>
  <si>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</si>
  <si>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</si>
  <si>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</si>
  <si>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</si>
  <si>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</si>
  <si>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</si>
  <si>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</si>
  <si>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</si>
  <si>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</si>
  <si>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</si>
  <si>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</si>
  <si>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</si>
  <si>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</si>
  <si>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</si>
  <si>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</si>
  <si>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</si>
  <si>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</si>
  <si>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</si>
  <si>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</si>
  <si>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</si>
  <si>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</si>
  <si>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</si>
  <si>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</si>
  <si>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</si>
  <si>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</si>
  <si>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</si>
  <si>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</si>
  <si>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</si>
  <si>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</si>
  <si>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</si>
  <si>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</si>
  <si>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</si>
  <si>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</si>
  <si>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</si>
  <si>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</si>
  <si>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</si>
  <si>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</si>
  <si>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</si>
  <si>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</si>
  <si>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</si>
  <si>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</si>
  <si>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</si>
  <si>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</si>
  <si>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</si>
  <si>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</si>
  <si>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</si>
  <si>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</si>
  <si>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</si>
  <si>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</si>
  <si>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</si>
  <si>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</si>
  <si>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</si>
  <si>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</si>
  <si>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</si>
  <si>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</si>
  <si>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</si>
  <si>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</si>
  <si>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</si>
  <si>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</si>
  <si>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</si>
  <si>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</si>
  <si>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</si>
  <si>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</si>
  <si>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</si>
  <si>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</si>
  <si>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</si>
  <si>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</si>
  <si>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</si>
  <si>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</si>
  <si>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</si>
  <si>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</si>
  <si>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</si>
  <si>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</si>
  <si>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</si>
  <si>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</si>
  <si>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</si>
  <si>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</si>
  <si>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</si>
  <si>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</si>
  <si>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</si>
  <si>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</si>
  <si>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</si>
  <si>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</si>
  <si>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</si>
  <si>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</si>
  <si>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</si>
  <si>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</si>
  <si>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</si>
  <si>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</si>
  <si>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</si>
  <si>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</si>
  <si>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</si>
  <si>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</si>
  <si>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</si>
  <si>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</si>
  <si>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</si>
  <si>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</si>
  <si>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</si>
  <si>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</si>
  <si>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</si>
  <si>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</si>
  <si>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</si>
  <si>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</si>
  <si>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</si>
  <si>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</si>
  <si>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</si>
  <si>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</si>
  <si>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</si>
  <si>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</si>
  <si>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</si>
  <si>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</si>
  <si>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</si>
  <si>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</si>
  <si>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</si>
  <si>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</si>
  <si>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</si>
  <si>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</si>
  <si>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</si>
  <si>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</si>
  <si>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</si>
  <si>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</si>
  <si>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</si>
  <si>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</si>
  <si>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</si>
  <si>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</si>
  <si>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</si>
  <si>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</si>
  <si>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</si>
  <si>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</si>
  <si>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</si>
  <si>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</si>
  <si>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</si>
  <si>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</si>
  <si>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</si>
  <si>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</si>
  <si>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</si>
  <si>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</si>
  <si>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</si>
  <si>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</si>
  <si>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</si>
  <si>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</si>
  <si>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</si>
  <si>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</si>
  <si>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</si>
  <si>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</si>
  <si>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</si>
  <si>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</si>
  <si>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</si>
  <si>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</si>
  <si>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</si>
  <si>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</si>
  <si>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</si>
  <si>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</si>
  <si>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</si>
  <si>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</si>
  <si>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</si>
  <si>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</si>
  <si>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</si>
  <si>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</si>
  <si>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</si>
  <si>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</si>
  <si>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</si>
  <si>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</si>
  <si>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</si>
  <si>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</si>
  <si>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</si>
  <si>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</si>
  <si>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</si>
  <si>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</si>
  <si>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</si>
  <si>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</si>
  <si>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</si>
  <si>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</si>
  <si>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</si>
  <si>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</si>
  <si>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</si>
  <si>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</si>
  <si>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</si>
  <si>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</si>
  <si>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</si>
  <si>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</si>
  <si>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</si>
  <si>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</si>
  <si>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</si>
  <si>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</si>
  <si>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</si>
  <si>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</si>
  <si>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</si>
  <si>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</si>
  <si>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</si>
  <si>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</si>
  <si>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</si>
  <si>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</si>
  <si>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</si>
  <si>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</si>
  <si>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</si>
  <si>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</si>
  <si>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</si>
  <si>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</si>
  <si>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</si>
  <si>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</si>
  <si>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</si>
  <si>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</si>
  <si>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</si>
  <si>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</si>
  <si>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</si>
  <si>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</si>
  <si>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</si>
  <si>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</si>
  <si>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</si>
  <si>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</si>
  <si>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</si>
  <si>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</si>
  <si>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</si>
  <si>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</si>
  <si>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</si>
  <si>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</si>
  <si>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</si>
  <si>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</si>
  <si>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</si>
  <si>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</si>
  <si>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</si>
  <si>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</si>
  <si>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</si>
  <si>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</si>
  <si>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</si>
  <si>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</si>
  <si>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</si>
  <si>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</si>
  <si>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</si>
  <si>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</si>
  <si>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</si>
  <si>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</si>
  <si>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</si>
  <si>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</si>
  <si>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</si>
  <si>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</si>
  <si>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</si>
  <si>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</si>
  <si>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</si>
  <si>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</si>
  <si>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</si>
  <si>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</si>
  <si>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</si>
  <si>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</si>
  <si>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</si>
  <si>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</si>
  <si>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</si>
  <si>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</si>
  <si>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</si>
  <si>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</si>
  <si>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</si>
  <si>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</si>
  <si>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</si>
  <si>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</si>
  <si>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</si>
  <si>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</si>
  <si>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</si>
  <si>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</si>
  <si>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</si>
  <si>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</si>
  <si>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</si>
  <si>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</si>
  <si>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</si>
  <si>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</si>
  <si>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</si>
  <si>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</si>
  <si>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</si>
  <si>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</si>
  <si>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</si>
  <si>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</si>
  <si>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</si>
  <si>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</si>
  <si>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</si>
  <si>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</si>
  <si>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</si>
  <si>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</si>
  <si>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</si>
  <si>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</si>
  <si>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</si>
  <si>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</si>
  <si>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</si>
  <si>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</si>
  <si>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</si>
  <si>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</si>
  <si>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</si>
  <si>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</si>
  <si>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</si>
  <si>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</si>
  <si>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</si>
  <si>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</si>
  <si>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</si>
  <si>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</si>
  <si>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</si>
  <si>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</si>
  <si>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</si>
  <si>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</si>
  <si>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</si>
  <si>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</si>
  <si>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</si>
  <si>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</si>
  <si>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</si>
  <si>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</si>
  <si>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</si>
  <si>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</si>
  <si>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</si>
  <si>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</si>
  <si>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</si>
  <si>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</si>
  <si>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</si>
  <si>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</si>
  <si>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</si>
  <si>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</si>
  <si>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</si>
  <si>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</si>
  <si>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</si>
  <si>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</si>
  <si>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</si>
  <si>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</si>
  <si>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</si>
  <si>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</si>
  <si>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</si>
  <si>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</si>
  <si>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</si>
  <si>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</si>
  <si>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</si>
  <si>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</si>
  <si>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</si>
  <si>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</si>
  <si>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</si>
  <si>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</si>
  <si>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</si>
  <si>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</si>
  <si>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</si>
  <si>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</si>
  <si>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</si>
  <si>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</si>
  <si>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</si>
  <si>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</si>
  <si>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</si>
  <si>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</si>
  <si>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</si>
  <si>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</si>
  <si>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</si>
  <si>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</si>
  <si>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</si>
  <si>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</si>
  <si>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</si>
  <si>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</si>
  <si>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</si>
  <si>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</si>
  <si>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</si>
  <si>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</si>
  <si>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</si>
  <si>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</si>
  <si>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</si>
  <si>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</si>
  <si>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</si>
  <si>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</si>
  <si>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</si>
  <si>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</si>
  <si>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</si>
  <si>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</si>
  <si>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</si>
  <si>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</si>
  <si>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</si>
  <si>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</si>
  <si>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</si>
  <si>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</si>
  <si>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</si>
  <si>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</si>
  <si>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</si>
  <si>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</si>
  <si>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</si>
  <si>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</si>
  <si>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</si>
  <si>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</si>
  <si>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</si>
  <si>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</si>
  <si>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</si>
  <si>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</si>
  <si>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</si>
  <si>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</si>
  <si>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</si>
  <si>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</si>
  <si>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</si>
  <si>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</si>
  <si>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</si>
  <si>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</si>
  <si>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</si>
  <si>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</si>
  <si>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</si>
  <si>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</si>
  <si>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</si>
  <si>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</si>
  <si>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</si>
  <si>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</si>
  <si>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</si>
  <si>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</si>
  <si>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</si>
  <si>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</si>
  <si>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</si>
  <si>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</si>
  <si>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</si>
  <si>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</si>
  <si>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</si>
  <si>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</si>
  <si>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</si>
  <si>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</si>
  <si>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</si>
  <si>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</si>
  <si>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</si>
  <si>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</si>
  <si>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</si>
  <si>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</si>
  <si>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</si>
  <si>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</si>
  <si>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</si>
  <si>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</si>
  <si>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</si>
  <si>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</si>
  <si>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</si>
  <si>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</si>
  <si>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</si>
  <si>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</si>
  <si>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</si>
  <si>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</si>
  <si>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</si>
  <si>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</si>
  <si>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</si>
  <si>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</si>
  <si>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</si>
  <si>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</si>
  <si>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</si>
  <si>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</si>
  <si>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</si>
  <si>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</si>
  <si>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</si>
  <si>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</si>
  <si>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</si>
  <si>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</si>
  <si>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</si>
  <si>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</si>
  <si>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</si>
  <si>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</si>
  <si>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</si>
  <si>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</si>
  <si>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</si>
  <si>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</si>
  <si>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</si>
  <si>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</si>
  <si>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</si>
  <si>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Agency Funds</t>
  </si>
  <si>
    <t>No amount on page 2 because of tuition exchange agreement with amherst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</si>
</sst>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G666" sqref="G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1263</v>
      </c>
      <c r="B2">
        <f>INDEX('School Tables'!$AH$3:$AH$213,MATCH('DOE25'!A2,'School Tables'!$AJ$3:$AJ$213,0))</f>
        <v>367</v>
      </c>
      <c r="C2">
        <f>INDEX('School Tables'!$AI$3:$AI$213,MATCH('DOE25'!A2,'School Tables'!$AJ$3:$AJ$213,0))</f>
        <v>367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131460.87</v>
      </c>
      <c r="G9" s="18"/>
      <c r="H9" s="18"/>
      <c r="I9" s="18"/>
      <c r="J9" s="13">
        <f>SUM(I440)</f>
        <v>9040.1200000000008</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11652.84</v>
      </c>
      <c r="G12" s="18">
        <v>3099.2</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409374.75</v>
      </c>
      <c r="G13" s="18">
        <v>6425.68</v>
      </c>
      <c r="H13" s="18">
        <v>16988.740000000002</v>
      </c>
      <c r="I13" s="18"/>
      <c r="J13" s="13">
        <f>SUM(I443)</f>
        <v>277547.57</v>
      </c>
      <c r="K13" s="23" t="s">
        <v>288</v>
      </c>
      <c r="L13" s="23" t="s">
        <v>288</v>
      </c>
      <c r="M13" s="8"/>
      <c r="N13" s="164"/>
    </row>
    <row r="14" spans="1:14" s="3" customFormat="1" ht="12.2" customHeight="1" x14ac:dyDescent="0.15">
      <c r="A14" s="1" t="s">
        <v>565</v>
      </c>
      <c r="B14" s="2" t="s">
        <v>289</v>
      </c>
      <c r="C14" s="6">
        <v>6</v>
      </c>
      <c r="D14" s="2" t="s">
        <v>428</v>
      </c>
      <c r="E14" s="6">
        <v>150</v>
      </c>
      <c r="F14" s="18">
        <v>1883.2</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554371.65999999992</v>
      </c>
      <c r="G19" s="38">
        <f>SUM(G9:G18)</f>
        <v>9524.880000000001</v>
      </c>
      <c r="H19" s="38">
        <f>SUM(H9:H18)</f>
        <v>16988.740000000002</v>
      </c>
      <c r="I19" s="38">
        <f>SUM(I9:I18)</f>
        <v>0</v>
      </c>
      <c r="J19" s="38">
        <f>SUM(J9:J18)</f>
        <v>286587.69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v>14752.04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273156.21000000002</v>
      </c>
      <c r="G23" s="18">
        <v>4923.42</v>
      </c>
      <c r="H23" s="18">
        <v>0</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16016.14</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12929.5</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3561.64</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4601.46</v>
      </c>
      <c r="H30" s="18">
        <v>2236.6999999999998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305663.49000000005</v>
      </c>
      <c r="G32" s="38">
        <f>SUM(G22:G31)</f>
        <v>9524.880000000001</v>
      </c>
      <c r="H32" s="38">
        <f>SUM(H22:H31)</f>
        <v>16988.740000000002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90000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286587.69</v>
      </c>
      <c r="K48" s="23" t="s">
        <v>288</v>
      </c>
      <c r="L48" s="23" t="s">
        <v>288</v>
      </c>
      <c r="M48" s="8"/>
      <c r="N48" s="164"/>
    </row>
    <row r="49" spans="1:14" s="3" customFormat="1" ht="12.2" customHeight="1" x14ac:dyDescent="0.15">
      <c r="A49" s="1" t="s">
        <v>855</v>
      </c>
      <c r="B49" s="2" t="s">
        <v>289</v>
      </c>
      <c r="C49" s="6">
        <v>34</v>
      </c>
      <c r="D49" s="2"/>
      <c r="E49" s="6">
        <v>753</v>
      </c>
      <c r="F49" s="18">
        <v>50100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135251.62-26643.45</f>
        <v>108608.17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248708.16999999998</v>
      </c>
      <c r="G51" s="38">
        <f>SUM(G35:G50)</f>
        <v>0</v>
      </c>
      <c r="H51" s="38">
        <f>SUM(H35:H50)</f>
        <v>0</v>
      </c>
      <c r="I51" s="38">
        <f>SUM(I35:I50)</f>
        <v>0</v>
      </c>
      <c r="J51" s="38">
        <f>SUM(J35:J50)</f>
        <v>286587.69</v>
      </c>
      <c r="K51" s="42" t="s">
        <v>288</v>
      </c>
      <c r="L51" s="42" t="s">
        <v>288</v>
      </c>
      <c r="N51" s="130"/>
    </row>
    <row r="52" spans="1:14" s="3" customFormat="1" ht="12.2" customHeight="1" thickTop="1" x14ac:dyDescent="0.15">
      <c r="A52" s="35" t="s">
        <v>455</v>
      </c>
      <c r="B52" s="36" t="s">
        <v>289</v>
      </c>
      <c r="C52" s="6">
        <v>37</v>
      </c>
      <c r="D52" s="36" t="s">
        <v>653</v>
      </c>
      <c r="E52" s="36"/>
      <c r="F52" s="38">
        <f>F51+F32</f>
        <v>554371.66</v>
      </c>
      <c r="G52" s="38">
        <f>G51+G32</f>
        <v>9524.880000000001</v>
      </c>
      <c r="H52" s="38">
        <f>H51+H32</f>
        <v>16988.740000000002</v>
      </c>
      <c r="I52" s="38">
        <f>I51+I32</f>
        <v>0</v>
      </c>
      <c r="J52" s="38">
        <f>J51+J32</f>
        <v>286587.69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4473749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4473749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20706.93</v>
      </c>
      <c r="G96" s="18"/>
      <c r="H96" s="18"/>
      <c r="I96" s="18"/>
      <c r="J96" s="18">
        <f>H409</f>
        <v>15758.51</v>
      </c>
      <c r="K96" s="23" t="s">
        <v>288</v>
      </c>
      <c r="L96" s="23" t="s">
        <v>288</v>
      </c>
      <c r="M96" s="8"/>
      <c r="N96" s="164"/>
    </row>
    <row r="97" spans="1:14" s="3" customFormat="1" ht="12.2" customHeight="1" x14ac:dyDescent="0.15">
      <c r="A97" s="1" t="s">
        <v>503</v>
      </c>
      <c r="B97" s="2" t="s">
        <v>315</v>
      </c>
      <c r="C97" s="6">
        <v>12</v>
      </c>
      <c r="D97" s="2" t="s">
        <v>430</v>
      </c>
      <c r="E97" s="6">
        <v>1600</v>
      </c>
      <c r="F97" s="23" t="s">
        <v>288</v>
      </c>
      <c r="G97" s="18">
        <v>65899.179999999993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2340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70</v>
      </c>
      <c r="G102" s="18"/>
      <c r="H102" s="18">
        <v>360</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v>0</v>
      </c>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1185.25</v>
      </c>
      <c r="G109" s="18">
        <v>21.26</v>
      </c>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0</v>
      </c>
      <c r="G110" s="18">
        <v>124.18</v>
      </c>
      <c r="H110" s="18"/>
      <c r="I110" s="18"/>
      <c r="J110" s="18">
        <f>I409</f>
        <v>21763.02</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24302.18</v>
      </c>
      <c r="G111" s="38">
        <f>SUM(G96:G110)</f>
        <v>66044.619999999981</v>
      </c>
      <c r="H111" s="38">
        <f>SUM(H96:H110)</f>
        <v>360</v>
      </c>
      <c r="I111" s="38">
        <f>SUM(I96:I110)</f>
        <v>0</v>
      </c>
      <c r="J111" s="38">
        <f>SUM(J96:J110)</f>
        <v>37521.53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4498051.18</v>
      </c>
      <c r="G112" s="38">
        <f>G60+G111</f>
        <v>66044.619999999981</v>
      </c>
      <c r="H112" s="38">
        <f>H60+H79+H94+H111</f>
        <v>360</v>
      </c>
      <c r="I112" s="38">
        <f>I60+I111</f>
        <v>0</v>
      </c>
      <c r="J112" s="38">
        <f>J60+J111</f>
        <v>37521.53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951247.03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461013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2037.11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1414297.1400000001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35506.339999999997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1228.3399999999999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35506.339999999997</v>
      </c>
      <c r="G136" s="38">
        <f>SUM(G123:G135)</f>
        <v>1228.3399999999999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1449803.4800000002</v>
      </c>
      <c r="G140" s="38">
        <f>G121+SUM(G136:G137)</f>
        <v>1228.3399999999999</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3146.54</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21096.9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20784.28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35687.39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67573.23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14733.18</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16442.63</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14733.18</v>
      </c>
      <c r="G163" s="38">
        <f>SUM(G150:G162)</f>
        <v>35687.39</v>
      </c>
      <c r="H163" s="38">
        <f>SUM(H150:H162)</f>
        <v>129043.58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14733.18</v>
      </c>
      <c r="G170" s="38">
        <f>G147+G163+SUM(G164:G169)</f>
        <v>35687.39</v>
      </c>
      <c r="H170" s="38">
        <f>H147+H163+SUM(H164:H169)</f>
        <v>129043.58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12769.06</v>
      </c>
      <c r="H180" s="18"/>
      <c r="I180" s="18"/>
      <c r="J180" s="18">
        <f>G409</f>
        <v>70000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12769.06</v>
      </c>
      <c r="H184" s="38">
        <f>SUM(H180:H183)</f>
        <v>0</v>
      </c>
      <c r="I184" s="38">
        <f>SUM(I180:I183)</f>
        <v>0</v>
      </c>
      <c r="J184" s="38">
        <f>SUM(J180:J183)</f>
        <v>70000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12769.06</v>
      </c>
      <c r="H193" s="38">
        <f>+H184+SUM(H189:H192)</f>
        <v>0</v>
      </c>
      <c r="I193" s="38">
        <f>I178+I184+SUM(I189:I192)</f>
        <v>0</v>
      </c>
      <c r="J193" s="38">
        <f>J184</f>
        <v>70000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5962587.8399999999</v>
      </c>
      <c r="G194" s="38">
        <f>G112+G140+G170+G193</f>
        <v>115729.40999999997</v>
      </c>
      <c r="H194" s="38">
        <f>H112+H140+H170+H193</f>
        <v>129403.58</v>
      </c>
      <c r="I194" s="38">
        <f>I112+I140+I170+I193</f>
        <v>0</v>
      </c>
      <c r="J194" s="38">
        <f>J112+J140+J193</f>
        <v>107521.53</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1261752.06</v>
      </c>
      <c r="G198" s="18">
        <v>556532.17000000004</v>
      </c>
      <c r="H198" s="18">
        <v>131.25</v>
      </c>
      <c r="I198" s="18">
        <v>60317.68</v>
      </c>
      <c r="J198" s="18">
        <v>0</v>
      </c>
      <c r="K198" s="18">
        <v>0</v>
      </c>
      <c r="L198" s="13">
        <f>SUM(F198:K198)</f>
        <v>1878733.16</v>
      </c>
      <c r="M198" s="8"/>
      <c r="N198" s="164"/>
    </row>
    <row r="199" spans="1:14" s="3" customFormat="1" ht="12.2" customHeight="1" x14ac:dyDescent="0.15">
      <c r="A199" s="1" t="s">
        <v>439</v>
      </c>
      <c r="B199" s="2" t="s">
        <v>341</v>
      </c>
      <c r="C199" s="2" t="s">
        <v>291</v>
      </c>
      <c r="D199" s="2" t="s">
        <v>431</v>
      </c>
      <c r="E199" s="6">
        <v>1200</v>
      </c>
      <c r="F199" s="18">
        <v>304855.99</v>
      </c>
      <c r="G199" s="18">
        <v>126660.7</v>
      </c>
      <c r="H199" s="18">
        <v>252537.13</v>
      </c>
      <c r="I199" s="18">
        <v>3777.65</v>
      </c>
      <c r="J199" s="18">
        <v>0</v>
      </c>
      <c r="K199" s="18">
        <v>290</v>
      </c>
      <c r="L199" s="13">
        <f>SUM(F199:K199)</f>
        <v>688121.47000000009</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7790.3</v>
      </c>
      <c r="G201" s="18">
        <v>2084.04</v>
      </c>
      <c r="H201" s="18">
        <v>0</v>
      </c>
      <c r="I201" s="18">
        <v>0</v>
      </c>
      <c r="J201" s="18">
        <v>0</v>
      </c>
      <c r="K201" s="18">
        <v>0</v>
      </c>
      <c r="L201" s="13">
        <f>SUM(F201:K201)</f>
        <v>9874.34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250583</v>
      </c>
      <c r="G203" s="18">
        <v>127560.55</v>
      </c>
      <c r="H203" s="18">
        <v>52031.3</v>
      </c>
      <c r="I203" s="18">
        <v>13460.43</v>
      </c>
      <c r="J203" s="18">
        <v>0</v>
      </c>
      <c r="K203" s="18">
        <v>0</v>
      </c>
      <c r="L203" s="13">
        <f t="shared" ref="L203:L209" si="0">SUM(F203:K203)</f>
        <v>443635.27999999997</v>
      </c>
      <c r="M203" s="8"/>
      <c r="N203" s="164"/>
    </row>
    <row r="204" spans="1:14" s="3" customFormat="1" ht="12.2" customHeight="1" x14ac:dyDescent="0.15">
      <c r="A204" s="1" t="s">
        <v>443</v>
      </c>
      <c r="B204" s="2" t="s">
        <v>341</v>
      </c>
      <c r="C204" s="2" t="s">
        <v>295</v>
      </c>
      <c r="D204" s="2" t="s">
        <v>431</v>
      </c>
      <c r="E204" s="6">
        <v>2200</v>
      </c>
      <c r="F204" s="18">
        <v>86951.85</v>
      </c>
      <c r="G204" s="18">
        <v>55707.75</v>
      </c>
      <c r="H204" s="18">
        <v>0</v>
      </c>
      <c r="I204" s="18">
        <v>6764.67</v>
      </c>
      <c r="J204" s="18">
        <v>0</v>
      </c>
      <c r="K204" s="18">
        <v>0</v>
      </c>
      <c r="L204" s="13">
        <f t="shared" si="0"/>
        <v>149424.27000000002</v>
      </c>
      <c r="M204" s="8"/>
      <c r="N204" s="164"/>
    </row>
    <row r="205" spans="1:14" s="3" customFormat="1" ht="12.2" customHeight="1" x14ac:dyDescent="0.15">
      <c r="A205" s="1" t="s">
        <v>444</v>
      </c>
      <c r="B205" s="2" t="s">
        <v>341</v>
      </c>
      <c r="C205" s="2" t="s">
        <v>296</v>
      </c>
      <c r="D205" s="2" t="s">
        <v>431</v>
      </c>
      <c r="E205" s="6">
        <v>2300</v>
      </c>
      <c r="F205" s="18">
        <v>8703.5</v>
      </c>
      <c r="G205" s="18">
        <v>699.63</v>
      </c>
      <c r="H205" s="18">
        <v>311341.96999999997</v>
      </c>
      <c r="I205" s="18">
        <v>626.16</v>
      </c>
      <c r="J205" s="18">
        <v>0</v>
      </c>
      <c r="K205" s="18">
        <v>3255.61</v>
      </c>
      <c r="L205" s="13">
        <f t="shared" si="0"/>
        <v>324626.86999999994</v>
      </c>
      <c r="M205" s="8"/>
      <c r="N205" s="164"/>
    </row>
    <row r="206" spans="1:14" s="3" customFormat="1" ht="12.2" customHeight="1" x14ac:dyDescent="0.15">
      <c r="A206" s="1" t="s">
        <v>445</v>
      </c>
      <c r="B206" s="2" t="s">
        <v>341</v>
      </c>
      <c r="C206" s="2" t="s">
        <v>297</v>
      </c>
      <c r="D206" s="2" t="s">
        <v>431</v>
      </c>
      <c r="E206" s="6">
        <v>2400</v>
      </c>
      <c r="F206" s="18">
        <v>179193.38</v>
      </c>
      <c r="G206" s="18">
        <v>60279.02</v>
      </c>
      <c r="H206" s="18">
        <v>3696.82</v>
      </c>
      <c r="I206" s="18">
        <v>7888.02</v>
      </c>
      <c r="J206" s="18">
        <v>0</v>
      </c>
      <c r="K206" s="18">
        <v>810</v>
      </c>
      <c r="L206" s="13">
        <f t="shared" si="0"/>
        <v>251867.24</v>
      </c>
      <c r="M206" s="8"/>
      <c r="N206" s="164"/>
    </row>
    <row r="207" spans="1:14" s="3" customFormat="1" ht="12.2" customHeight="1" x14ac:dyDescent="0.15">
      <c r="A207" s="1" t="s">
        <v>446</v>
      </c>
      <c r="B207" s="2" t="s">
        <v>341</v>
      </c>
      <c r="C207" s="2" t="s">
        <v>298</v>
      </c>
      <c r="D207" s="2" t="s">
        <v>431</v>
      </c>
      <c r="E207" s="6">
        <v>2500</v>
      </c>
      <c r="F207" s="18">
        <v>0</v>
      </c>
      <c r="G207" s="18">
        <v>0</v>
      </c>
      <c r="H207" s="18">
        <v>7551.52</v>
      </c>
      <c r="I207" s="18">
        <v>0</v>
      </c>
      <c r="J207" s="18">
        <v>0</v>
      </c>
      <c r="K207" s="18">
        <v>0</v>
      </c>
      <c r="L207" s="13">
        <f t="shared" si="0"/>
        <v>7551.52</v>
      </c>
      <c r="M207" s="8"/>
      <c r="N207" s="164"/>
    </row>
    <row r="208" spans="1:14" s="3" customFormat="1" ht="12.2" customHeight="1" x14ac:dyDescent="0.15">
      <c r="A208" s="1" t="s">
        <v>447</v>
      </c>
      <c r="B208" s="2" t="s">
        <v>341</v>
      </c>
      <c r="C208" s="2" t="s">
        <v>299</v>
      </c>
      <c r="D208" s="2" t="s">
        <v>431</v>
      </c>
      <c r="E208" s="6">
        <v>2600</v>
      </c>
      <c r="F208" s="18">
        <v>71655.14</v>
      </c>
      <c r="G208" s="18">
        <v>23296.04</v>
      </c>
      <c r="H208" s="18">
        <v>123780.96</v>
      </c>
      <c r="I208" s="18">
        <v>96508.28</v>
      </c>
      <c r="J208" s="18">
        <v>0</v>
      </c>
      <c r="K208" s="18">
        <v>0</v>
      </c>
      <c r="L208" s="13">
        <f t="shared" si="0"/>
        <v>315240.42000000004</v>
      </c>
      <c r="M208" s="8"/>
      <c r="N208" s="164"/>
    </row>
    <row r="209" spans="1:14" s="3" customFormat="1" ht="12.2" customHeight="1" x14ac:dyDescent="0.15">
      <c r="A209" s="1" t="s">
        <v>448</v>
      </c>
      <c r="B209" s="2" t="s">
        <v>341</v>
      </c>
      <c r="C209" s="2" t="s">
        <v>300</v>
      </c>
      <c r="D209" s="2" t="s">
        <v>431</v>
      </c>
      <c r="E209" s="6">
        <v>2700</v>
      </c>
      <c r="F209" s="18">
        <v>0</v>
      </c>
      <c r="G209" s="18">
        <v>0</v>
      </c>
      <c r="H209" s="18">
        <v>143192.87</v>
      </c>
      <c r="I209" s="18">
        <v>0</v>
      </c>
      <c r="J209" s="18">
        <v>0</v>
      </c>
      <c r="K209" s="18">
        <v>0</v>
      </c>
      <c r="L209" s="13">
        <f t="shared" si="0"/>
        <v>143192.87</v>
      </c>
      <c r="M209" s="8"/>
      <c r="N209" s="164"/>
    </row>
    <row r="210" spans="1:14" s="3" customFormat="1" ht="12.2" customHeight="1" x14ac:dyDescent="0.15">
      <c r="A210" s="1" t="s">
        <v>449</v>
      </c>
      <c r="B210" s="2" t="s">
        <v>341</v>
      </c>
      <c r="C210" s="2" t="s">
        <v>343</v>
      </c>
      <c r="D210" s="2" t="s">
        <v>431</v>
      </c>
      <c r="E210" s="6">
        <v>2800</v>
      </c>
      <c r="F210" s="18">
        <v>31810.38</v>
      </c>
      <c r="G210" s="18">
        <v>2694.62</v>
      </c>
      <c r="H210" s="18">
        <v>7510.57</v>
      </c>
      <c r="I210" s="18">
        <v>9712.2900000000009</v>
      </c>
      <c r="J210" s="18">
        <v>15639.16</v>
      </c>
      <c r="K210" s="18">
        <v>0</v>
      </c>
      <c r="L210" s="13">
        <f>SUM(F210:K210)</f>
        <v>67367.02</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2203295.6</v>
      </c>
      <c r="G212" s="38">
        <f t="shared" si="1"/>
        <v>955514.52000000014</v>
      </c>
      <c r="H212" s="38">
        <f t="shared" si="1"/>
        <v>901774.38999999978</v>
      </c>
      <c r="I212" s="38">
        <f t="shared" si="1"/>
        <v>199055.18000000002</v>
      </c>
      <c r="J212" s="38">
        <f t="shared" si="1"/>
        <v>15639.16</v>
      </c>
      <c r="K212" s="38">
        <f t="shared" si="1"/>
        <v>4355.6100000000006</v>
      </c>
      <c r="L212" s="38">
        <f t="shared" si="1"/>
        <v>4279634.459999999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1392612.29</v>
      </c>
      <c r="I216" s="18"/>
      <c r="J216" s="18"/>
      <c r="K216" s="18"/>
      <c r="L216" s="13">
        <f>SUM(F216:K216)</f>
        <v>1392612.29</v>
      </c>
      <c r="M216" s="8"/>
      <c r="N216" s="164"/>
    </row>
    <row r="217" spans="1:14" s="3" customFormat="1" ht="12.2" customHeight="1" x14ac:dyDescent="0.15">
      <c r="A217" s="1" t="s">
        <v>439</v>
      </c>
      <c r="B217" s="2" t="s">
        <v>346</v>
      </c>
      <c r="C217" s="2" t="s">
        <v>291</v>
      </c>
      <c r="D217" s="2" t="s">
        <v>431</v>
      </c>
      <c r="E217" s="6">
        <v>1200</v>
      </c>
      <c r="F217" s="18"/>
      <c r="G217" s="18"/>
      <c r="H217" s="18">
        <v>183539.36</v>
      </c>
      <c r="I217" s="18"/>
      <c r="J217" s="18"/>
      <c r="K217" s="18"/>
      <c r="L217" s="13">
        <f>SUM(F217:K217)</f>
        <v>183539.36</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v>0</v>
      </c>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v>329.34</v>
      </c>
      <c r="I223" s="18"/>
      <c r="J223" s="18"/>
      <c r="K223" s="18"/>
      <c r="L223" s="13">
        <f t="shared" si="2"/>
        <v>329.34</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40446.78</v>
      </c>
      <c r="I227" s="18"/>
      <c r="J227" s="18"/>
      <c r="K227" s="18"/>
      <c r="L227" s="13">
        <f t="shared" si="2"/>
        <v>40446.78</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1616927.77</v>
      </c>
      <c r="I230" s="38">
        <f>SUM(I216:I229)</f>
        <v>0</v>
      </c>
      <c r="J230" s="38">
        <f>SUM(J216:J229)</f>
        <v>0</v>
      </c>
      <c r="K230" s="38">
        <f t="shared" si="3"/>
        <v>0</v>
      </c>
      <c r="L230" s="38">
        <f t="shared" si="3"/>
        <v>1616927.77</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9900</v>
      </c>
      <c r="I256" s="18">
        <v>0</v>
      </c>
      <c r="J256" s="18">
        <v>0</v>
      </c>
      <c r="K256" s="18">
        <v>0</v>
      </c>
      <c r="L256" s="13">
        <f t="shared" si="6"/>
        <v>9900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9900</v>
      </c>
      <c r="I257" s="38">
        <f t="shared" si="7"/>
        <v>0</v>
      </c>
      <c r="J257" s="38">
        <f t="shared" si="7"/>
        <v>0</v>
      </c>
      <c r="K257" s="38">
        <f t="shared" si="7"/>
        <v>0</v>
      </c>
      <c r="L257" s="38">
        <f>SUM(F257:K257)</f>
        <v>9900</v>
      </c>
      <c r="M257" s="8"/>
      <c r="N257" s="164"/>
    </row>
    <row r="258" spans="1:14" s="3" customFormat="1" ht="12.2" customHeight="1" thickTop="1" x14ac:dyDescent="0.15">
      <c r="A258" s="35" t="s">
        <v>462</v>
      </c>
      <c r="B258" s="37">
        <v>10</v>
      </c>
      <c r="C258" s="37">
        <v>8</v>
      </c>
      <c r="D258" s="36" t="s">
        <v>431</v>
      </c>
      <c r="E258" s="37"/>
      <c r="F258" s="38">
        <f t="shared" ref="F258:L258" si="8">F212+F230+F248+F257</f>
        <v>2203295.6</v>
      </c>
      <c r="G258" s="38">
        <f t="shared" si="8"/>
        <v>955514.52000000014</v>
      </c>
      <c r="H258" s="38">
        <f t="shared" si="8"/>
        <v>2528602.1599999997</v>
      </c>
      <c r="I258" s="38">
        <f t="shared" si="8"/>
        <v>199055.18000000002</v>
      </c>
      <c r="J258" s="38">
        <f t="shared" si="8"/>
        <v>15639.16</v>
      </c>
      <c r="K258" s="38">
        <f t="shared" si="8"/>
        <v>4355.6100000000006</v>
      </c>
      <c r="L258" s="38">
        <f t="shared" si="8"/>
        <v>5906462.2299999986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12769.06</v>
      </c>
      <c r="L264" s="13">
        <f>SUM(F264:K264)</f>
        <v>12769.06</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70000</v>
      </c>
      <c r="L267" s="13">
        <f t="shared" si="9"/>
        <v>70000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82769.06</v>
      </c>
      <c r="L271" s="38">
        <f t="shared" si="9"/>
        <v>82769.06</v>
      </c>
      <c r="M271" s="8"/>
      <c r="N271" s="164"/>
    </row>
    <row r="272" spans="1:14" s="33" customFormat="1" ht="12.2" customHeight="1" thickTop="1" x14ac:dyDescent="0.2">
      <c r="A272" s="40" t="s">
        <v>464</v>
      </c>
      <c r="B272" s="37">
        <v>10</v>
      </c>
      <c r="C272" s="37">
        <v>18</v>
      </c>
      <c r="D272" s="36" t="s">
        <v>431</v>
      </c>
      <c r="E272" s="37"/>
      <c r="F272" s="39">
        <f t="shared" ref="F272:L272" si="11">F258+F271</f>
        <v>2203295.6</v>
      </c>
      <c r="G272" s="39">
        <f t="shared" si="11"/>
        <v>955514.52000000014</v>
      </c>
      <c r="H272" s="39">
        <f t="shared" si="11"/>
        <v>2528602.1599999997</v>
      </c>
      <c r="I272" s="39">
        <f t="shared" si="11"/>
        <v>199055.18000000002</v>
      </c>
      <c r="J272" s="39">
        <f t="shared" si="11"/>
        <v>15639.16</v>
      </c>
      <c r="K272" s="39">
        <f t="shared" si="11"/>
        <v>87124.67</v>
      </c>
      <c r="L272" s="39">
        <f t="shared" si="11"/>
        <v>5989231.2899999982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0</v>
      </c>
      <c r="G277" s="18">
        <v>0</v>
      </c>
      <c r="H277" s="18">
        <v>650</v>
      </c>
      <c r="I277" s="18">
        <v>8588.68</v>
      </c>
      <c r="J277" s="18">
        <v>0</v>
      </c>
      <c r="K277" s="18">
        <v>0</v>
      </c>
      <c r="L277" s="13">
        <f>SUM(F277:K277)</f>
        <v>9238.68</v>
      </c>
      <c r="M277" s="8"/>
      <c r="N277" s="164"/>
    </row>
    <row r="278" spans="1:14" s="3" customFormat="1" ht="12.2" customHeight="1" x14ac:dyDescent="0.15">
      <c r="A278" s="1" t="s">
        <v>439</v>
      </c>
      <c r="B278" s="2" t="s">
        <v>357</v>
      </c>
      <c r="C278" s="2" t="s">
        <v>291</v>
      </c>
      <c r="D278" s="2" t="s">
        <v>431</v>
      </c>
      <c r="E278" s="6">
        <v>1200</v>
      </c>
      <c r="F278" s="18">
        <v>21392.67</v>
      </c>
      <c r="G278" s="18">
        <v>1636.52</v>
      </c>
      <c r="H278" s="18">
        <v>2097.31</v>
      </c>
      <c r="I278" s="18">
        <v>2554.5</v>
      </c>
      <c r="J278" s="18">
        <v>0</v>
      </c>
      <c r="K278" s="18">
        <v>0</v>
      </c>
      <c r="L278" s="13">
        <f>SUM(F278:K278)</f>
        <v>27681</v>
      </c>
      <c r="M278" s="8"/>
      <c r="N278" s="164"/>
    </row>
    <row r="279" spans="1:14" s="3" customFormat="1" ht="12.2" customHeight="1" x14ac:dyDescent="0.15">
      <c r="A279" s="1" t="s">
        <v>440</v>
      </c>
      <c r="B279" s="2" t="s">
        <v>357</v>
      </c>
      <c r="C279" s="2" t="s">
        <v>292</v>
      </c>
      <c r="D279" s="2" t="s">
        <v>431</v>
      </c>
      <c r="E279" s="6">
        <v>1300</v>
      </c>
      <c r="F279" s="18"/>
      <c r="G279" s="18"/>
      <c r="H279" s="18">
        <v>0</v>
      </c>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24079.7</v>
      </c>
      <c r="G280" s="18">
        <v>6365.9</v>
      </c>
      <c r="H280" s="18">
        <v>0</v>
      </c>
      <c r="I280" s="18">
        <v>6358.26</v>
      </c>
      <c r="J280" s="18">
        <v>0</v>
      </c>
      <c r="K280" s="18">
        <v>0</v>
      </c>
      <c r="L280" s="13">
        <f>SUM(F280:K280)</f>
        <v>36803.86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13259.91</v>
      </c>
      <c r="G282" s="18">
        <v>1014.4</v>
      </c>
      <c r="H282" s="18">
        <v>25617.919999999998</v>
      </c>
      <c r="I282" s="18">
        <v>0</v>
      </c>
      <c r="J282" s="18">
        <v>0</v>
      </c>
      <c r="K282" s="18">
        <v>0</v>
      </c>
      <c r="L282" s="13">
        <f t="shared" ref="L282:L288" si="12">SUM(F282:K282)</f>
        <v>39892.229999999996</v>
      </c>
      <c r="M282" s="8"/>
      <c r="N282" s="164"/>
    </row>
    <row r="283" spans="1:14" s="3" customFormat="1" ht="12.2" customHeight="1" x14ac:dyDescent="0.15">
      <c r="A283" s="1" t="s">
        <v>443</v>
      </c>
      <c r="B283" s="2" t="s">
        <v>357</v>
      </c>
      <c r="C283" s="2" t="s">
        <v>295</v>
      </c>
      <c r="D283" s="2" t="s">
        <v>431</v>
      </c>
      <c r="E283" s="6">
        <v>2200</v>
      </c>
      <c r="F283" s="18">
        <v>5050</v>
      </c>
      <c r="G283" s="18">
        <v>2523.86</v>
      </c>
      <c r="H283" s="18">
        <v>0</v>
      </c>
      <c r="I283" s="18">
        <v>360</v>
      </c>
      <c r="J283" s="18">
        <v>0</v>
      </c>
      <c r="K283" s="18">
        <v>0</v>
      </c>
      <c r="L283" s="13">
        <f t="shared" si="12"/>
        <v>7933.8600000000006</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1183.32</v>
      </c>
      <c r="J285" s="18">
        <v>0</v>
      </c>
      <c r="K285" s="18">
        <v>0</v>
      </c>
      <c r="L285" s="13">
        <f t="shared" si="12"/>
        <v>1183.32</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4588.76</v>
      </c>
      <c r="I287" s="18">
        <v>723.98</v>
      </c>
      <c r="J287" s="18">
        <v>0</v>
      </c>
      <c r="K287" s="18">
        <v>0</v>
      </c>
      <c r="L287" s="13">
        <f t="shared" si="12"/>
        <v>5312.74</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1357.89</v>
      </c>
      <c r="J289" s="18">
        <v>0</v>
      </c>
      <c r="K289" s="18">
        <v>0</v>
      </c>
      <c r="L289" s="13">
        <f>SUM(F289:K289)</f>
        <v>1357.89</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63782.28</v>
      </c>
      <c r="G291" s="39">
        <f t="shared" si="13"/>
        <v>11540.68</v>
      </c>
      <c r="H291" s="39">
        <f t="shared" si="13"/>
        <v>32953.99</v>
      </c>
      <c r="I291" s="39">
        <f t="shared" si="13"/>
        <v>21126.63</v>
      </c>
      <c r="J291" s="39">
        <f t="shared" si="13"/>
        <v>0</v>
      </c>
      <c r="K291" s="39">
        <f t="shared" si="13"/>
        <v>0</v>
      </c>
      <c r="L291" s="38">
        <f t="shared" si="13"/>
        <v>129403.58000000002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63782.28</v>
      </c>
      <c r="G339" s="38">
        <f t="shared" si="20"/>
        <v>11540.68</v>
      </c>
      <c r="H339" s="38">
        <f t="shared" si="20"/>
        <v>32953.99</v>
      </c>
      <c r="I339" s="38">
        <f t="shared" si="20"/>
        <v>21126.63</v>
      </c>
      <c r="J339" s="38">
        <f t="shared" si="20"/>
        <v>0</v>
      </c>
      <c r="K339" s="38">
        <f t="shared" si="20"/>
        <v>0</v>
      </c>
      <c r="L339" s="38">
        <f t="shared" si="20"/>
        <v>129403.58000000002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63782.28</v>
      </c>
      <c r="G353" s="38">
        <f>G339</f>
        <v>11540.68</v>
      </c>
      <c r="H353" s="38">
        <f>H339</f>
        <v>32953.99</v>
      </c>
      <c r="I353" s="38">
        <f>I339</f>
        <v>21126.63</v>
      </c>
      <c r="J353" s="38">
        <f>J339</f>
        <v>0</v>
      </c>
      <c r="K353" s="38">
        <f>K339+K352</f>
        <v>0</v>
      </c>
      <c r="L353" s="38">
        <f>L339+L352</f>
        <v>129403.58000000002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32169.81</v>
      </c>
      <c r="G359" s="18">
        <v>25186.3</v>
      </c>
      <c r="H359" s="18">
        <v>13541.37</v>
      </c>
      <c r="I359" s="18">
        <v>44430.239999999998</v>
      </c>
      <c r="J359" s="18">
        <v>0</v>
      </c>
      <c r="K359" s="18">
        <v>401.69</v>
      </c>
      <c r="L359" s="13">
        <f>SUM(F359:K359)</f>
        <v>115729.41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32169.81</v>
      </c>
      <c r="G363" s="38">
        <f t="shared" si="22"/>
        <v>25186.3</v>
      </c>
      <c r="H363" s="38">
        <f t="shared" si="22"/>
        <v>13541.37</v>
      </c>
      <c r="I363" s="38">
        <f t="shared" si="22"/>
        <v>44430.239999999998</v>
      </c>
      <c r="J363" s="38">
        <f t="shared" si="22"/>
        <v>0</v>
      </c>
      <c r="K363" s="38">
        <f t="shared" si="22"/>
        <v>401.69</v>
      </c>
      <c r="L363" s="38">
        <f t="shared" si="22"/>
        <v>115729.41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38434</v>
      </c>
      <c r="G368" s="18"/>
      <c r="H368" s="18"/>
      <c r="I368" s="13">
        <f>SUM(F368:H368)</f>
        <v>38434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5996.24</v>
      </c>
      <c r="G369" s="53"/>
      <c r="H369" s="53"/>
      <c r="I369" s="13">
        <f>SUM(F369:H369)</f>
        <v>5996.24</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44430.239999999998</v>
      </c>
      <c r="G370" s="38">
        <f>SUM(G368:G369)</f>
        <v>0</v>
      </c>
      <c r="H370" s="38">
        <f>SUM(H368:H369)</f>
        <v>0</v>
      </c>
      <c r="I370" s="38">
        <f>SUM(I368:I369)</f>
        <v>44430.239999999998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35000</v>
      </c>
      <c r="H397" s="18">
        <v>10224.26</v>
      </c>
      <c r="I397" s="18"/>
      <c r="J397" s="23" t="s">
        <v>288</v>
      </c>
      <c r="K397" s="23" t="s">
        <v>288</v>
      </c>
      <c r="L397" s="13">
        <f t="shared" si="26"/>
        <v>45224.26</v>
      </c>
      <c r="M397" s="8"/>
      <c r="N397" s="164"/>
    </row>
    <row r="398" spans="1:14" s="3" customFormat="1" ht="12.2" customHeight="1" x14ac:dyDescent="0.15">
      <c r="A398" s="62" t="s">
        <v>515</v>
      </c>
      <c r="B398" s="2" t="s">
        <v>381</v>
      </c>
      <c r="C398" s="6">
        <v>10</v>
      </c>
      <c r="D398" s="2" t="s">
        <v>432</v>
      </c>
      <c r="E398" s="6"/>
      <c r="F398" s="18"/>
      <c r="G398" s="18">
        <v>20000</v>
      </c>
      <c r="H398" s="18">
        <v>2855.4</v>
      </c>
      <c r="I398" s="18"/>
      <c r="J398" s="23" t="s">
        <v>288</v>
      </c>
      <c r="K398" s="23" t="s">
        <v>288</v>
      </c>
      <c r="L398" s="13">
        <f t="shared" si="26"/>
        <v>22855.4</v>
      </c>
      <c r="M398" s="8"/>
      <c r="N398" s="164"/>
    </row>
    <row r="399" spans="1:14" s="3" customFormat="1" ht="12.2" customHeight="1" x14ac:dyDescent="0.15">
      <c r="A399" s="62" t="s">
        <v>558</v>
      </c>
      <c r="B399" s="2" t="s">
        <v>381</v>
      </c>
      <c r="C399" s="6">
        <v>11</v>
      </c>
      <c r="D399" s="2" t="s">
        <v>432</v>
      </c>
      <c r="E399" s="6"/>
      <c r="F399" s="18"/>
      <c r="G399" s="18"/>
      <c r="H399" s="18">
        <v>1907.53</v>
      </c>
      <c r="I399" s="18"/>
      <c r="J399" s="23" t="s">
        <v>288</v>
      </c>
      <c r="K399" s="23" t="s">
        <v>288</v>
      </c>
      <c r="L399" s="13">
        <f t="shared" si="26"/>
        <v>1907.53</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15000</v>
      </c>
      <c r="H401" s="18">
        <v>771.32</v>
      </c>
      <c r="I401" s="18"/>
      <c r="J401" s="23" t="s">
        <v>288</v>
      </c>
      <c r="K401" s="23" t="s">
        <v>288</v>
      </c>
      <c r="L401" s="13">
        <f t="shared" si="26"/>
        <v>15771.32</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70000</v>
      </c>
      <c r="H402" s="38">
        <f>SUM(H396:H401)</f>
        <v>15758.51</v>
      </c>
      <c r="I402" s="38">
        <f>SUM(I396:I401)</f>
        <v>0</v>
      </c>
      <c r="J402" s="42" t="s">
        <v>288</v>
      </c>
      <c r="K402" s="42" t="s">
        <v>288</v>
      </c>
      <c r="L402" s="38">
        <f>SUM(L396:L401)</f>
        <v>85758.510000000009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t="s">
        <v>1841</v>
      </c>
      <c r="B404" s="2" t="s">
        <v>381</v>
      </c>
      <c r="C404" s="6">
        <v>15</v>
      </c>
      <c r="D404" s="2" t="s">
        <v>432</v>
      </c>
      <c r="E404" s="6"/>
      <c r="F404" s="18"/>
      <c r="G404" s="18"/>
      <c r="H404" s="18"/>
      <c r="I404" s="18">
        <v>21763.02</v>
      </c>
      <c r="J404" s="23" t="s">
        <v>288</v>
      </c>
      <c r="K404" s="23" t="s">
        <v>288</v>
      </c>
      <c r="L404" s="13">
        <f>SUM(F404:K404)</f>
        <v>21763.02</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21763.02</v>
      </c>
      <c r="J408" s="45" t="s">
        <v>288</v>
      </c>
      <c r="K408" s="45" t="s">
        <v>288</v>
      </c>
      <c r="L408" s="38">
        <f>SUM(L404:L407)</f>
        <v>21763.02</v>
      </c>
      <c r="M408" s="8"/>
      <c r="N408" s="164"/>
    </row>
    <row r="409" spans="1:21" s="3" customFormat="1" ht="12.2" customHeight="1" thickTop="1" x14ac:dyDescent="0.15">
      <c r="A409" s="61" t="s">
        <v>421</v>
      </c>
      <c r="B409" s="2" t="s">
        <v>381</v>
      </c>
      <c r="C409" s="6">
        <v>20</v>
      </c>
      <c r="D409" s="6"/>
      <c r="E409" s="37"/>
      <c r="F409" s="38">
        <f>F394+F402+F408</f>
        <v>0</v>
      </c>
      <c r="G409" s="38">
        <f>G394+G402+G408</f>
        <v>70000</v>
      </c>
      <c r="H409" s="38">
        <f>H394+H402+H408</f>
        <v>15758.51</v>
      </c>
      <c r="I409" s="38">
        <f>I394+I402+I408</f>
        <v>21763.02</v>
      </c>
      <c r="J409" s="23" t="s">
        <v>288</v>
      </c>
      <c r="K409" s="23" t="s">
        <v>288</v>
      </c>
      <c r="L409" s="38">
        <f>L394+L402+L408</f>
        <v>107521.53000000001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t="s">
        <v>1841</v>
      </c>
      <c r="B430" s="6">
        <v>17</v>
      </c>
      <c r="C430" s="6">
        <v>15</v>
      </c>
      <c r="D430" s="2" t="s">
        <v>432</v>
      </c>
      <c r="E430" s="6"/>
      <c r="F430" s="18"/>
      <c r="G430" s="18"/>
      <c r="H430" s="18"/>
      <c r="I430" s="18"/>
      <c r="J430" s="18"/>
      <c r="K430" s="18">
        <v>20001.689999999999</v>
      </c>
      <c r="L430" s="13">
        <f>SUM(F430:K430)</f>
        <v>20001.689999999999</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20001.689999999999</v>
      </c>
      <c r="L434" s="38">
        <f t="shared" si="31"/>
        <v>20001.689999999999</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20001.689999999999</v>
      </c>
      <c r="L435" s="38">
        <f t="shared" si="32"/>
        <v>20001.689999999999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v>9040.1200000000008</v>
      </c>
      <c r="I440" s="13">
        <f t="shared" ref="I440:I446" si="33">SUM(F440:H440)</f>
        <v>9040.1200000000008</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277547.57</v>
      </c>
      <c r="H443" s="18"/>
      <c r="I443" s="13">
        <f t="shared" si="33"/>
        <v>277547.57</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277547.57</v>
      </c>
      <c r="H447" s="13">
        <f>SUM(H440:H446)</f>
        <v>9040.1200000000008</v>
      </c>
      <c r="I447" s="13">
        <f>SUM(I440:I446)</f>
        <v>286587.69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191789.06+85758.51</f>
        <v>277547.57</v>
      </c>
      <c r="H460" s="18">
        <f>7278.79+1761.33</f>
        <v>9040.119999999999</v>
      </c>
      <c r="I460" s="13">
        <f t="shared" si="34"/>
        <v>286587.69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277547.57</v>
      </c>
      <c r="H461" s="65">
        <f>SUM(H455:H460)</f>
        <v>9040.119999999999</v>
      </c>
      <c r="I461" s="65">
        <f>SUM(I455:I460)</f>
        <v>286587.69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277547.57</v>
      </c>
      <c r="H462" s="39">
        <f>H453+H461</f>
        <v>9040.119999999999</v>
      </c>
      <c r="I462" s="39">
        <f>I453+I461</f>
        <v>286587.69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275351.62</v>
      </c>
      <c r="G466" s="18"/>
      <c r="H466" s="18"/>
      <c r="I466" s="18"/>
      <c r="J466" s="18">
        <v>199067.85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5962587.8399999999</v>
      </c>
      <c r="G469" s="18">
        <f t="shared" ref="G469:I469" si="35">G194</f>
        <v>115729.40999999997</v>
      </c>
      <c r="H469" s="18">
        <f t="shared" si="35"/>
        <v>129403.58</v>
      </c>
      <c r="I469" s="18">
        <f t="shared" si="35"/>
        <v>0</v>
      </c>
      <c r="J469" s="18">
        <f>L409</f>
        <v>107521.53000000001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5962587.8399999999</v>
      </c>
      <c r="G471" s="19">
        <f>SUM(G469:G470)</f>
        <v>115729.40999999997</v>
      </c>
      <c r="H471" s="19">
        <f>SUM(H469:H470)</f>
        <v>129403.58</v>
      </c>
      <c r="I471" s="19">
        <f>SUM(I469:I470)</f>
        <v>0</v>
      </c>
      <c r="J471" s="19">
        <f>SUM(J469:J470)</f>
        <v>107521.53000000001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5989231.2899999982</v>
      </c>
      <c r="G473" s="18">
        <f>L363</f>
        <v>115729.41</v>
      </c>
      <c r="H473" s="18">
        <f>L353</f>
        <v>129403.58000000002</v>
      </c>
      <c r="I473" s="18"/>
      <c r="J473" s="18">
        <f>L435</f>
        <v>20001.689999999999</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5989231.2899999982</v>
      </c>
      <c r="G475" s="19">
        <f>SUM(G473:G474)</f>
        <v>115729.41</v>
      </c>
      <c r="H475" s="19">
        <f>SUM(H473:H474)</f>
        <v>129403.58000000002</v>
      </c>
      <c r="I475" s="19">
        <f>SUM(I473:I474)</f>
        <v>0</v>
      </c>
      <c r="J475" s="19">
        <f>SUM(J473:J474)</f>
        <v>20001.689999999999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248708.17000000179</v>
      </c>
      <c r="G477" s="19">
        <f>(G466+G471)- G475</f>
        <v>0</v>
      </c>
      <c r="H477" s="19">
        <f>(H466+H471)- H475</f>
        <v>0</v>
      </c>
      <c r="I477" s="19">
        <f>(I466+I471)- I475</f>
        <v>0</v>
      </c>
      <c r="J477" s="19">
        <f>(J466+J471)- J475</f>
        <v>286587.69</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6"/>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6"/>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326248.65999999997</v>
      </c>
      <c r="G522" s="18">
        <v>128297.22</v>
      </c>
      <c r="H522" s="18">
        <v>254634.44</v>
      </c>
      <c r="I522" s="18">
        <v>6332.15</v>
      </c>
      <c r="J522" s="18">
        <v>0</v>
      </c>
      <c r="K522" s="18">
        <v>290</v>
      </c>
      <c r="L522" s="69">
        <f>SUM(F522:K522)</f>
        <v>715802.47000000009</v>
      </c>
      <c r="N522" s="130"/>
    </row>
    <row r="523" spans="1:14" ht="12.2" customHeight="1" x14ac:dyDescent="0.2">
      <c r="A523" s="21" t="s">
        <v>634</v>
      </c>
      <c r="B523" s="22">
        <v>21</v>
      </c>
      <c r="C523" s="22">
        <v>2</v>
      </c>
      <c r="D523" s="2" t="s">
        <v>432</v>
      </c>
      <c r="E523" s="22"/>
      <c r="F523" s="18">
        <v>0</v>
      </c>
      <c r="G523" s="18">
        <v>0</v>
      </c>
      <c r="H523" s="18">
        <v>183539.36</v>
      </c>
      <c r="I523" s="18">
        <v>0</v>
      </c>
      <c r="J523" s="18">
        <v>0</v>
      </c>
      <c r="K523" s="18">
        <v>0</v>
      </c>
      <c r="L523" s="69">
        <f>SUM(F523:K523)</f>
        <v>183539.36</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326248.65999999997</v>
      </c>
      <c r="G525" s="81">
        <f t="shared" ref="G525:L525" si="37">SUM(G522:G524)</f>
        <v>128297.22</v>
      </c>
      <c r="H525" s="81">
        <f t="shared" si="37"/>
        <v>438173.8</v>
      </c>
      <c r="I525" s="81">
        <f t="shared" si="37"/>
        <v>6332.15</v>
      </c>
      <c r="J525" s="81">
        <f t="shared" si="37"/>
        <v>0</v>
      </c>
      <c r="K525" s="81">
        <f t="shared" si="37"/>
        <v>290</v>
      </c>
      <c r="L525" s="70">
        <f t="shared" si="37"/>
        <v>899341.83000000007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121750.91</v>
      </c>
      <c r="G527" s="18">
        <v>49607.06</v>
      </c>
      <c r="H527" s="18">
        <v>77406.039999999994</v>
      </c>
      <c r="I527" s="18">
        <v>6794.79</v>
      </c>
      <c r="J527" s="18">
        <v>0</v>
      </c>
      <c r="K527" s="18">
        <v>0</v>
      </c>
      <c r="L527" s="69">
        <f>SUM(F527:K527)</f>
        <v>255558.80000000002</v>
      </c>
      <c r="M527" s="8"/>
      <c r="N527" s="164"/>
    </row>
    <row r="528" spans="1:14" s="3" customFormat="1" ht="12.2" customHeight="1" x14ac:dyDescent="0.15">
      <c r="A528" s="21" t="s">
        <v>634</v>
      </c>
      <c r="B528" s="22">
        <v>21</v>
      </c>
      <c r="C528" s="22">
        <v>6</v>
      </c>
      <c r="D528" s="2" t="s">
        <v>432</v>
      </c>
      <c r="E528" s="22"/>
      <c r="F528" s="18"/>
      <c r="G528" s="18"/>
      <c r="H528" s="18">
        <v>0</v>
      </c>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121750.91</v>
      </c>
      <c r="G530" s="70">
        <f t="shared" ref="G530:L530" si="38">SUM(G527:G529)</f>
        <v>49607.06</v>
      </c>
      <c r="H530" s="70">
        <f t="shared" si="38"/>
        <v>77406.039999999994</v>
      </c>
      <c r="I530" s="70">
        <f t="shared" si="38"/>
        <v>6794.79</v>
      </c>
      <c r="J530" s="70">
        <f t="shared" si="38"/>
        <v>0</v>
      </c>
      <c r="K530" s="70">
        <f t="shared" si="38"/>
        <v>0</v>
      </c>
      <c r="L530" s="70">
        <f t="shared" si="38"/>
        <v>255558.80000000002</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1750.99</v>
      </c>
      <c r="I532" s="18"/>
      <c r="J532" s="18"/>
      <c r="K532" s="18"/>
      <c r="L532" s="69">
        <f>SUM(F532:K532)</f>
        <v>1750.99</v>
      </c>
      <c r="M532" s="8"/>
      <c r="N532" s="164"/>
    </row>
    <row r="533" spans="1:14" s="3" customFormat="1" ht="12.2" customHeight="1" x14ac:dyDescent="0.15">
      <c r="A533" s="21" t="s">
        <v>634</v>
      </c>
      <c r="B533" s="22">
        <v>21</v>
      </c>
      <c r="C533" s="22">
        <v>10</v>
      </c>
      <c r="D533" s="2" t="s">
        <v>432</v>
      </c>
      <c r="E533" s="22"/>
      <c r="F533" s="18"/>
      <c r="G533" s="18"/>
      <c r="H533" s="18">
        <v>329.34</v>
      </c>
      <c r="I533" s="18"/>
      <c r="J533" s="18"/>
      <c r="K533" s="18"/>
      <c r="L533" s="69">
        <f>SUM(F533:K533)</f>
        <v>329.34</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2080.33</v>
      </c>
      <c r="I535" s="70">
        <f t="shared" si="39"/>
        <v>0</v>
      </c>
      <c r="J535" s="70">
        <f t="shared" si="39"/>
        <v>0</v>
      </c>
      <c r="K535" s="70">
        <f t="shared" si="39"/>
        <v>0</v>
      </c>
      <c r="L535" s="70">
        <f t="shared" si="39"/>
        <v>2080.33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0</v>
      </c>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44301.96</v>
      </c>
      <c r="I542" s="18"/>
      <c r="J542" s="18"/>
      <c r="K542" s="18"/>
      <c r="L542" s="69">
        <f>SUM(F542:K542)</f>
        <v>44301.96</v>
      </c>
      <c r="M542" s="8"/>
      <c r="N542" s="164"/>
    </row>
    <row r="543" spans="1:14" s="3" customFormat="1" ht="12.2" customHeight="1" x14ac:dyDescent="0.15">
      <c r="A543" s="21" t="s">
        <v>634</v>
      </c>
      <c r="B543" s="22">
        <v>21</v>
      </c>
      <c r="C543" s="22">
        <v>18</v>
      </c>
      <c r="D543" s="2" t="s">
        <v>432</v>
      </c>
      <c r="E543" s="22"/>
      <c r="F543" s="18"/>
      <c r="G543" s="18"/>
      <c r="H543" s="18">
        <v>15120.11</v>
      </c>
      <c r="I543" s="18"/>
      <c r="J543" s="18"/>
      <c r="K543" s="18"/>
      <c r="L543" s="69">
        <f>SUM(F543:K543)</f>
        <v>15120.11</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1">SUM(G542:G544)</f>
        <v>0</v>
      </c>
      <c r="H545" s="140">
        <f t="shared" si="41"/>
        <v>59422.07</v>
      </c>
      <c r="I545" s="140">
        <f t="shared" si="41"/>
        <v>0</v>
      </c>
      <c r="J545" s="140">
        <f t="shared" si="41"/>
        <v>0</v>
      </c>
      <c r="K545" s="140">
        <f t="shared" si="41"/>
        <v>0</v>
      </c>
      <c r="L545" s="140">
        <f t="shared" si="41"/>
        <v>59422.07</v>
      </c>
      <c r="M545" s="8"/>
      <c r="N545" s="164"/>
    </row>
    <row r="546" spans="1:14" s="3" customFormat="1" ht="12.2" customHeight="1" thickTop="1" x14ac:dyDescent="0.15">
      <c r="A546" s="75" t="s">
        <v>72</v>
      </c>
      <c r="B546" s="41">
        <v>21</v>
      </c>
      <c r="C546" s="41">
        <v>21</v>
      </c>
      <c r="D546" s="115" t="s">
        <v>432</v>
      </c>
      <c r="E546" s="41"/>
      <c r="F546" s="70">
        <f>F525+F530+F535+F540+F545</f>
        <v>447999.56999999995</v>
      </c>
      <c r="G546" s="70">
        <f t="shared" ref="G546:L546" si="42">G525+G530+G535+G540+G545</f>
        <v>177904.28</v>
      </c>
      <c r="H546" s="70">
        <f t="shared" si="42"/>
        <v>577082.24</v>
      </c>
      <c r="I546" s="70">
        <f t="shared" si="42"/>
        <v>13126.939999999999</v>
      </c>
      <c r="J546" s="70">
        <f t="shared" si="42"/>
        <v>0</v>
      </c>
      <c r="K546" s="70">
        <f t="shared" si="42"/>
        <v>290</v>
      </c>
      <c r="L546" s="70">
        <f t="shared" si="42"/>
        <v>1216403.0300000003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715802.47000000009</v>
      </c>
      <c r="G550" s="69">
        <f>L527</f>
        <v>255558.80000000002</v>
      </c>
      <c r="H550" s="69">
        <f>L532</f>
        <v>1750.99</v>
      </c>
      <c r="I550" s="69">
        <f>L537</f>
        <v>0</v>
      </c>
      <c r="J550" s="69">
        <f>L542</f>
        <v>44301.96</v>
      </c>
      <c r="K550" s="69">
        <f>SUM(F550:J550)</f>
        <v>1017414.2200000001</v>
      </c>
      <c r="L550" s="23" t="s">
        <v>288</v>
      </c>
      <c r="M550" s="8"/>
      <c r="N550" s="164"/>
    </row>
    <row r="551" spans="1:14" s="3" customFormat="1" ht="12.2" customHeight="1" x14ac:dyDescent="0.15">
      <c r="A551" s="21" t="s">
        <v>634</v>
      </c>
      <c r="B551" s="22">
        <v>21</v>
      </c>
      <c r="C551" s="22">
        <v>23</v>
      </c>
      <c r="D551" s="2" t="s">
        <v>432</v>
      </c>
      <c r="E551" s="22"/>
      <c r="F551" s="69">
        <f>L523</f>
        <v>183539.36</v>
      </c>
      <c r="G551" s="69">
        <f>L528</f>
        <v>0</v>
      </c>
      <c r="H551" s="69">
        <f>L533</f>
        <v>329.34</v>
      </c>
      <c r="I551" s="69">
        <f>L538</f>
        <v>0</v>
      </c>
      <c r="J551" s="69">
        <f>L543</f>
        <v>15120.11</v>
      </c>
      <c r="K551" s="69">
        <f>SUM(F551:J551)</f>
        <v>198988.81</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899341.83000000007</v>
      </c>
      <c r="G553" s="70">
        <f t="shared" si="43"/>
        <v>255558.80000000002</v>
      </c>
      <c r="H553" s="70">
        <f t="shared" si="43"/>
        <v>2080.33</v>
      </c>
      <c r="I553" s="70">
        <f t="shared" si="43"/>
        <v>0</v>
      </c>
      <c r="J553" s="70">
        <f t="shared" si="43"/>
        <v>59422.07</v>
      </c>
      <c r="K553" s="70">
        <f t="shared" si="43"/>
        <v>1216403.03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v>3012.29</v>
      </c>
      <c r="I563" s="18"/>
      <c r="J563" s="18"/>
      <c r="K563" s="18"/>
      <c r="L563" s="69">
        <f>SUM(F563:K563)</f>
        <v>3012.29</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3012.29</v>
      </c>
      <c r="I566" s="70">
        <f t="shared" si="45"/>
        <v>0</v>
      </c>
      <c r="J566" s="70">
        <f t="shared" si="45"/>
        <v>0</v>
      </c>
      <c r="K566" s="70">
        <f t="shared" si="45"/>
        <v>0</v>
      </c>
      <c r="L566" s="70">
        <f t="shared" si="45"/>
        <v>3012.29</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3012.29</v>
      </c>
      <c r="I572" s="70">
        <f t="shared" si="47"/>
        <v>0</v>
      </c>
      <c r="J572" s="70">
        <f t="shared" si="47"/>
        <v>0</v>
      </c>
      <c r="K572" s="70">
        <f t="shared" si="47"/>
        <v>0</v>
      </c>
      <c r="L572" s="70">
        <f t="shared" si="47"/>
        <v>3012.29</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1392612.29</v>
      </c>
      <c r="H576" s="18"/>
      <c r="I576" s="69">
        <f>SUM(F576:H576)</f>
        <v>1392612.29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4"/>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f>174.01+23814+886.32+1036.98</f>
        <v>25911.309999999998</v>
      </c>
      <c r="G580" s="18"/>
      <c r="H580" s="18"/>
      <c r="I580" s="69">
        <f>SUM(F580:H580)</f>
        <v>25911.309999999998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139596.85999999999</v>
      </c>
      <c r="G583" s="18"/>
      <c r="H583" s="18"/>
      <c r="I583" s="69">
        <f t="shared" si="48"/>
        <v>139596.85999999999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165508.16999999998</v>
      </c>
      <c r="G589" s="79">
        <f t="shared" ref="G589:I589" si="49">SUM(G576:G588)</f>
        <v>1392612.29</v>
      </c>
      <c r="H589" s="79">
        <f t="shared" si="49"/>
        <v>0</v>
      </c>
      <c r="I589" s="79">
        <f t="shared" si="49"/>
        <v>1558120.46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96900.91</v>
      </c>
      <c r="I592" s="18">
        <v>25326.67</v>
      </c>
      <c r="J592" s="18"/>
      <c r="K592" s="80">
        <f t="shared" ref="K592:K598" si="50">SUM(H592:J592)</f>
        <v>122227.58</v>
      </c>
      <c r="L592" s="23" t="s">
        <v>288</v>
      </c>
      <c r="M592" s="8"/>
      <c r="N592" s="164"/>
    </row>
    <row r="593" spans="1:14" s="3" customFormat="1" ht="12.2" customHeight="1" x14ac:dyDescent="0.15">
      <c r="A593" s="3" t="s">
        <v>638</v>
      </c>
      <c r="B593" s="22">
        <v>23</v>
      </c>
      <c r="C593" s="22">
        <v>2</v>
      </c>
      <c r="D593" s="2" t="s">
        <v>432</v>
      </c>
      <c r="E593" s="22"/>
      <c r="F593" s="78">
        <v>2722</v>
      </c>
      <c r="G593" s="79" t="s">
        <v>97</v>
      </c>
      <c r="H593" s="18">
        <v>44301.96</v>
      </c>
      <c r="I593" s="18">
        <v>15120.11</v>
      </c>
      <c r="J593" s="18"/>
      <c r="K593" s="80">
        <f t="shared" si="50"/>
        <v>59422.07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0"/>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50"/>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1990</v>
      </c>
      <c r="I596" s="18"/>
      <c r="J596" s="18"/>
      <c r="K596" s="80">
        <f t="shared" si="50"/>
        <v>1990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143192.87</v>
      </c>
      <c r="I599" s="81">
        <f>SUM(I592:I598)</f>
        <v>40446.78</v>
      </c>
      <c r="J599" s="81">
        <f>SUM(J592:J598)</f>
        <v>0</v>
      </c>
      <c r="K599" s="81">
        <f>SUM(K592:K598)</f>
        <v>183639.65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15639.16</v>
      </c>
      <c r="I605" s="18"/>
      <c r="J605" s="18"/>
      <c r="K605" s="80">
        <f>SUM(H605:J605)</f>
        <v>15639.16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15639.16</v>
      </c>
      <c r="I606" s="81">
        <f>SUM(I603:I605)</f>
        <v>0</v>
      </c>
      <c r="J606" s="81">
        <f>SUM(J603:J605)</f>
        <v>0</v>
      </c>
      <c r="K606" s="81">
        <f>SUM(K603:K605)</f>
        <v>15639.16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23189.1</v>
      </c>
      <c r="G612" s="18">
        <v>6106.74</v>
      </c>
      <c r="H612" s="18"/>
      <c r="I612" s="18">
        <v>862.26</v>
      </c>
      <c r="J612" s="18"/>
      <c r="K612" s="18"/>
      <c r="L612" s="69">
        <f>SUM(F612:K612)</f>
        <v>30158.099999999995</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23189.1</v>
      </c>
      <c r="G615" s="81">
        <f t="shared" si="51"/>
        <v>6106.74</v>
      </c>
      <c r="H615" s="81">
        <f t="shared" si="51"/>
        <v>0</v>
      </c>
      <c r="I615" s="81">
        <f t="shared" si="51"/>
        <v>862.26</v>
      </c>
      <c r="J615" s="81">
        <f t="shared" si="51"/>
        <v>0</v>
      </c>
      <c r="K615" s="81">
        <f t="shared" si="51"/>
        <v>0</v>
      </c>
      <c r="L615" s="70">
        <f t="shared" si="51"/>
        <v>30158.099999999995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554371.65999999992</v>
      </c>
      <c r="H618" s="80">
        <f>SUM(F52)</f>
        <v>554371.66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9524.880000000001</v>
      </c>
      <c r="H619" s="80">
        <f>SUM(G52)</f>
        <v>9524.880000000001</v>
      </c>
      <c r="I619" s="87" t="s">
        <v>872</v>
      </c>
      <c r="J619" s="80">
        <f>G619-H619</f>
        <v>0</v>
      </c>
      <c r="K619" s="80"/>
      <c r="L619" s="80"/>
      <c r="M619" s="8"/>
    </row>
    <row r="620" spans="1:14" s="3" customFormat="1" ht="12.2" customHeight="1" x14ac:dyDescent="0.15">
      <c r="A620" s="74"/>
      <c r="B620" s="22"/>
      <c r="C620" s="22"/>
      <c r="D620" s="22"/>
      <c r="E620" s="22"/>
      <c r="F620" s="87" t="s">
        <v>685</v>
      </c>
      <c r="G620" s="80">
        <f>SUM(H19)</f>
        <v>16988.740000000002</v>
      </c>
      <c r="H620" s="80">
        <f>SUM(H52)</f>
        <v>16988.740000000002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286587.69</v>
      </c>
      <c r="H622" s="80">
        <f>SUM(J52)</f>
        <v>286587.69</v>
      </c>
      <c r="I622" s="87" t="s">
        <v>875</v>
      </c>
      <c r="J622" s="80">
        <f>G622-H622</f>
        <v>0</v>
      </c>
      <c r="K622" s="80"/>
      <c r="L622" s="80"/>
      <c r="M622" s="8"/>
    </row>
    <row r="623" spans="1:14" s="3" customFormat="1" ht="12.2" customHeight="1" x14ac:dyDescent="0.15">
      <c r="A623" s="74"/>
      <c r="B623" s="22"/>
      <c r="C623" s="22"/>
      <c r="D623" s="22"/>
      <c r="E623" s="22"/>
      <c r="F623" s="87" t="s">
        <v>861</v>
      </c>
      <c r="G623" s="80">
        <f>F51</f>
        <v>248708.16999999998</v>
      </c>
      <c r="H623" s="80">
        <f>F477</f>
        <v>248708.17000000179</v>
      </c>
      <c r="I623" s="87" t="s">
        <v>101</v>
      </c>
      <c r="J623" s="80">
        <f t="shared" ref="J623:J656" si="52">G623-H623</f>
        <v>-1.8044374883174896E-9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2"/>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2"/>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286587.69</v>
      </c>
      <c r="H627" s="80">
        <f>J477</f>
        <v>286587.69</v>
      </c>
      <c r="I627" s="87" t="s">
        <v>105</v>
      </c>
      <c r="J627" s="80">
        <f t="shared" si="52"/>
        <v>0</v>
      </c>
      <c r="K627" s="67"/>
      <c r="L627" s="69"/>
      <c r="M627" s="8"/>
    </row>
    <row r="628" spans="1:13" s="3" customFormat="1" ht="12.2" customHeight="1" x14ac:dyDescent="0.15">
      <c r="A628" s="21"/>
      <c r="B628" s="22"/>
      <c r="C628" s="22"/>
      <c r="D628" s="22"/>
      <c r="E628" s="22"/>
      <c r="F628" s="86" t="s">
        <v>658</v>
      </c>
      <c r="G628" s="80">
        <f>F194</f>
        <v>5962587.8399999999</v>
      </c>
      <c r="H628" s="80">
        <f>SUM(F469)</f>
        <v>5962587.8399999999</v>
      </c>
      <c r="I628" s="87" t="s">
        <v>106</v>
      </c>
      <c r="J628" s="80">
        <f>G628-H628</f>
        <v>0</v>
      </c>
      <c r="K628" s="67"/>
      <c r="L628" s="69"/>
      <c r="M628" s="8"/>
    </row>
    <row r="629" spans="1:13" s="3" customFormat="1" ht="12.2" customHeight="1" x14ac:dyDescent="0.15">
      <c r="A629" s="21"/>
      <c r="B629" s="22"/>
      <c r="C629" s="22"/>
      <c r="D629" s="22"/>
      <c r="E629" s="22"/>
      <c r="F629" s="86" t="s">
        <v>659</v>
      </c>
      <c r="G629" s="80">
        <f>G194</f>
        <v>115729.40999999997</v>
      </c>
      <c r="H629" s="80">
        <f>SUM(G469)</f>
        <v>115729.40999999997</v>
      </c>
      <c r="I629" s="87" t="s">
        <v>107</v>
      </c>
      <c r="J629" s="80">
        <f>G629-H629</f>
        <v>0</v>
      </c>
      <c r="K629" s="67"/>
      <c r="L629" s="69"/>
      <c r="M629" s="8"/>
    </row>
    <row r="630" spans="1:13" s="3" customFormat="1" ht="12.2" customHeight="1" x14ac:dyDescent="0.15">
      <c r="A630" s="21"/>
      <c r="B630" s="22"/>
      <c r="C630" s="22"/>
      <c r="D630" s="22"/>
      <c r="E630" s="22"/>
      <c r="F630" s="86" t="s">
        <v>660</v>
      </c>
      <c r="G630" s="80">
        <f>H194</f>
        <v>129403.58</v>
      </c>
      <c r="H630" s="80">
        <f>SUM(H469)</f>
        <v>129403.58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107521.53</v>
      </c>
      <c r="H632" s="80">
        <f>SUM(J469)</f>
        <v>107521.53000000001</v>
      </c>
      <c r="I632" s="87" t="s">
        <v>110</v>
      </c>
      <c r="J632" s="80">
        <f>G632-H632</f>
        <v>0</v>
      </c>
      <c r="K632" s="67"/>
      <c r="L632" s="69"/>
      <c r="M632" s="8"/>
    </row>
    <row r="633" spans="1:13" s="3" customFormat="1" ht="12.2" customHeight="1" x14ac:dyDescent="0.15">
      <c r="A633" s="21"/>
      <c r="B633" s="22"/>
      <c r="C633" s="22"/>
      <c r="D633" s="22"/>
      <c r="E633" s="22"/>
      <c r="F633" s="86" t="s">
        <v>394</v>
      </c>
      <c r="G633" s="80">
        <f>SUM(L272)</f>
        <v>5989231.2899999982</v>
      </c>
      <c r="H633" s="80">
        <f>SUM(F473)</f>
        <v>5989231.2899999982</v>
      </c>
      <c r="I633" s="87" t="s">
        <v>111</v>
      </c>
      <c r="J633" s="80">
        <f t="shared" si="52"/>
        <v>0</v>
      </c>
      <c r="K633" s="67"/>
      <c r="L633" s="69"/>
      <c r="M633" s="8"/>
    </row>
    <row r="634" spans="1:13" s="3" customFormat="1" ht="12.2" customHeight="1" x14ac:dyDescent="0.15">
      <c r="A634" s="21"/>
      <c r="B634" s="22"/>
      <c r="C634" s="22"/>
      <c r="D634" s="22"/>
      <c r="E634" s="22"/>
      <c r="F634" s="86" t="s">
        <v>395</v>
      </c>
      <c r="G634" s="80">
        <f>SUM(L353)</f>
        <v>129403.58000000002</v>
      </c>
      <c r="H634" s="80">
        <f>SUM(H473)</f>
        <v>129403.58000000002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44430.239999999998</v>
      </c>
      <c r="H635" s="80">
        <f>I370</f>
        <v>44430.239999999998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115729.41</v>
      </c>
      <c r="H636" s="80">
        <f>SUM(G473)</f>
        <v>115729.41</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107521.53000000001</v>
      </c>
      <c r="H638" s="108">
        <f>SUM(J469)</f>
        <v>107521.53000000001</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20001.689999999999</v>
      </c>
      <c r="H639" s="108">
        <f>SUM(J473)</f>
        <v>20001.689999999999</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277547.57</v>
      </c>
      <c r="H641" s="80">
        <f>SUM(G462)</f>
        <v>277547.57</v>
      </c>
      <c r="I641" s="87" t="s">
        <v>838</v>
      </c>
      <c r="J641" s="80">
        <f t="shared" si="52"/>
        <v>0</v>
      </c>
      <c r="K641" s="67"/>
      <c r="L641" s="69"/>
      <c r="M641" s="8"/>
    </row>
    <row r="642" spans="1:13" s="3" customFormat="1" ht="12.2" customHeight="1" x14ac:dyDescent="0.15">
      <c r="A642" s="21"/>
      <c r="B642" s="22"/>
      <c r="C642" s="22"/>
      <c r="D642" s="22"/>
      <c r="E642" s="22"/>
      <c r="F642" s="86" t="s">
        <v>120</v>
      </c>
      <c r="G642" s="80">
        <f>SUM(H447)</f>
        <v>9040.1200000000008</v>
      </c>
      <c r="H642" s="80">
        <f>SUM(H462)</f>
        <v>9040.119999999999</v>
      </c>
      <c r="I642" s="87" t="s">
        <v>839</v>
      </c>
      <c r="J642" s="80">
        <f t="shared" si="52"/>
        <v>0</v>
      </c>
      <c r="K642" s="67"/>
      <c r="L642" s="69"/>
      <c r="M642" s="8"/>
    </row>
    <row r="643" spans="1:13" s="3" customFormat="1" ht="12.2" customHeight="1" x14ac:dyDescent="0.15">
      <c r="A643" s="21"/>
      <c r="B643" s="22"/>
      <c r="C643" s="22"/>
      <c r="D643" s="22"/>
      <c r="E643" s="22"/>
      <c r="F643" s="86" t="s">
        <v>121</v>
      </c>
      <c r="G643" s="80">
        <f>SUM(I447)</f>
        <v>286587.69</v>
      </c>
      <c r="H643" s="80">
        <f>SUM(I462)</f>
        <v>286587.69</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15758.51</v>
      </c>
      <c r="H645" s="80">
        <f>H409</f>
        <v>15758.51</v>
      </c>
      <c r="I645" s="87" t="s">
        <v>480</v>
      </c>
      <c r="J645" s="80">
        <f t="shared" si="52"/>
        <v>0</v>
      </c>
      <c r="K645" s="67"/>
      <c r="L645" s="69"/>
      <c r="M645" s="8"/>
    </row>
    <row r="646" spans="1:13" s="3" customFormat="1" ht="12.2" customHeight="1" x14ac:dyDescent="0.15">
      <c r="A646" s="21"/>
      <c r="B646" s="22"/>
      <c r="C646" s="22"/>
      <c r="D646" s="22"/>
      <c r="E646" s="22"/>
      <c r="F646" s="86" t="s">
        <v>664</v>
      </c>
      <c r="G646" s="80">
        <f>J184</f>
        <v>70000</v>
      </c>
      <c r="H646" s="80">
        <f>G409</f>
        <v>70000</v>
      </c>
      <c r="I646" s="87" t="s">
        <v>481</v>
      </c>
      <c r="J646" s="80">
        <f t="shared" si="52"/>
        <v>0</v>
      </c>
      <c r="K646" s="67"/>
      <c r="L646" s="69"/>
      <c r="M646" s="8"/>
    </row>
    <row r="647" spans="1:13" s="3" customFormat="1" ht="12.2" customHeight="1" x14ac:dyDescent="0.15">
      <c r="A647" s="21"/>
      <c r="B647" s="22"/>
      <c r="C647" s="22"/>
      <c r="D647" s="22"/>
      <c r="E647" s="22"/>
      <c r="F647" s="86" t="s">
        <v>662</v>
      </c>
      <c r="G647" s="80">
        <f>J194</f>
        <v>107521.53</v>
      </c>
      <c r="H647" s="80">
        <f>L409</f>
        <v>107521.53000000001</v>
      </c>
      <c r="I647" s="87" t="s">
        <v>477</v>
      </c>
      <c r="J647" s="80">
        <f t="shared" si="52"/>
        <v>0</v>
      </c>
      <c r="K647" s="67"/>
      <c r="L647" s="69"/>
      <c r="M647" s="8"/>
    </row>
    <row r="648" spans="1:13" s="3" customFormat="1" ht="12.2" customHeight="1" x14ac:dyDescent="0.15">
      <c r="A648" s="21"/>
      <c r="B648" s="22"/>
      <c r="C648" s="22"/>
      <c r="D648" s="22"/>
      <c r="E648" s="22"/>
      <c r="F648" s="86" t="s">
        <v>51</v>
      </c>
      <c r="G648" s="80">
        <f>K599</f>
        <v>183639.65</v>
      </c>
      <c r="H648" s="80">
        <f>L209+L227+L245</f>
        <v>183639.65</v>
      </c>
      <c r="I648" s="87" t="s">
        <v>396</v>
      </c>
      <c r="J648" s="80">
        <f t="shared" si="52"/>
        <v>0</v>
      </c>
      <c r="K648" s="67"/>
      <c r="L648" s="69"/>
      <c r="M648" s="8"/>
    </row>
    <row r="649" spans="1:13" s="3" customFormat="1" ht="12.2" customHeight="1" x14ac:dyDescent="0.15">
      <c r="A649" s="21"/>
      <c r="B649" s="22"/>
      <c r="C649" s="22"/>
      <c r="D649" s="22"/>
      <c r="E649" s="22"/>
      <c r="F649" s="86" t="s">
        <v>52</v>
      </c>
      <c r="G649" s="80">
        <f>K606</f>
        <v>15639.16</v>
      </c>
      <c r="H649" s="80">
        <f>(J258+J339)-(J256+J337)</f>
        <v>15639.16</v>
      </c>
      <c r="I649" s="87" t="s">
        <v>699</v>
      </c>
      <c r="J649" s="80">
        <f t="shared" si="52"/>
        <v>0</v>
      </c>
      <c r="K649" s="67"/>
      <c r="L649" s="69"/>
      <c r="M649" s="8"/>
    </row>
    <row r="650" spans="1:13" s="3" customFormat="1" ht="12.2" customHeight="1" x14ac:dyDescent="0.15">
      <c r="A650" s="21"/>
      <c r="B650" s="22"/>
      <c r="C650" s="22"/>
      <c r="D650" s="22"/>
      <c r="E650" s="22"/>
      <c r="F650" s="86" t="s">
        <v>387</v>
      </c>
      <c r="G650" s="80">
        <f>L209</f>
        <v>143192.87</v>
      </c>
      <c r="H650" s="80">
        <f>H599</f>
        <v>143192.87</v>
      </c>
      <c r="I650" s="87" t="s">
        <v>388</v>
      </c>
      <c r="J650" s="80">
        <f t="shared" si="52"/>
        <v>0</v>
      </c>
      <c r="K650" s="67"/>
      <c r="L650" s="69"/>
      <c r="M650" s="8"/>
    </row>
    <row r="651" spans="1:13" s="3" customFormat="1" ht="12.2" customHeight="1" x14ac:dyDescent="0.15">
      <c r="A651" s="21"/>
      <c r="B651" s="22"/>
      <c r="C651" s="22"/>
      <c r="D651" s="22"/>
      <c r="E651" s="22"/>
      <c r="F651" s="86" t="s">
        <v>392</v>
      </c>
      <c r="G651" s="80">
        <f>L227</f>
        <v>40446.78</v>
      </c>
      <c r="H651" s="80">
        <f>I599</f>
        <v>40446.78</v>
      </c>
      <c r="I651" s="87" t="s">
        <v>389</v>
      </c>
      <c r="J651" s="80">
        <f t="shared" si="52"/>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2"/>
        <v>0</v>
      </c>
      <c r="K652" s="67"/>
      <c r="L652" s="69"/>
      <c r="M652" s="8"/>
    </row>
    <row r="653" spans="1:13" s="3" customFormat="1" ht="12.2" customHeight="1" x14ac:dyDescent="0.15">
      <c r="A653" s="21"/>
      <c r="B653" s="22"/>
      <c r="C653" s="22"/>
      <c r="D653" s="22"/>
      <c r="E653" s="22"/>
      <c r="F653" s="86" t="s">
        <v>665</v>
      </c>
      <c r="G653" s="80">
        <f>G180+G182</f>
        <v>12769.06</v>
      </c>
      <c r="H653" s="80">
        <f>K264+K346</f>
        <v>12769.06</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70000</v>
      </c>
      <c r="H656" s="80">
        <f>K267+K348</f>
        <v>70000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4524767.4499999993</v>
      </c>
      <c r="G661" s="13">
        <f>(L230+L310+L360)</f>
        <v>1616927.77</v>
      </c>
      <c r="H661" s="13">
        <f>(L248+L329+L361)</f>
        <v>0</v>
      </c>
      <c r="I661" s="13">
        <f>SUM(F661:H661)</f>
        <v>6141695.2199999988</v>
      </c>
      <c r="J661" s="13"/>
      <c r="K661" s="13"/>
      <c r="L661" s="13"/>
      <c r="M661" s="9"/>
    </row>
    <row r="662" spans="1:13" s="3" customFormat="1" ht="12.2" customHeight="1" x14ac:dyDescent="0.2">
      <c r="A662" s="1" t="s">
        <v>127</v>
      </c>
      <c r="F662" s="13">
        <f>(L359/IF(SUM(L359:L361)=0,1,SUM(L359:L361))*(SUM(G97:G110)))</f>
        <v>66044.619999999981</v>
      </c>
      <c r="G662" s="13">
        <f>(L360/IF(SUM(L359:L361)=0,1,SUM(L359:L361))*(SUM(G97:G110)))</f>
        <v>0</v>
      </c>
      <c r="H662" s="13">
        <f>(L361/IF(SUM(L359:L361)=0,1,SUM(L359:L361))*(SUM(G97:G110)))</f>
        <v>0</v>
      </c>
      <c r="I662" s="13">
        <f>SUM(F662:H662)</f>
        <v>66044.619999999981</v>
      </c>
      <c r="J662"/>
      <c r="K662" s="13"/>
      <c r="L662" s="13"/>
      <c r="M662" s="8"/>
    </row>
    <row r="663" spans="1:13" s="3" customFormat="1" ht="12.2" customHeight="1" x14ac:dyDescent="0.2">
      <c r="A663" s="1" t="s">
        <v>128</v>
      </c>
      <c r="F663" s="13">
        <f>(L209+L288)-(J209+J288)</f>
        <v>143192.87</v>
      </c>
      <c r="G663" s="13">
        <f>(L227+L307)-(J227+J307)</f>
        <v>40446.78</v>
      </c>
      <c r="H663" s="13">
        <f>(L245+L326)-(J245+J326)</f>
        <v>0</v>
      </c>
      <c r="I663" s="13">
        <f>SUM(F663:H663)</f>
        <v>183639.65</v>
      </c>
      <c r="J663"/>
      <c r="K663" s="13"/>
      <c r="L663" s="13"/>
      <c r="M663" s="9"/>
    </row>
    <row r="664" spans="1:13" s="3" customFormat="1" ht="12.2" customHeight="1" x14ac:dyDescent="0.15">
      <c r="A664" s="141" t="s">
        <v>129</v>
      </c>
      <c r="B664" s="124"/>
      <c r="C664" s="124"/>
      <c r="D664" s="124"/>
      <c r="E664" s="124"/>
      <c r="F664" s="142">
        <f>SUM(F576:F588)+SUM(H603:H605)+SUM(L612)</f>
        <v>211305.43</v>
      </c>
      <c r="G664" s="142">
        <f>SUM(G576:G588)+SUM(I603:I605)+L613</f>
        <v>1392612.29</v>
      </c>
      <c r="H664" s="142">
        <f>SUM(H576:H588)+SUM(J603:J605)+L614</f>
        <v>0</v>
      </c>
      <c r="I664" s="13">
        <f>SUM(F664:H664)</f>
        <v>1603917.72</v>
      </c>
      <c r="J664" s="13"/>
      <c r="K664" s="13"/>
      <c r="L664" s="13"/>
      <c r="M664" s="9"/>
    </row>
    <row r="665" spans="1:13" s="3" customFormat="1" ht="12.2" customHeight="1" x14ac:dyDescent="0.15">
      <c r="A665" s="1" t="s">
        <v>130</v>
      </c>
      <c r="F665" s="13">
        <f>F661-SUM(F662:F664)</f>
        <v>4104224.5299999993</v>
      </c>
      <c r="G665" s="13">
        <f>G661-SUM(G662:G664)</f>
        <v>183868.69999999995</v>
      </c>
      <c r="H665" s="13">
        <f>H661-SUM(H662:H664)</f>
        <v>0</v>
      </c>
      <c r="I665" s="13">
        <f>I661-SUM(I662:I664)</f>
        <v>4288093.2299999986</v>
      </c>
      <c r="J665" s="13"/>
      <c r="K665" s="13"/>
      <c r="L665" s="13"/>
      <c r="M665" s="8"/>
    </row>
    <row r="666" spans="1:13" s="3" customFormat="1" ht="12.2" customHeight="1" x14ac:dyDescent="0.2">
      <c r="A666" s="1" t="s">
        <v>131</v>
      </c>
      <c r="F666" s="182">
        <v>232.58</v>
      </c>
      <c r="G666" s="183"/>
      <c r="H666" s="183"/>
      <c r="I666" s="13">
        <f>SUM(F666:H666)</f>
        <v>232.58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17646.509999999998</v>
      </c>
      <c r="G668" s="13" t="e">
        <f>ROUND(G665/G666,2)</f>
        <v>#DIV/0!</v>
      </c>
      <c r="H668" s="13" t="e">
        <f>ROUND(H665/H666,2)</f>
        <v>#DIV/0!</v>
      </c>
      <c r="I668" s="13">
        <f>ROUND(I665/I666,2)</f>
        <v>18437.07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f t="shared" si="53"/>
        <v>-183868.69999999995</v>
      </c>
      <c r="H670" s="73" t="str">
        <f t="shared" si="53"/>
        <v/>
      </c>
      <c r="I670" s="13">
        <f>SUM(F670:H670)</f>
        <v>-183868.69999999995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17646.509999999998</v>
      </c>
      <c r="G673" s="13" t="e">
        <f>ROUND((G665+G670)/(G666+G671),2)</f>
        <v>#DIV/0!</v>
      </c>
      <c r="H673" s="13" t="e">
        <f>ROUND((H665+H670)/(H666+H671),2)</f>
        <v>#DIV/0!</v>
      </c>
      <c r="I673" s="13">
        <f>ROUND((I665+I670)/(I666+I671),2)</f>
        <v>17646.509999999998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1" sqref="E11"/>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20784.28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629.56+4447.76</f>
        <v>5077.32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6468.44+9238.52</f>
        <v>15706.96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Mont Vernon</v>
      </c>
      <c r="C5" s="321"/>
      <c r="D5" s="321"/>
      <c r="E5" s="321"/>
      <c r="F5" s="321"/>
    </row>
    <row r="8" spans="1:9" ht="18" x14ac:dyDescent="0.25">
      <c r="A8" s="239" t="s">
        <v>1548</v>
      </c>
      <c r="F8" s="246" t="s">
        <v>1566</v>
      </c>
    </row>
    <row r="9" spans="1:9" ht="15" x14ac:dyDescent="0.2">
      <c r="A9" s="237" t="s">
        <v>1549</v>
      </c>
      <c r="B9" s="240">
        <f>'DOE25'!G97</f>
        <v>65899.179999999993</v>
      </c>
      <c r="F9" s="237" t="s">
        <v>1562</v>
      </c>
    </row>
    <row r="10" spans="1:9" ht="15" x14ac:dyDescent="0.2">
      <c r="A10" s="237" t="s">
        <v>1550</v>
      </c>
      <c r="B10" s="240">
        <f>'DOE25'!G112-'DOE25'!G97</f>
        <v>145.43999999998778</v>
      </c>
      <c r="F10" s="237" t="s">
        <v>1563</v>
      </c>
    </row>
    <row r="11" spans="1:9" ht="15" x14ac:dyDescent="0.2">
      <c r="A11" s="237" t="s">
        <v>1551</v>
      </c>
      <c r="B11" s="240">
        <f>'DOE25'!G140</f>
        <v>1228.3399999999999</v>
      </c>
      <c r="F11" s="237" t="s">
        <v>1564</v>
      </c>
    </row>
    <row r="12" spans="1:9" ht="15" x14ac:dyDescent="0.2">
      <c r="A12" s="237" t="s">
        <v>1552</v>
      </c>
      <c r="B12" s="240">
        <f>'DOE25'!G170</f>
        <v>35687.39</v>
      </c>
      <c r="F12" s="237" t="s">
        <v>1565</v>
      </c>
    </row>
    <row r="13" spans="1:9" ht="15" x14ac:dyDescent="0.2">
      <c r="A13" s="237" t="s">
        <v>1553</v>
      </c>
      <c r="B13" s="240">
        <f>'DOE25'!G193-'DOE25'!G180</f>
        <v>0</v>
      </c>
      <c r="F13" s="237" t="s">
        <v>1575</v>
      </c>
    </row>
    <row r="14" spans="1:9" ht="18" x14ac:dyDescent="0.25">
      <c r="A14" s="239" t="s">
        <v>732</v>
      </c>
      <c r="B14" s="241">
        <f>SUM(B9:B13)</f>
        <v>102960.34999999998</v>
      </c>
    </row>
    <row r="16" spans="1:9" ht="18" x14ac:dyDescent="0.25">
      <c r="A16" s="239" t="s">
        <v>783</v>
      </c>
      <c r="F16" s="246" t="s">
        <v>1567</v>
      </c>
    </row>
    <row r="17" spans="1:6" ht="15" x14ac:dyDescent="0.2">
      <c r="A17" s="237" t="s">
        <v>1554</v>
      </c>
      <c r="B17" s="240">
        <f>'DOE25'!L363-'DOE25'!L362</f>
        <v>115729.41</v>
      </c>
      <c r="F17" s="237" t="s">
        <v>1568</v>
      </c>
    </row>
    <row r="18" spans="1:6" ht="15" x14ac:dyDescent="0.2">
      <c r="A18" s="237" t="s">
        <v>1555</v>
      </c>
      <c r="B18" s="250">
        <v>0</v>
      </c>
      <c r="F18" s="246" t="s">
        <v>1592</v>
      </c>
    </row>
    <row r="19" spans="1:6" ht="18" x14ac:dyDescent="0.25">
      <c r="A19" s="239" t="s">
        <v>725</v>
      </c>
      <c r="B19" s="241">
        <f>SUM(B17:B18)</f>
        <v>115729.41</v>
      </c>
    </row>
    <row r="21" spans="1:6" ht="18.75" thickBot="1" x14ac:dyDescent="0.3">
      <c r="A21" s="239" t="s">
        <v>1556</v>
      </c>
    </row>
    <row r="22" spans="1:6" ht="18.75" thickTop="1" x14ac:dyDescent="0.25">
      <c r="A22" s="239" t="s">
        <v>1557</v>
      </c>
      <c r="B22" s="245">
        <f>B14-B19</f>
        <v>-12769.060000000027</v>
      </c>
      <c r="F22" s="237" t="s">
        <v>1569</v>
      </c>
    </row>
    <row r="26" spans="1:6" ht="18" x14ac:dyDescent="0.25">
      <c r="A26" s="239" t="s">
        <v>186</v>
      </c>
    </row>
    <row r="27" spans="1:6" ht="15" x14ac:dyDescent="0.2">
      <c r="A27" s="237" t="s">
        <v>1558</v>
      </c>
      <c r="B27" s="240">
        <f>'DOE25'!G180</f>
        <v>12769.06</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8472.2199999999993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38" sqref="D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Mont Vernon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1261752.06</v>
      </c>
      <c r="C9" s="166">
        <f>'DOE25'!G198+'DOE25'!G216+'DOE25'!G234+'DOE25'!G277+'DOE25'!G296+'DOE25'!G315</f>
        <v>556532.17000000004</v>
      </c>
    </row>
    <row r="10" spans="1:3" x14ac:dyDescent="0.2">
      <c r="A10" t="s">
        <v>772</v>
      </c>
      <c r="B10" s="176">
        <v>1172907.32</v>
      </c>
      <c r="C10" s="176">
        <v>517344.63</v>
      </c>
    </row>
    <row r="11" spans="1:3" x14ac:dyDescent="0.2">
      <c r="A11" t="s">
        <v>773</v>
      </c>
      <c r="B11" s="176">
        <v>4625</v>
      </c>
      <c r="C11" s="176">
        <v>2039.99</v>
      </c>
    </row>
    <row r="12" spans="1:3" x14ac:dyDescent="0.2">
      <c r="A12" t="s">
        <v>774</v>
      </c>
      <c r="B12" s="176">
        <v>84219.74</v>
      </c>
      <c r="C12" s="176">
        <v>37147.550000000003</v>
      </c>
    </row>
    <row r="13" spans="1:3" x14ac:dyDescent="0.2">
      <c r="A13" t="str">
        <f>IF(B9=B13,IF(C9=C13,"Check Total OK","Check Total Error"),"Check Total Error")</f>
        <v>Check Total OK</v>
      </c>
      <c r="B13" s="168">
        <f>SUM(B10:B12)</f>
        <v>1261752.06</v>
      </c>
      <c r="C13" s="168">
        <f>SUM(C10:C12)</f>
        <v>556532.17000000004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326248.65999999997</v>
      </c>
      <c r="C18" s="166">
        <f>'DOE25'!G199+'DOE25'!G217+'DOE25'!G235+'DOE25'!G278+'DOE25'!G297+'DOE25'!G316</f>
        <v>128297.22</v>
      </c>
    </row>
    <row r="19" spans="1:3" x14ac:dyDescent="0.2">
      <c r="A19" t="s">
        <v>772</v>
      </c>
      <c r="B19" s="176">
        <v>232314.29</v>
      </c>
      <c r="C19" s="176">
        <v>91357.55</v>
      </c>
    </row>
    <row r="20" spans="1:3" x14ac:dyDescent="0.2">
      <c r="A20" t="s">
        <v>773</v>
      </c>
      <c r="B20" s="176">
        <v>79124.990000000005</v>
      </c>
      <c r="C20" s="176">
        <v>31115.89</v>
      </c>
    </row>
    <row r="21" spans="1:3" x14ac:dyDescent="0.2">
      <c r="A21" t="s">
        <v>774</v>
      </c>
      <c r="B21" s="176">
        <v>14809.38</v>
      </c>
      <c r="C21" s="176">
        <v>5823.78</v>
      </c>
    </row>
    <row r="22" spans="1:3" x14ac:dyDescent="0.2">
      <c r="A22" t="str">
        <f>IF(B18=B22,IF(C18=C22,"Check Total OK","Check Total Error"),"Check Total Error")</f>
        <v>Check Total OK</v>
      </c>
      <c r="B22" s="168">
        <f>SUM(B19:B21)</f>
        <v>326248.66000000003</v>
      </c>
      <c r="C22" s="168">
        <f>SUM(C19:C21)</f>
        <v>128297.22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31870</v>
      </c>
      <c r="C36" s="172">
        <f>'DOE25'!G201+'DOE25'!G219+'DOE25'!G237+'DOE25'!G280+'DOE25'!G299+'DOE25'!G318</f>
        <v>8449.9399999999987</v>
      </c>
    </row>
    <row r="37" spans="1:3" x14ac:dyDescent="0.2">
      <c r="A37" t="s">
        <v>772</v>
      </c>
      <c r="B37" s="176">
        <v>28593.32</v>
      </c>
      <c r="C37" s="176">
        <v>7581.17</v>
      </c>
    </row>
    <row r="38" spans="1:3" x14ac:dyDescent="0.2">
      <c r="A38" t="s">
        <v>773</v>
      </c>
      <c r="B38" s="176">
        <v>418.8</v>
      </c>
      <c r="C38" s="176">
        <v>111.04</v>
      </c>
    </row>
    <row r="39" spans="1:3" x14ac:dyDescent="0.2">
      <c r="A39" t="s">
        <v>774</v>
      </c>
      <c r="B39" s="176">
        <v>2857.88</v>
      </c>
      <c r="C39" s="176">
        <v>757.73</v>
      </c>
    </row>
    <row r="40" spans="1:3" x14ac:dyDescent="0.2">
      <c r="A40" t="str">
        <f>IF(B36=B40,IF(C36=C40,"Check Total OK","Check Total Error"),"Check Total Error")</f>
        <v>Check Total OK</v>
      </c>
      <c r="B40" s="168">
        <f>SUM(B37:B39)</f>
        <v>31870</v>
      </c>
      <c r="C40" s="168">
        <f>SUM(C37:C39)</f>
        <v>8449.94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Mont Vernon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4152880.6199999996</v>
      </c>
      <c r="D5" s="19">
        <f>SUM('DOE25'!L198:L201)+SUM('DOE25'!L216:L219)+SUM('DOE25'!L234:L237)-F5-G5-H5</f>
        <v>4152590.6199999996</v>
      </c>
      <c r="E5" s="179"/>
      <c r="F5" s="180"/>
      <c r="G5" s="19">
        <f>SUM('DOE25'!J198:J201)+SUM('DOE25'!J216:J219)+SUM('DOE25'!J234:J237)</f>
        <v>0</v>
      </c>
      <c r="H5" s="19">
        <f>SUM('DOE25'!K198:K201)+SUM('DOE25'!K216:K219)+SUM('DOE25'!K234:K237)</f>
        <v>290</v>
      </c>
      <c r="I5" s="191"/>
    </row>
    <row r="6" spans="1:9" x14ac:dyDescent="0.2">
      <c r="A6" s="31">
        <v>2100</v>
      </c>
      <c r="B6" t="s">
        <v>793</v>
      </c>
      <c r="C6" s="205">
        <f t="shared" si="0"/>
        <v>443635.27999999997</v>
      </c>
      <c r="D6" s="19">
        <f>'DOE25'!L203+'DOE25'!L221+'DOE25'!L239-F6-G6-H6</f>
        <v>443635.27999999997</v>
      </c>
      <c r="E6" s="179"/>
      <c r="F6" s="180"/>
      <c r="G6" s="19">
        <f>'DOE25'!J203+'DOE25'!J221+'DOE25'!J239</f>
        <v>0</v>
      </c>
      <c r="H6" s="19">
        <f>'DOE25'!K203+'DOE25'!K221+'DOE25'!K239</f>
        <v>0</v>
      </c>
      <c r="I6" s="191"/>
    </row>
    <row r="7" spans="1:9" x14ac:dyDescent="0.2">
      <c r="A7" s="31">
        <v>2200</v>
      </c>
      <c r="B7" t="s">
        <v>817</v>
      </c>
      <c r="C7" s="205">
        <f t="shared" si="0"/>
        <v>149424.27000000002</v>
      </c>
      <c r="D7" s="19">
        <f>'DOE25'!L204+'DOE25'!L222+'DOE25'!L240-F7-G7-H7</f>
        <v>149424.27000000002</v>
      </c>
      <c r="E7" s="179"/>
      <c r="F7" s="180"/>
      <c r="G7" s="19">
        <f>'DOE25'!J204+'DOE25'!J222+'DOE25'!J240</f>
        <v>0</v>
      </c>
      <c r="H7" s="19">
        <f>'DOE25'!K204+'DOE25'!K222+'DOE25'!K240</f>
        <v>0</v>
      </c>
      <c r="I7" s="191"/>
    </row>
    <row r="8" spans="1:9" x14ac:dyDescent="0.2">
      <c r="A8" s="31">
        <v>2300</v>
      </c>
      <c r="B8" t="s">
        <v>794</v>
      </c>
      <c r="C8" s="205">
        <f t="shared" si="0"/>
        <v>324956.20999999996</v>
      </c>
      <c r="D8" s="179"/>
      <c r="E8" s="19">
        <f>'DOE25'!L205+'DOE25'!L223+'DOE25'!L241-F8-G8-H8-D9-D11</f>
        <v>321700.59999999998</v>
      </c>
      <c r="F8" s="180"/>
      <c r="G8" s="19">
        <f>'DOE25'!J205+'DOE25'!J223+'DOE25'!J241</f>
        <v>0</v>
      </c>
      <c r="H8" s="19">
        <f>'DOE25'!K205+'DOE25'!K223+'DOE25'!K241</f>
        <v>3255.61</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251867.24</v>
      </c>
      <c r="D12" s="19">
        <f>'DOE25'!L206+'DOE25'!L224+'DOE25'!L242-F12-G12-H12</f>
        <v>251057.24</v>
      </c>
      <c r="E12" s="179"/>
      <c r="F12" s="180"/>
      <c r="G12" s="19">
        <f>'DOE25'!J206+'DOE25'!J224+'DOE25'!J242</f>
        <v>0</v>
      </c>
      <c r="H12" s="19">
        <f>'DOE25'!K206+'DOE25'!K224+'DOE25'!K242</f>
        <v>810</v>
      </c>
      <c r="I12" s="191"/>
    </row>
    <row r="13" spans="1:9" x14ac:dyDescent="0.2">
      <c r="A13" s="31">
        <v>2500</v>
      </c>
      <c r="B13" t="s">
        <v>795</v>
      </c>
      <c r="C13" s="205">
        <f t="shared" si="0"/>
        <v>7551.52</v>
      </c>
      <c r="D13" s="179"/>
      <c r="E13" s="19">
        <f>'DOE25'!L207+'DOE25'!L225+'DOE25'!L243-F13-G13-H13</f>
        <v>7551.52</v>
      </c>
      <c r="F13" s="180"/>
      <c r="G13" s="19">
        <f>'DOE25'!J207+'DOE25'!J225+'DOE25'!J243</f>
        <v>0</v>
      </c>
      <c r="H13" s="19">
        <f>'DOE25'!K207+'DOE25'!K225+'DOE25'!K243</f>
        <v>0</v>
      </c>
      <c r="I13" s="191"/>
    </row>
    <row r="14" spans="1:9" x14ac:dyDescent="0.2">
      <c r="A14" s="31">
        <v>2600</v>
      </c>
      <c r="B14" t="s">
        <v>815</v>
      </c>
      <c r="C14" s="205">
        <f t="shared" si="0"/>
        <v>315240.42000000004</v>
      </c>
      <c r="D14" s="19">
        <f>'DOE25'!L208+'DOE25'!L226+'DOE25'!L244-F14-G14-H14</f>
        <v>315240.42000000004</v>
      </c>
      <c r="E14" s="179"/>
      <c r="F14" s="180"/>
      <c r="G14" s="19">
        <f>'DOE25'!J208+'DOE25'!J226+'DOE25'!J244</f>
        <v>0</v>
      </c>
      <c r="H14" s="19">
        <f>'DOE25'!K208+'DOE25'!K226+'DOE25'!K244</f>
        <v>0</v>
      </c>
      <c r="I14" s="191"/>
    </row>
    <row r="15" spans="1:9" x14ac:dyDescent="0.2">
      <c r="A15" s="31">
        <v>2700</v>
      </c>
      <c r="B15" t="s">
        <v>796</v>
      </c>
      <c r="C15" s="205">
        <f t="shared" si="0"/>
        <v>183639.65</v>
      </c>
      <c r="D15" s="19">
        <f>'DOE25'!L209+'DOE25'!L227+'DOE25'!L245-F15-G15-H15</f>
        <v>183639.65</v>
      </c>
      <c r="E15" s="179"/>
      <c r="F15" s="180"/>
      <c r="G15" s="19">
        <f>'DOE25'!J209+'DOE25'!J227+'DOE25'!J245</f>
        <v>0</v>
      </c>
      <c r="H15" s="19">
        <f>'DOE25'!K209+'DOE25'!K227+'DOE25'!K245</f>
        <v>0</v>
      </c>
      <c r="I15" s="191"/>
    </row>
    <row r="16" spans="1:9" x14ac:dyDescent="0.2">
      <c r="A16" s="31">
        <v>2800</v>
      </c>
      <c r="B16" t="s">
        <v>797</v>
      </c>
      <c r="C16" s="205">
        <f t="shared" si="0"/>
        <v>67367.02</v>
      </c>
      <c r="D16" s="179"/>
      <c r="E16" s="19">
        <f>'DOE25'!L210+'DOE25'!L228+'DOE25'!L246-F16-G16-H16</f>
        <v>51727.86</v>
      </c>
      <c r="F16" s="180"/>
      <c r="G16" s="19">
        <f>'DOE25'!J210+'DOE25'!J228+'DOE25'!J246</f>
        <v>15639.16</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9900</v>
      </c>
      <c r="D22" s="179"/>
      <c r="E22" s="179"/>
      <c r="F22" s="179"/>
      <c r="G22" s="19">
        <f>'DOE25'!L256+'DOE25'!L337</f>
        <v>9900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77295.41</v>
      </c>
      <c r="D29" s="211">
        <f>'DOE25'!L359+'DOE25'!L360+'DOE25'!L361-'DOE25'!I368-F29-G29-H29-F39</f>
        <v>76893.72</v>
      </c>
      <c r="E29" s="179"/>
      <c r="F29" s="179"/>
      <c r="G29" s="19">
        <f>'DOE25'!J359+'DOE25'!J360+'DOE25'!J361</f>
        <v>0</v>
      </c>
      <c r="H29" s="19">
        <f>'DOE25'!K359+'DOE25'!K360+'DOE25'!K361</f>
        <v>401.69</v>
      </c>
      <c r="I29" s="191"/>
    </row>
    <row r="30" spans="1:9" x14ac:dyDescent="0.2">
      <c r="A30" s="31"/>
      <c r="C30" s="206"/>
      <c r="D30" s="19"/>
      <c r="F30" s="200"/>
      <c r="G30" s="19"/>
      <c r="H30" s="19"/>
      <c r="I30" s="191"/>
    </row>
    <row r="31" spans="1:9" x14ac:dyDescent="0.2">
      <c r="A31" s="31" t="s">
        <v>814</v>
      </c>
      <c r="B31" t="s">
        <v>813</v>
      </c>
      <c r="C31" s="205">
        <f>SUM(D31:I31)</f>
        <v>129403.58000000002</v>
      </c>
      <c r="D31" s="19">
        <f>'DOE25'!L291+'DOE25'!L310+'DOE25'!L329+'DOE25'!L334+'DOE25'!L335+'DOE25'!L336-F31-G31-H31</f>
        <v>129403.58000000002</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5701884.7800000003</v>
      </c>
      <c r="E33" s="181">
        <f t="shared" si="1"/>
        <v>380979.98</v>
      </c>
      <c r="F33" s="181">
        <f t="shared" si="1"/>
        <v>0</v>
      </c>
      <c r="G33" s="181">
        <f t="shared" si="1"/>
        <v>25539.16</v>
      </c>
      <c r="H33" s="181">
        <f t="shared" si="1"/>
        <v>4757.3</v>
      </c>
      <c r="I33" s="181">
        <f t="shared" si="1"/>
        <v>0</v>
      </c>
    </row>
    <row r="34" spans="1:9" ht="12" thickBot="1" x14ac:dyDescent="0.25"/>
    <row r="35" spans="1:9" ht="12" thickBot="1" x14ac:dyDescent="0.25">
      <c r="B35" s="187" t="s">
        <v>827</v>
      </c>
      <c r="D35" s="188">
        <f>E33</f>
        <v>380979.98</v>
      </c>
      <c r="E35" s="184"/>
      <c r="F35" s="294" t="s">
        <v>1596</v>
      </c>
      <c r="G35" s="295"/>
      <c r="H35" s="295"/>
      <c r="I35" s="296"/>
    </row>
    <row r="36" spans="1:9" ht="12" thickTop="1" x14ac:dyDescent="0.2">
      <c r="B36" t="s">
        <v>807</v>
      </c>
      <c r="D36" s="19">
        <f>D33</f>
        <v>5701884.7800000003</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zoomScale="90" zoomScaleNormal="90" workbookViewId="0">
      <selection activeCell="A28" sqref="A2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Mont Vernon</v>
      </c>
      <c r="B2">
        <f>'DOE25'!B2</f>
        <v>367</v>
      </c>
      <c r="J2" s="223" t="s">
        <v>1799</v>
      </c>
      <c r="K2" s="308">
        <f>SUM('DOE25'!L198:L201)+SUM('DOE25'!L277:L280)</f>
        <v>2650452.5099999998</v>
      </c>
      <c r="L2" s="308">
        <f>'DOE25'!L203+'DOE25'!L282</f>
        <v>483527.50999999995</v>
      </c>
      <c r="M2" s="308">
        <f>'DOE25'!L204+'DOE25'!L283</f>
        <v>157358.13</v>
      </c>
      <c r="N2" s="308">
        <f>'DOE25'!L206+'DOE25'!L285</f>
        <v>253050.56</v>
      </c>
      <c r="O2" s="316">
        <f>'Salaries-Benefits'!B10+'Salaries-Benefits'!B12+'Salaries-Benefits'!B19+'Salaries-Benefits'!B21+'Salaries-Benefits'!B28+'Salaries-Benefits'!B30+'Salaries-Benefits'!B37+'Salaries-Benefits'!B39</f>
        <v>1535701.93</v>
      </c>
      <c r="P2" s="316">
        <f>'Salaries-Benefits'!B11+'Salaries-Benefits'!B20+'Salaries-Benefits'!B29+'Salaries-Benefits'!B38</f>
        <v>84168.790000000008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4409038.04</v>
      </c>
      <c r="G4" s="228">
        <f>'DOE25'!L212+'DOE25'!L291</f>
        <v>4409038.0399999991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179151.96</v>
      </c>
      <c r="E5" s="219">
        <v>4240.03</v>
      </c>
      <c r="F5" s="231">
        <f>D5+E5</f>
        <v>183391.99</v>
      </c>
      <c r="G5" s="222"/>
      <c r="H5" s="222"/>
      <c r="J5" s="71" t="s">
        <v>1840</v>
      </c>
      <c r="K5" s="20">
        <v>165508.17000000001</v>
      </c>
      <c r="L5" s="20">
        <v>17883.82</v>
      </c>
      <c r="M5" s="20"/>
      <c r="N5" s="20"/>
      <c r="O5" s="20"/>
      <c r="P5" s="20"/>
      <c r="Q5" s="20"/>
    </row>
    <row r="6" spans="1:22" x14ac:dyDescent="0.2">
      <c r="A6" t="str" cm="1">
        <f t="array" ref="A6">IFERROR(INDEX('School Tables'!$A$4:$G$365,'School Tables'!$J4,3),"")</f>
        <v>Mont Vernon Village School</v>
      </c>
      <c r="B6" s="229">
        <f>IFERROR(VLOOKUP(A6,'School Tables'!$C$3:$D$365,2,FALSE),"")</f>
        <v>21790</v>
      </c>
      <c r="C6" s="222" t="str">
        <f>IFERROR(INDEX('School Tables'!$B$3:$B$365,MATCH('School Level Expenditures'!B6,'School Tables'!$D$3:$D$365,0)),"")</f>
        <v>Mont Vernon</v>
      </c>
      <c r="D6" s="219">
        <f>4225646.05-E6</f>
        <v>4089542.1509399996</v>
      </c>
      <c r="E6" s="219">
        <f>(14733.18*0.767)+(129043.58-4240.03)</f>
        <v>136103.89906</v>
      </c>
      <c r="F6" s="231">
        <f t="shared" ref="F6:F20" si="2">D6+E6</f>
        <v>4225646.05</v>
      </c>
      <c r="G6" s="222"/>
      <c r="H6" s="222"/>
      <c r="J6" t="str">
        <f t="shared" ref="J6:J20" si="3">A6</f>
        <v>Mont Vernon Village School</v>
      </c>
      <c r="K6" s="20">
        <v>2484944.34</v>
      </c>
      <c r="L6" s="20">
        <v>465643.69</v>
      </c>
      <c r="M6" s="307">
        <v>157358.13</v>
      </c>
      <c r="N6" s="20">
        <v>253050.56</v>
      </c>
      <c r="O6" s="20">
        <v>1535701.93</v>
      </c>
      <c r="P6" s="20">
        <v>84168.79</v>
      </c>
      <c r="Q6" s="20">
        <v>24288.28</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4268694.11094</v>
      </c>
      <c r="E21" s="261">
        <f>SUM(E5:E20)</f>
        <v>140343.92905999999</v>
      </c>
      <c r="F21" s="216"/>
      <c r="G21" s="216"/>
      <c r="H21" s="216"/>
      <c r="K21" s="262">
        <f t="shared" ref="K21:Q21" si="4">SUM(K5:K20)</f>
        <v>2650452.5099999998</v>
      </c>
      <c r="L21" s="262">
        <f t="shared" si="4"/>
        <v>483527.51</v>
      </c>
      <c r="M21" s="262">
        <f t="shared" si="4"/>
        <v>157358.13</v>
      </c>
      <c r="N21" s="262">
        <f t="shared" si="4"/>
        <v>253050.56</v>
      </c>
      <c r="O21" s="262">
        <f t="shared" si="4"/>
        <v>1535701.93</v>
      </c>
      <c r="P21" s="262">
        <f t="shared" si="4"/>
        <v>84168.79</v>
      </c>
      <c r="Q21" s="262">
        <f t="shared" si="4"/>
        <v>24288.28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1576151.65</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1616927.77</v>
      </c>
      <c r="G25" s="228">
        <f>'DOE25'!L230+'DOE25'!L310</f>
        <v>1616927.77</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1616927.77-E26</f>
        <v>1613494.93906</v>
      </c>
      <c r="E26" s="219">
        <f>(14733.18*0.233)</f>
        <v>3432.8309400000003</v>
      </c>
      <c r="F26" s="231">
        <f>D26+E26</f>
        <v>1616927.77</v>
      </c>
      <c r="G26" s="222"/>
      <c r="H26" s="222"/>
      <c r="J26" s="71" t="s">
        <v>1840</v>
      </c>
      <c r="K26" s="315">
        <v>1576151.65</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D27+E27</f>
        <v>0</v>
      </c>
      <c r="G27" s="222"/>
      <c r="H27" s="222"/>
      <c r="J27" t="str">
        <f t="shared" ref="J27:J33" si="6">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ref="F28:F33" si="7">D28+E28</f>
        <v>0</v>
      </c>
      <c r="G28" s="222"/>
      <c r="H28" s="222"/>
      <c r="J28" t="str">
        <f t="shared" si="6"/>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7"/>
        <v>0</v>
      </c>
      <c r="G29" s="222"/>
      <c r="H29" s="222"/>
      <c r="J29" t="str">
        <f t="shared" si="6"/>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7"/>
        <v>0</v>
      </c>
      <c r="G30" s="222"/>
      <c r="H30" s="222"/>
      <c r="J30" t="str">
        <f t="shared" si="6"/>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7"/>
        <v>0</v>
      </c>
      <c r="G31" s="222"/>
      <c r="H31" s="222"/>
      <c r="J31" t="str">
        <f t="shared" si="6"/>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7"/>
        <v>0</v>
      </c>
      <c r="G32" s="222"/>
      <c r="H32" s="222"/>
      <c r="J32" t="str">
        <f t="shared" si="6"/>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7"/>
        <v>0</v>
      </c>
      <c r="G33" s="222"/>
      <c r="H33" s="222"/>
      <c r="J33" t="str">
        <f t="shared" si="6"/>
        <v/>
      </c>
      <c r="K33" s="20"/>
      <c r="L33" s="20"/>
      <c r="M33" s="20"/>
      <c r="N33" s="20"/>
      <c r="O33" s="20"/>
      <c r="P33" s="20"/>
      <c r="Q33" s="20"/>
    </row>
    <row r="34" spans="1:17" ht="12" thickBot="1" x14ac:dyDescent="0.25">
      <c r="B34" s="230"/>
      <c r="C34" s="216"/>
      <c r="D34" s="261">
        <f>SUM(D26:D33)</f>
        <v>1613494.93906</v>
      </c>
      <c r="E34" s="261">
        <f>SUM(E26:E33)</f>
        <v>3432.8309400000003</v>
      </c>
      <c r="F34" s="216"/>
      <c r="G34" s="216"/>
      <c r="H34" s="216"/>
      <c r="K34" s="262">
        <f t="shared" ref="K34:Q34" si="8">SUM(K26:K33)</f>
        <v>1576151.65</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52" fitToWidth="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Mont Vernon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131460.87</v>
      </c>
      <c r="D8" s="73">
        <f>'DOE25'!G9</f>
        <v>0</v>
      </c>
      <c r="E8" s="73">
        <f>'DOE25'!H9</f>
        <v>0</v>
      </c>
      <c r="F8" s="73">
        <f>'DOE25'!I9</f>
        <v>0</v>
      </c>
      <c r="G8" s="73">
        <f>'DOE25'!J9</f>
        <v>9040.1200000000008</v>
      </c>
      <c r="H8" s="13">
        <f>SUM(C8:G8)</f>
        <v>140500.99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11652.84</v>
      </c>
      <c r="D11" s="73">
        <f>'DOE25'!G12</f>
        <v>3099.2</v>
      </c>
      <c r="E11" s="73">
        <f>'DOE25'!H12</f>
        <v>0</v>
      </c>
      <c r="F11" s="73">
        <f>'DOE25'!I12</f>
        <v>0</v>
      </c>
      <c r="G11" s="73">
        <f>'DOE25'!J12</f>
        <v>0</v>
      </c>
      <c r="H11" s="13">
        <f t="shared" si="0"/>
        <v>14752.04</v>
      </c>
      <c r="I11" s="90"/>
    </row>
    <row r="12" spans="1:9" x14ac:dyDescent="0.2">
      <c r="A12" s="1" t="s">
        <v>143</v>
      </c>
      <c r="B12" s="6">
        <v>140</v>
      </c>
      <c r="C12" s="73">
        <f>'DOE25'!F13</f>
        <v>409374.75</v>
      </c>
      <c r="D12" s="73">
        <f>'DOE25'!G13</f>
        <v>6425.68</v>
      </c>
      <c r="E12" s="73">
        <f>'DOE25'!H13</f>
        <v>16988.740000000002</v>
      </c>
      <c r="F12" s="73">
        <f>'DOE25'!I13</f>
        <v>0</v>
      </c>
      <c r="G12" s="73">
        <f>'DOE25'!J13</f>
        <v>277547.57</v>
      </c>
      <c r="H12" s="13">
        <f t="shared" si="0"/>
        <v>710336.74</v>
      </c>
      <c r="I12" s="90"/>
    </row>
    <row r="13" spans="1:9" x14ac:dyDescent="0.2">
      <c r="A13" s="1" t="s">
        <v>144</v>
      </c>
      <c r="B13" s="6">
        <v>150</v>
      </c>
      <c r="C13" s="73">
        <f>'DOE25'!F14</f>
        <v>1883.2</v>
      </c>
      <c r="D13" s="73">
        <f>'DOE25'!G14</f>
        <v>0</v>
      </c>
      <c r="E13" s="73">
        <f>'DOE25'!H14</f>
        <v>0</v>
      </c>
      <c r="F13" s="73">
        <f>'DOE25'!I14</f>
        <v>0</v>
      </c>
      <c r="G13" s="73">
        <f>'DOE25'!J14</f>
        <v>0</v>
      </c>
      <c r="H13" s="13">
        <f t="shared" si="0"/>
        <v>1883.2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554371.65999999992</v>
      </c>
      <c r="D18" s="38">
        <f>SUM(D8:D17)</f>
        <v>9524.880000000001</v>
      </c>
      <c r="E18" s="38">
        <f>SUM(E8:E17)</f>
        <v>16988.740000000002</v>
      </c>
      <c r="F18" s="38">
        <f>SUM(F8:F17)</f>
        <v>0</v>
      </c>
      <c r="G18" s="38">
        <f>SUM(G8:G17)</f>
        <v>286587.69</v>
      </c>
      <c r="H18" s="38">
        <f t="shared" si="0"/>
        <v>867472.97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14752.04</v>
      </c>
      <c r="F21" s="73">
        <f>'DOE25'!I22</f>
        <v>0</v>
      </c>
      <c r="G21" s="73">
        <f>'DOE25'!J22</f>
        <v>0</v>
      </c>
      <c r="H21" s="13">
        <f t="shared" ref="H21:H31" si="1">SUM(C21:G21)</f>
        <v>14752.04</v>
      </c>
      <c r="I21" s="90"/>
    </row>
    <row r="22" spans="1:9" x14ac:dyDescent="0.2">
      <c r="A22" s="1" t="s">
        <v>151</v>
      </c>
      <c r="B22" s="6">
        <v>410</v>
      </c>
      <c r="C22" s="73">
        <f>'DOE25'!F23</f>
        <v>273156.21000000002</v>
      </c>
      <c r="D22" s="73">
        <f>'DOE25'!G23</f>
        <v>4923.42</v>
      </c>
      <c r="E22" s="73">
        <f>'DOE25'!H23</f>
        <v>0</v>
      </c>
      <c r="F22" s="73">
        <f>'DOE25'!I23</f>
        <v>0</v>
      </c>
      <c r="G22" s="73">
        <f>'DOE25'!J23</f>
        <v>0</v>
      </c>
      <c r="H22" s="13">
        <f t="shared" si="1"/>
        <v>278079.63</v>
      </c>
      <c r="I22" s="90"/>
    </row>
    <row r="23" spans="1:9" x14ac:dyDescent="0.2">
      <c r="A23" s="1" t="s">
        <v>152</v>
      </c>
      <c r="B23" s="6">
        <v>420</v>
      </c>
      <c r="C23" s="73">
        <f>'DOE25'!F24</f>
        <v>16016.14</v>
      </c>
      <c r="D23" s="73">
        <f>'DOE25'!G24</f>
        <v>0</v>
      </c>
      <c r="E23" s="73">
        <f>'DOE25'!H24</f>
        <v>0</v>
      </c>
      <c r="F23" s="73">
        <f>'DOE25'!I24</f>
        <v>0</v>
      </c>
      <c r="G23" s="73">
        <f>'DOE25'!J24</f>
        <v>0</v>
      </c>
      <c r="H23" s="13">
        <f t="shared" si="1"/>
        <v>16016.14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12929.5</v>
      </c>
      <c r="D27" s="73">
        <f>'DOE25'!G28</f>
        <v>0</v>
      </c>
      <c r="E27" s="73">
        <f>'DOE25'!H28</f>
        <v>0</v>
      </c>
      <c r="F27" s="73">
        <f>'DOE25'!I28</f>
        <v>0</v>
      </c>
      <c r="G27" s="23" t="s">
        <v>288</v>
      </c>
      <c r="H27" s="13">
        <f t="shared" si="1"/>
        <v>12929.5</v>
      </c>
      <c r="I27" s="90"/>
    </row>
    <row r="28" spans="1:9" x14ac:dyDescent="0.2">
      <c r="A28" s="1" t="s">
        <v>157</v>
      </c>
      <c r="B28" s="6">
        <v>470</v>
      </c>
      <c r="C28" s="73">
        <f>'DOE25'!F29</f>
        <v>3561.64</v>
      </c>
      <c r="D28" s="73">
        <f>'DOE25'!G29</f>
        <v>0</v>
      </c>
      <c r="E28" s="73">
        <f>'DOE25'!H29</f>
        <v>0</v>
      </c>
      <c r="F28" s="73">
        <f>'DOE25'!I29</f>
        <v>0</v>
      </c>
      <c r="G28" s="23" t="s">
        <v>288</v>
      </c>
      <c r="H28" s="13">
        <f t="shared" si="1"/>
        <v>3561.64</v>
      </c>
      <c r="I28" s="90"/>
    </row>
    <row r="29" spans="1:9" x14ac:dyDescent="0.2">
      <c r="A29" s="1" t="s">
        <v>158</v>
      </c>
      <c r="B29" s="6">
        <v>480</v>
      </c>
      <c r="C29" s="73">
        <f>'DOE25'!F30</f>
        <v>0</v>
      </c>
      <c r="D29" s="73">
        <f>'DOE25'!G30</f>
        <v>4601.46</v>
      </c>
      <c r="E29" s="73">
        <f>'DOE25'!H30</f>
        <v>2236.6999999999998</v>
      </c>
      <c r="F29" s="73">
        <f>'DOE25'!I30</f>
        <v>0</v>
      </c>
      <c r="G29" s="23" t="s">
        <v>288</v>
      </c>
      <c r="H29" s="13">
        <f t="shared" si="1"/>
        <v>6838.16</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305663.49000000005</v>
      </c>
      <c r="D31" s="38">
        <f>SUM(D21:D30)</f>
        <v>9524.880000000001</v>
      </c>
      <c r="E31" s="38">
        <f>SUM(E21:E30)</f>
        <v>16988.740000000002</v>
      </c>
      <c r="F31" s="38">
        <f>SUM(F21:F30)</f>
        <v>0</v>
      </c>
      <c r="G31" s="38">
        <f>SUM(G21:G30)</f>
        <v>0</v>
      </c>
      <c r="H31" s="38">
        <f t="shared" si="1"/>
        <v>332177.11000000004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90000</v>
      </c>
      <c r="D43" s="73">
        <f>'DOE25'!G44</f>
        <v>0</v>
      </c>
      <c r="E43" s="73">
        <f>'DOE25'!H44</f>
        <v>0</v>
      </c>
      <c r="F43" s="73">
        <f>'DOE25'!I44</f>
        <v>0</v>
      </c>
      <c r="G43" s="23" t="s">
        <v>288</v>
      </c>
      <c r="H43" s="13">
        <f t="shared" si="2"/>
        <v>90000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286587.69</v>
      </c>
      <c r="H47" s="13">
        <f t="shared" si="2"/>
        <v>286587.69</v>
      </c>
      <c r="I47" s="90"/>
    </row>
    <row r="48" spans="1:9" x14ac:dyDescent="0.2">
      <c r="A48" s="1" t="s">
        <v>878</v>
      </c>
      <c r="B48" s="6">
        <v>753</v>
      </c>
      <c r="C48" s="73">
        <f>'DOE25'!F49</f>
        <v>50100</v>
      </c>
      <c r="D48" s="73">
        <f>'DOE25'!G49</f>
        <v>0</v>
      </c>
      <c r="E48" s="73">
        <f>'DOE25'!H49</f>
        <v>0</v>
      </c>
      <c r="F48" s="73">
        <f>'DOE25'!I49</f>
        <v>0</v>
      </c>
      <c r="G48" s="73">
        <f>'DOE25'!J49</f>
        <v>0</v>
      </c>
      <c r="H48" s="13">
        <f t="shared" si="2"/>
        <v>50100</v>
      </c>
      <c r="I48" s="90"/>
    </row>
    <row r="49" spans="1:9" ht="12" thickBot="1" x14ac:dyDescent="0.25">
      <c r="A49" s="28" t="s">
        <v>879</v>
      </c>
      <c r="B49" s="56">
        <v>770</v>
      </c>
      <c r="C49" s="73">
        <f>'DOE25'!F50</f>
        <v>108608.17</v>
      </c>
      <c r="D49" s="23" t="s">
        <v>288</v>
      </c>
      <c r="E49" s="23" t="s">
        <v>288</v>
      </c>
      <c r="F49" s="23" t="s">
        <v>288</v>
      </c>
      <c r="G49" s="23" t="s">
        <v>288</v>
      </c>
      <c r="H49" s="13">
        <f t="shared" si="2"/>
        <v>108608.17</v>
      </c>
      <c r="I49" s="90"/>
    </row>
    <row r="50" spans="1:9" ht="12.75" thickTop="1" thickBot="1" x14ac:dyDescent="0.25">
      <c r="A50" s="35" t="s">
        <v>880</v>
      </c>
      <c r="B50" s="44"/>
      <c r="C50" s="38">
        <f>SUM(C34:C49)</f>
        <v>248708.16999999998</v>
      </c>
      <c r="D50" s="38">
        <f>SUM(D34:D49)</f>
        <v>0</v>
      </c>
      <c r="E50" s="38">
        <f>SUM(E34:E49)</f>
        <v>0</v>
      </c>
      <c r="F50" s="38">
        <f>SUM(F34:F49)</f>
        <v>0</v>
      </c>
      <c r="G50" s="38">
        <f>SUM(G34:G49)</f>
        <v>286587.69</v>
      </c>
      <c r="H50" s="38">
        <f t="shared" si="2"/>
        <v>535295.86</v>
      </c>
      <c r="I50" s="90"/>
    </row>
    <row r="51" spans="1:9" ht="12" thickTop="1" x14ac:dyDescent="0.2">
      <c r="A51" s="35" t="s">
        <v>881</v>
      </c>
      <c r="B51" s="2"/>
      <c r="C51" s="38">
        <f>C50+C31</f>
        <v>554371.66</v>
      </c>
      <c r="D51" s="38">
        <f>D50+D31</f>
        <v>9524.880000000001</v>
      </c>
      <c r="E51" s="38">
        <f>E50+E31</f>
        <v>16988.740000000002</v>
      </c>
      <c r="F51" s="38">
        <f>F50+F31</f>
        <v>0</v>
      </c>
      <c r="G51" s="38">
        <f>G50+G31</f>
        <v>286587.69</v>
      </c>
      <c r="H51" s="38">
        <f t="shared" si="2"/>
        <v>867472.97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4473749</v>
      </c>
      <c r="D56" s="73">
        <f>'DOE25'!G60</f>
        <v>0</v>
      </c>
      <c r="E56" s="73">
        <f>'DOE25'!H60</f>
        <v>0</v>
      </c>
      <c r="F56" s="73">
        <f>'DOE25'!I60</f>
        <v>0</v>
      </c>
      <c r="G56" s="73">
        <f>'DOE25'!J60</f>
        <v>0</v>
      </c>
      <c r="H56" s="13">
        <f t="shared" ref="H56:H63" si="3">SUM(C56:G56)</f>
        <v>4473749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20706.93</v>
      </c>
      <c r="D59" s="73">
        <f>'DOE25'!G96</f>
        <v>0</v>
      </c>
      <c r="E59" s="73">
        <f>'DOE25'!H96</f>
        <v>0</v>
      </c>
      <c r="F59" s="73">
        <f>'DOE25'!I96</f>
        <v>0</v>
      </c>
      <c r="G59" s="73">
        <f>'DOE25'!J96</f>
        <v>15758.51</v>
      </c>
      <c r="H59" s="13">
        <f t="shared" si="3"/>
        <v>36465.440000000002</v>
      </c>
      <c r="I59"/>
    </row>
    <row r="60" spans="1:9" x14ac:dyDescent="0.2">
      <c r="A60" s="1" t="s">
        <v>170</v>
      </c>
      <c r="B60" s="22" t="s">
        <v>171</v>
      </c>
      <c r="C60" s="23" t="s">
        <v>288</v>
      </c>
      <c r="D60" s="73">
        <f>'DOE25'!G97</f>
        <v>65899.179999999993</v>
      </c>
      <c r="E60" s="23" t="s">
        <v>288</v>
      </c>
      <c r="F60" s="23" t="s">
        <v>288</v>
      </c>
      <c r="G60" s="23" t="s">
        <v>288</v>
      </c>
      <c r="H60" s="13">
        <f t="shared" si="3"/>
        <v>65899.179999999993</v>
      </c>
      <c r="I60"/>
    </row>
    <row r="61" spans="1:9" ht="12" thickBot="1" x14ac:dyDescent="0.25">
      <c r="A61" s="1" t="s">
        <v>172</v>
      </c>
      <c r="B61" s="22" t="s">
        <v>173</v>
      </c>
      <c r="C61" s="73">
        <f>SUM('DOE25'!F98:F110)</f>
        <v>3595.25</v>
      </c>
      <c r="D61" s="73">
        <f>SUM('DOE25'!G98:G110)</f>
        <v>145.44</v>
      </c>
      <c r="E61" s="73">
        <f>SUM('DOE25'!H98:H110)</f>
        <v>360</v>
      </c>
      <c r="F61" s="73">
        <f>SUM('DOE25'!I98:I110)</f>
        <v>0</v>
      </c>
      <c r="G61" s="73">
        <f>SUM('DOE25'!J98:J110)</f>
        <v>21763.02</v>
      </c>
      <c r="H61" s="13">
        <f t="shared" si="3"/>
        <v>25863.71</v>
      </c>
      <c r="I61"/>
    </row>
    <row r="62" spans="1:9" ht="12.75" thickTop="1" thickBot="1" x14ac:dyDescent="0.25">
      <c r="A62" s="28" t="s">
        <v>174</v>
      </c>
      <c r="B62" s="6"/>
      <c r="C62" s="93">
        <f>SUM(C57:C61)</f>
        <v>24302.18</v>
      </c>
      <c r="D62" s="93">
        <f>SUM(D57:D61)</f>
        <v>66044.62</v>
      </c>
      <c r="E62" s="93">
        <f>SUM(E57:E61)</f>
        <v>360</v>
      </c>
      <c r="F62" s="93">
        <f>SUM(F57:F61)</f>
        <v>0</v>
      </c>
      <c r="G62" s="93">
        <f>SUM(G57:G61)</f>
        <v>37521.53</v>
      </c>
      <c r="H62" s="13">
        <f t="shared" si="3"/>
        <v>128228.32999999999</v>
      </c>
      <c r="I62"/>
    </row>
    <row r="63" spans="1:9" ht="12" thickTop="1" x14ac:dyDescent="0.2">
      <c r="A63" s="28" t="s">
        <v>175</v>
      </c>
      <c r="B63" s="6"/>
      <c r="C63" s="21">
        <f>C56+C62</f>
        <v>4498051.18</v>
      </c>
      <c r="D63" s="21">
        <f>D56+D62</f>
        <v>66044.62</v>
      </c>
      <c r="E63" s="21">
        <f>E56+E62</f>
        <v>360</v>
      </c>
      <c r="F63" s="21">
        <f>F56+F62</f>
        <v>0</v>
      </c>
      <c r="G63" s="21">
        <f>G56+G62</f>
        <v>37521.53</v>
      </c>
      <c r="H63" s="13">
        <f t="shared" si="3"/>
        <v>4601977.33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951247.03</v>
      </c>
      <c r="D66" s="23" t="s">
        <v>288</v>
      </c>
      <c r="E66" s="23" t="s">
        <v>288</v>
      </c>
      <c r="F66" s="23" t="s">
        <v>288</v>
      </c>
      <c r="G66" s="23" t="s">
        <v>288</v>
      </c>
      <c r="H66" s="13">
        <f t="shared" ref="H66:H81" si="4">SUM(C66:G66)</f>
        <v>951247.03</v>
      </c>
      <c r="I66"/>
    </row>
    <row r="67" spans="1:9" x14ac:dyDescent="0.2">
      <c r="A67" s="1" t="s">
        <v>767</v>
      </c>
      <c r="B67" s="6">
        <v>3112</v>
      </c>
      <c r="C67" s="73">
        <f>'DOE25'!F118</f>
        <v>461013</v>
      </c>
      <c r="D67" s="23"/>
      <c r="E67" s="23"/>
      <c r="F67" s="23"/>
      <c r="G67" s="23"/>
      <c r="H67" s="13">
        <f t="shared" si="4"/>
        <v>461013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1414297.1400000001</v>
      </c>
      <c r="D70" s="97">
        <f>D69</f>
        <v>0</v>
      </c>
      <c r="E70" s="97">
        <f>E69</f>
        <v>0</v>
      </c>
      <c r="F70" s="97">
        <f>F69</f>
        <v>0</v>
      </c>
      <c r="G70" s="97">
        <f>G69</f>
        <v>0</v>
      </c>
      <c r="H70" s="13">
        <f t="shared" si="4"/>
        <v>1414297.1400000001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35506.339999999997</v>
      </c>
      <c r="D75" s="23" t="s">
        <v>288</v>
      </c>
      <c r="E75" s="23" t="s">
        <v>288</v>
      </c>
      <c r="F75" s="23" t="s">
        <v>288</v>
      </c>
      <c r="G75" s="23" t="s">
        <v>288</v>
      </c>
      <c r="H75" s="13">
        <f t="shared" si="4"/>
        <v>35506.339999999997</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1228.3399999999999</v>
      </c>
      <c r="E77" s="73">
        <f>SUM('DOE25'!H131:H135)</f>
        <v>0</v>
      </c>
      <c r="F77" s="73">
        <f>SUM('DOE25'!I131:I135)</f>
        <v>0</v>
      </c>
      <c r="G77" s="73">
        <f>SUM('DOE25'!J131:J135)</f>
        <v>0</v>
      </c>
      <c r="H77" s="13">
        <f t="shared" si="4"/>
        <v>1228.3399999999999</v>
      </c>
      <c r="I77"/>
    </row>
    <row r="78" spans="1:9" ht="12.75" thickTop="1" thickBot="1" x14ac:dyDescent="0.25">
      <c r="A78" s="28" t="s">
        <v>259</v>
      </c>
      <c r="B78" s="6"/>
      <c r="C78" s="93">
        <f>SUM(C72:C77)</f>
        <v>35506.339999999997</v>
      </c>
      <c r="D78" s="93">
        <f>SUM(D72:D77)</f>
        <v>1228.3399999999999</v>
      </c>
      <c r="E78" s="93">
        <f>SUM(E72:E77)</f>
        <v>0</v>
      </c>
      <c r="F78" s="93">
        <f>SUM(F72:F77)</f>
        <v>0</v>
      </c>
      <c r="G78" s="93">
        <f>SUM(G72:G77)</f>
        <v>0</v>
      </c>
      <c r="H78" s="13">
        <f t="shared" si="4"/>
        <v>36734.679999999993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1449803.4800000002</v>
      </c>
      <c r="D81" s="93">
        <f>SUM(D79:D80)+D78+D70</f>
        <v>1228.3399999999999</v>
      </c>
      <c r="E81" s="93">
        <f>SUM(E79:E80)+E78+E70</f>
        <v>0</v>
      </c>
      <c r="F81" s="93">
        <f>SUM(F79:F80)+F78+F70</f>
        <v>0</v>
      </c>
      <c r="G81" s="93">
        <f>SUM(G79:G80)+G78+G70</f>
        <v>0</v>
      </c>
      <c r="H81" s="93">
        <f t="shared" si="4"/>
        <v>1451031.8200000003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3146.54</v>
      </c>
      <c r="F87" s="73">
        <f>SUM('DOE25'!I149:I152)</f>
        <v>0</v>
      </c>
      <c r="G87" s="23" t="s">
        <v>288</v>
      </c>
      <c r="H87" s="13">
        <f t="shared" si="5"/>
        <v>3146.54</v>
      </c>
    </row>
    <row r="88" spans="1:9" x14ac:dyDescent="0.2">
      <c r="A88" s="216" t="s">
        <v>744</v>
      </c>
      <c r="B88" s="230" t="s">
        <v>184</v>
      </c>
      <c r="C88" s="252">
        <f>SUM('DOE25'!F153:F162)</f>
        <v>14733.18</v>
      </c>
      <c r="D88" s="252">
        <f>SUM('DOE25'!G153:G162)</f>
        <v>35687.39</v>
      </c>
      <c r="E88" s="252">
        <f>SUM('DOE25'!H153:H162)</f>
        <v>125897.04000000001</v>
      </c>
      <c r="F88" s="252">
        <f>SUM('DOE25'!I153:I162)</f>
        <v>0</v>
      </c>
      <c r="G88" s="23" t="s">
        <v>288</v>
      </c>
      <c r="H88" s="13">
        <f t="shared" si="5"/>
        <v>176317.61000000002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14733.18</v>
      </c>
      <c r="D91" s="94">
        <f>SUM(D85:D90)</f>
        <v>35687.39</v>
      </c>
      <c r="E91" s="94">
        <f>SUM(E85:E90)</f>
        <v>129043.58</v>
      </c>
      <c r="F91" s="94">
        <f>SUM(F85:F90)</f>
        <v>0</v>
      </c>
      <c r="G91" s="23" t="s">
        <v>288</v>
      </c>
      <c r="H91" s="13">
        <f t="shared" si="5"/>
        <v>179464.15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12769.06</v>
      </c>
      <c r="E96" s="73">
        <f>'DOE25'!H180</f>
        <v>0</v>
      </c>
      <c r="F96" s="73">
        <f>'DOE25'!I180</f>
        <v>0</v>
      </c>
      <c r="G96" s="73">
        <f>'DOE25'!J180</f>
        <v>70000</v>
      </c>
      <c r="H96" s="13">
        <f t="shared" si="5"/>
        <v>82769.06</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12769.06</v>
      </c>
      <c r="E103" s="68">
        <f>SUM(E93:E102)</f>
        <v>0</v>
      </c>
      <c r="F103" s="68">
        <f>SUM(F93:F102)</f>
        <v>0</v>
      </c>
      <c r="G103" s="68">
        <f>SUM(G93:G102)</f>
        <v>70000</v>
      </c>
      <c r="H103" s="68">
        <f t="shared" si="5"/>
        <v>82769.06</v>
      </c>
    </row>
    <row r="104" spans="1:8" ht="12.75" thickTop="1" thickBot="1" x14ac:dyDescent="0.25">
      <c r="A104" s="32" t="s">
        <v>758</v>
      </c>
      <c r="C104" s="68">
        <f>C63+C81+C91+C103</f>
        <v>5962587.8399999999</v>
      </c>
      <c r="D104" s="68">
        <f>D63+D81+D91+D103</f>
        <v>115729.40999999999</v>
      </c>
      <c r="E104" s="68">
        <f>E63+E81+E91+E103</f>
        <v>129403.58</v>
      </c>
      <c r="F104" s="68">
        <f>F63+F81+F91+F103</f>
        <v>0</v>
      </c>
      <c r="G104" s="68">
        <f>G63+G81+G103</f>
        <v>107521.53</v>
      </c>
      <c r="H104" s="68">
        <f t="shared" si="5"/>
        <v>6315242.3600000003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3271345.45</v>
      </c>
      <c r="D109" s="23" t="s">
        <v>288</v>
      </c>
      <c r="E109" s="73">
        <f>('DOE25'!L277)+('DOE25'!L296)+('DOE25'!L315)</f>
        <v>9238.68</v>
      </c>
      <c r="F109" s="23" t="s">
        <v>288</v>
      </c>
      <c r="G109" s="23" t="s">
        <v>288</v>
      </c>
      <c r="H109" s="13">
        <f t="shared" ref="H109:H115" si="6">SUM(C109:G109)</f>
        <v>3280584.1300000004</v>
      </c>
    </row>
    <row r="110" spans="1:8" x14ac:dyDescent="0.2">
      <c r="A110" t="s">
        <v>198</v>
      </c>
      <c r="B110" s="31" t="s">
        <v>199</v>
      </c>
      <c r="C110" s="73">
        <f>('DOE25'!L199)+('DOE25'!L217)+('DOE25'!L235)</f>
        <v>871660.83000000007</v>
      </c>
      <c r="D110" s="23" t="s">
        <v>288</v>
      </c>
      <c r="E110" s="73">
        <f>('DOE25'!L278)+('DOE25'!L297)+('DOE25'!L316)</f>
        <v>27681</v>
      </c>
      <c r="F110" s="23" t="s">
        <v>288</v>
      </c>
      <c r="G110" s="23" t="s">
        <v>288</v>
      </c>
      <c r="H110" s="13">
        <f t="shared" si="6"/>
        <v>899341.83000000007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9874.34</v>
      </c>
      <c r="D112" s="23" t="s">
        <v>288</v>
      </c>
      <c r="E112" s="73">
        <f>+('DOE25'!L280)+('DOE25'!L299)+('DOE25'!L318)</f>
        <v>36803.86</v>
      </c>
      <c r="F112" s="23" t="s">
        <v>288</v>
      </c>
      <c r="G112" s="23" t="s">
        <v>288</v>
      </c>
      <c r="H112" s="13">
        <f t="shared" si="6"/>
        <v>46678.2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4152880.62</v>
      </c>
      <c r="D115" s="68">
        <f>SUM(D109:D114)</f>
        <v>0</v>
      </c>
      <c r="E115" s="68">
        <f>SUM(E109:E114)</f>
        <v>73723.540000000008</v>
      </c>
      <c r="F115" s="68">
        <f>SUM(F109:F114)</f>
        <v>0</v>
      </c>
      <c r="G115" s="68">
        <f>SUM(G109:G114)</f>
        <v>0</v>
      </c>
      <c r="H115" s="68">
        <f t="shared" si="6"/>
        <v>4226604.16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443635.27999999997</v>
      </c>
      <c r="D118" s="23" t="s">
        <v>288</v>
      </c>
      <c r="E118" s="73">
        <f>+('DOE25'!L282)+('DOE25'!L301)+('DOE25'!L320)</f>
        <v>39892.229999999996</v>
      </c>
      <c r="F118" s="23" t="s">
        <v>288</v>
      </c>
      <c r="G118" s="23" t="s">
        <v>288</v>
      </c>
      <c r="H118" s="13">
        <f t="shared" ref="H118:H145" si="7">SUM(C118:G118)</f>
        <v>483527.50999999995</v>
      </c>
    </row>
    <row r="119" spans="1:8" x14ac:dyDescent="0.2">
      <c r="A119" t="s">
        <v>208</v>
      </c>
      <c r="B119" s="31" t="s">
        <v>209</v>
      </c>
      <c r="C119" s="73">
        <f>('DOE25'!L204)+('DOE25'!L222)+('DOE25'!L240)</f>
        <v>149424.27000000002</v>
      </c>
      <c r="D119" s="23" t="s">
        <v>288</v>
      </c>
      <c r="E119" s="73">
        <f>+('DOE25'!L283)+('DOE25'!L302)+('DOE25'!L321)</f>
        <v>7933.8600000000006</v>
      </c>
      <c r="F119" s="23" t="s">
        <v>288</v>
      </c>
      <c r="G119" s="23" t="s">
        <v>288</v>
      </c>
      <c r="H119" s="13">
        <f t="shared" si="7"/>
        <v>157358.13</v>
      </c>
    </row>
    <row r="120" spans="1:8" x14ac:dyDescent="0.2">
      <c r="A120" t="s">
        <v>210</v>
      </c>
      <c r="B120" s="31" t="s">
        <v>211</v>
      </c>
      <c r="C120" s="73">
        <f>('DOE25'!L205)+('DOE25'!L223)+('DOE25'!L241)</f>
        <v>324956.20999999996</v>
      </c>
      <c r="D120" s="23" t="s">
        <v>288</v>
      </c>
      <c r="E120" s="73">
        <f>+('DOE25'!L284)+('DOE25'!L303)+('DOE25'!L322)</f>
        <v>0</v>
      </c>
      <c r="F120" s="23" t="s">
        <v>288</v>
      </c>
      <c r="G120" s="23" t="s">
        <v>288</v>
      </c>
      <c r="H120" s="13">
        <f t="shared" si="7"/>
        <v>324956.20999999996</v>
      </c>
    </row>
    <row r="121" spans="1:8" x14ac:dyDescent="0.2">
      <c r="A121" t="s">
        <v>212</v>
      </c>
      <c r="B121" s="31" t="s">
        <v>213</v>
      </c>
      <c r="C121" s="73">
        <f>('DOE25'!L206)+('DOE25'!L224)+('DOE25'!L242)</f>
        <v>251867.24</v>
      </c>
      <c r="D121" s="23" t="s">
        <v>288</v>
      </c>
      <c r="E121" s="73">
        <f>+('DOE25'!L285)+('DOE25'!L304)+('DOE25'!L323)</f>
        <v>1183.32</v>
      </c>
      <c r="F121" s="23" t="s">
        <v>288</v>
      </c>
      <c r="G121" s="23" t="s">
        <v>288</v>
      </c>
      <c r="H121" s="13">
        <f t="shared" si="7"/>
        <v>253050.56</v>
      </c>
    </row>
    <row r="122" spans="1:8" x14ac:dyDescent="0.2">
      <c r="A122" t="s">
        <v>214</v>
      </c>
      <c r="B122" s="31" t="s">
        <v>215</v>
      </c>
      <c r="C122" s="73">
        <f>('DOE25'!L207)+('DOE25'!L225)+('DOE25'!L243)</f>
        <v>7551.52</v>
      </c>
      <c r="D122" s="23" t="s">
        <v>288</v>
      </c>
      <c r="E122" s="73">
        <f>+('DOE25'!L286)+('DOE25'!L305)+('DOE25'!L324)</f>
        <v>0</v>
      </c>
      <c r="F122" s="23" t="s">
        <v>288</v>
      </c>
      <c r="G122" s="23" t="s">
        <v>288</v>
      </c>
      <c r="H122" s="13">
        <f t="shared" si="7"/>
        <v>7551.52</v>
      </c>
    </row>
    <row r="123" spans="1:8" x14ac:dyDescent="0.2">
      <c r="A123" t="s">
        <v>216</v>
      </c>
      <c r="B123" s="31" t="s">
        <v>217</v>
      </c>
      <c r="C123" s="73">
        <f>('DOE25'!L208)+('DOE25'!L226)+('DOE25'!L244)</f>
        <v>315240.42000000004</v>
      </c>
      <c r="D123" s="23" t="s">
        <v>288</v>
      </c>
      <c r="E123" s="73">
        <f>+('DOE25'!L287)+('DOE25'!L306)+('DOE25'!L325)</f>
        <v>5312.74</v>
      </c>
      <c r="F123" s="23" t="s">
        <v>288</v>
      </c>
      <c r="G123" s="23" t="s">
        <v>288</v>
      </c>
      <c r="H123" s="13">
        <f t="shared" si="7"/>
        <v>320553.16000000003</v>
      </c>
    </row>
    <row r="124" spans="1:8" x14ac:dyDescent="0.2">
      <c r="A124" t="s">
        <v>218</v>
      </c>
      <c r="B124" s="31" t="s">
        <v>219</v>
      </c>
      <c r="C124" s="73">
        <f>('DOE25'!L209)+('DOE25'!L227)+('DOE25'!L245+'DOE25'!L255)</f>
        <v>183639.65</v>
      </c>
      <c r="D124" s="23" t="s">
        <v>288</v>
      </c>
      <c r="E124" s="73">
        <f>+('DOE25'!L288)+('DOE25'!L307)+('DOE25'!L326)</f>
        <v>0</v>
      </c>
      <c r="F124" s="23" t="s">
        <v>288</v>
      </c>
      <c r="G124" s="23" t="s">
        <v>288</v>
      </c>
      <c r="H124" s="13">
        <f t="shared" si="7"/>
        <v>183639.65</v>
      </c>
    </row>
    <row r="125" spans="1:8" x14ac:dyDescent="0.2">
      <c r="A125" t="s">
        <v>220</v>
      </c>
      <c r="B125" s="31" t="s">
        <v>221</v>
      </c>
      <c r="C125" s="73">
        <f>('DOE25'!L210)+('DOE25'!L228)+('DOE25'!L246)</f>
        <v>67367.02</v>
      </c>
      <c r="D125" s="23" t="s">
        <v>288</v>
      </c>
      <c r="E125" s="73">
        <f>+('DOE25'!L289)+('DOE25'!L308)+('DOE25'!L327)</f>
        <v>1357.89</v>
      </c>
      <c r="F125" s="23" t="s">
        <v>288</v>
      </c>
      <c r="G125" s="23" t="s">
        <v>288</v>
      </c>
      <c r="H125" s="13">
        <f t="shared" si="7"/>
        <v>68724.91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115729.41</v>
      </c>
      <c r="E127" s="23" t="s">
        <v>288</v>
      </c>
      <c r="F127" s="23" t="s">
        <v>288</v>
      </c>
      <c r="G127" s="23" t="s">
        <v>288</v>
      </c>
      <c r="H127" s="13">
        <f t="shared" si="7"/>
        <v>115729.41</v>
      </c>
    </row>
    <row r="128" spans="1:8" ht="12.75" thickTop="1" thickBot="1" x14ac:dyDescent="0.25">
      <c r="A128" s="32" t="s">
        <v>226</v>
      </c>
      <c r="C128" s="68">
        <f>SUM(C118:C127)</f>
        <v>1743681.6099999999</v>
      </c>
      <c r="D128" s="68">
        <f>SUM(D118:D127)</f>
        <v>115729.41</v>
      </c>
      <c r="E128" s="68">
        <f>SUM(E118:E127)</f>
        <v>55680.039999999994</v>
      </c>
      <c r="F128" s="68">
        <f>SUM(F118:F127)</f>
        <v>0</v>
      </c>
      <c r="G128" s="68">
        <f>SUM(G118:G127)</f>
        <v>0</v>
      </c>
      <c r="H128" s="68">
        <f t="shared" si="7"/>
        <v>1915091.0599999998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9900</v>
      </c>
      <c r="D130" s="23" t="s">
        <v>288</v>
      </c>
      <c r="E130" s="92">
        <f>'DOE25'!L337</f>
        <v>0</v>
      </c>
      <c r="F130" s="92">
        <f>SUM('DOE25'!L375:'DOE25'!L381)</f>
        <v>0</v>
      </c>
      <c r="G130" s="23" t="s">
        <v>288</v>
      </c>
      <c r="H130" s="13">
        <f t="shared" si="7"/>
        <v>9900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20001.689999999999</v>
      </c>
      <c r="H134" s="13">
        <f t="shared" si="7"/>
        <v>20001.689999999999</v>
      </c>
    </row>
    <row r="135" spans="1:8" x14ac:dyDescent="0.2">
      <c r="A135" t="s">
        <v>233</v>
      </c>
      <c r="B135" s="31" t="s">
        <v>234</v>
      </c>
      <c r="C135" s="73">
        <f>'DOE25'!L264</f>
        <v>12769.06</v>
      </c>
      <c r="D135" s="23" t="s">
        <v>288</v>
      </c>
      <c r="E135" s="92">
        <f>'DOE25'!L346</f>
        <v>0</v>
      </c>
      <c r="F135" s="23" t="s">
        <v>288</v>
      </c>
      <c r="G135" s="23" t="s">
        <v>288</v>
      </c>
      <c r="H135" s="13">
        <f t="shared" si="7"/>
        <v>12769.06</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85758.510000000009</v>
      </c>
      <c r="D139" s="23" t="s">
        <v>288</v>
      </c>
      <c r="E139" s="23" t="s">
        <v>288</v>
      </c>
      <c r="F139" s="23" t="s">
        <v>288</v>
      </c>
      <c r="G139" s="23" t="s">
        <v>288</v>
      </c>
      <c r="H139" s="13">
        <f t="shared" si="7"/>
        <v>85758.510000000009</v>
      </c>
    </row>
    <row r="140" spans="1:8" x14ac:dyDescent="0.2">
      <c r="A140" t="s">
        <v>240</v>
      </c>
      <c r="B140" s="31">
        <v>5253</v>
      </c>
      <c r="C140" s="73">
        <f>'DOE25'!L408</f>
        <v>21763.02</v>
      </c>
      <c r="D140" s="23" t="s">
        <v>288</v>
      </c>
      <c r="E140" s="23" t="s">
        <v>288</v>
      </c>
      <c r="F140" s="23" t="s">
        <v>288</v>
      </c>
      <c r="G140" s="23" t="s">
        <v>288</v>
      </c>
      <c r="H140" s="13">
        <f t="shared" si="7"/>
        <v>21763.02</v>
      </c>
    </row>
    <row r="141" spans="1:8" x14ac:dyDescent="0.2">
      <c r="A141" t="s">
        <v>759</v>
      </c>
      <c r="B141" s="31">
        <v>5254</v>
      </c>
      <c r="C141" s="73">
        <f>('DOE25'!L267+'DOE25'!K348) - (C138+C139+C140)</f>
        <v>-37521.530000000013</v>
      </c>
      <c r="D141" s="23" t="s">
        <v>288</v>
      </c>
      <c r="E141" s="23" t="s">
        <v>288</v>
      </c>
      <c r="F141" s="23" t="s">
        <v>288</v>
      </c>
      <c r="G141" s="23" t="s">
        <v>288</v>
      </c>
      <c r="H141" s="13">
        <f t="shared" si="7"/>
        <v>-37521.530000000013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92669.06</v>
      </c>
      <c r="D144" s="98">
        <f>SUM(D130:D143)</f>
        <v>0</v>
      </c>
      <c r="E144" s="98">
        <f>SUM(E130:E143)</f>
        <v>0</v>
      </c>
      <c r="F144" s="98">
        <f>SUM(F130:F143)</f>
        <v>0</v>
      </c>
      <c r="G144" s="98">
        <f>SUM(G130:G143)</f>
        <v>20001.689999999999</v>
      </c>
      <c r="H144" s="98">
        <f t="shared" si="7"/>
        <v>112670.75</v>
      </c>
    </row>
    <row r="145" spans="1:9" ht="12.75" thickTop="1" thickBot="1" x14ac:dyDescent="0.25">
      <c r="A145" s="32" t="s">
        <v>244</v>
      </c>
      <c r="C145" s="68">
        <f>(C115+C128+C144)</f>
        <v>5989231.29</v>
      </c>
      <c r="D145" s="68">
        <f>(D115+D128+D144)</f>
        <v>115729.41</v>
      </c>
      <c r="E145" s="68">
        <f>(E115+E128+E144)</f>
        <v>129403.58</v>
      </c>
      <c r="F145" s="68">
        <f>(F115+F128+F144)</f>
        <v>0</v>
      </c>
      <c r="G145" s="68">
        <f>(G115+G128+G144)</f>
        <v>20001.689999999999</v>
      </c>
      <c r="H145" s="68">
        <f t="shared" si="7"/>
        <v>6254365.9700000007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Mont Vernon</v>
      </c>
    </row>
    <row r="3" spans="1:4" x14ac:dyDescent="0.2">
      <c r="B3" s="136" t="s">
        <v>1792</v>
      </c>
    </row>
    <row r="4" spans="1:4" x14ac:dyDescent="0.2">
      <c r="B4" t="s">
        <v>61</v>
      </c>
      <c r="C4" s="128">
        <f>IF('DOE25'!F666+'DOE25'!F671=0,0,ROUND('DOE25'!F673,0))</f>
        <v>17647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17647</v>
      </c>
    </row>
    <row r="9" spans="1:4" x14ac:dyDescent="0.2">
      <c r="A9" s="135" t="s">
        <v>94</v>
      </c>
      <c r="B9" s="136" t="s">
        <v>1793</v>
      </c>
      <c r="C9" s="130" t="s">
        <v>720</v>
      </c>
      <c r="D9" s="130" t="s">
        <v>721</v>
      </c>
    </row>
    <row r="10" spans="1:4" x14ac:dyDescent="0.2">
      <c r="A10">
        <v>1100</v>
      </c>
      <c r="B10" t="s">
        <v>702</v>
      </c>
      <c r="C10" s="128">
        <f>ROUND('DOE25'!L198+'DOE25'!L216+'DOE25'!L234+'DOE25'!L277+'DOE25'!L296+'DOE25'!L315,0)</f>
        <v>3280584</v>
      </c>
      <c r="D10" s="131">
        <f>ROUND((C10/$C$28)*100,1)</f>
        <v>54</v>
      </c>
    </row>
    <row r="11" spans="1:4" x14ac:dyDescent="0.2">
      <c r="A11">
        <v>1200</v>
      </c>
      <c r="B11" t="s">
        <v>703</v>
      </c>
      <c r="C11" s="128">
        <f>ROUND('DOE25'!L199+'DOE25'!L217+'DOE25'!L235+'DOE25'!L278+'DOE25'!L297+'DOE25'!L316,0)</f>
        <v>899342</v>
      </c>
      <c r="D11" s="131">
        <f>ROUND((C11/$C$28)*100,1)</f>
        <v>14.8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46678</v>
      </c>
      <c r="D13" s="131">
        <f>ROUND((C13/$C$28)*100,1)</f>
        <v>0.8</v>
      </c>
    </row>
    <row r="14" spans="1:4" x14ac:dyDescent="0.2">
      <c r="D14" s="131"/>
    </row>
    <row r="15" spans="1:4" x14ac:dyDescent="0.2">
      <c r="A15">
        <v>2100</v>
      </c>
      <c r="B15" t="s">
        <v>706</v>
      </c>
      <c r="C15" s="128">
        <f>ROUND('DOE25'!L203+'DOE25'!L221+'DOE25'!L239+'DOE25'!L282+'DOE25'!L301+'DOE25'!L320,0)</f>
        <v>483528</v>
      </c>
      <c r="D15" s="131">
        <f t="shared" ref="D15:D27" si="0">ROUND((C15/$C$28)*100,1)</f>
        <v>8</v>
      </c>
    </row>
    <row r="16" spans="1:4" x14ac:dyDescent="0.2">
      <c r="A16">
        <v>2200</v>
      </c>
      <c r="B16" t="s">
        <v>707</v>
      </c>
      <c r="C16" s="128">
        <f>ROUND('DOE25'!L204+'DOE25'!L222+'DOE25'!L240+'DOE25'!L283+'DOE25'!L302+'DOE25'!L321,0)</f>
        <v>157358</v>
      </c>
      <c r="D16" s="131">
        <f t="shared" si="0"/>
        <v>2.6</v>
      </c>
    </row>
    <row r="17" spans="1:4" x14ac:dyDescent="0.2">
      <c r="A17" s="132" t="s">
        <v>723</v>
      </c>
      <c r="B17" t="s">
        <v>738</v>
      </c>
      <c r="C17" s="128">
        <f>ROUND('DOE25'!L205+'DOE25'!L210+'DOE25'!L223+'DOE25'!L228+'DOE25'!L241+'DOE25'!L246+'DOE25'!L284+'DOE25'!L289+'DOE25'!L303+'DOE25'!L308+'DOE25'!L322+'DOE25'!L327,0)</f>
        <v>393681</v>
      </c>
      <c r="D17" s="131">
        <f t="shared" si="0"/>
        <v>6.5</v>
      </c>
    </row>
    <row r="18" spans="1:4" x14ac:dyDescent="0.2">
      <c r="A18">
        <v>2400</v>
      </c>
      <c r="B18" t="s">
        <v>711</v>
      </c>
      <c r="C18" s="128">
        <f>ROUND('DOE25'!L206+'DOE25'!L224+'DOE25'!L242+'DOE25'!L285+'DOE25'!L304+'DOE25'!L323,0)</f>
        <v>253051</v>
      </c>
      <c r="D18" s="131">
        <f t="shared" si="0"/>
        <v>4.2</v>
      </c>
    </row>
    <row r="19" spans="1:4" x14ac:dyDescent="0.2">
      <c r="A19">
        <v>2500</v>
      </c>
      <c r="B19" t="s">
        <v>708</v>
      </c>
      <c r="C19" s="128">
        <f>ROUND('DOE25'!L207+'DOE25'!L225+'DOE25'!L243+'DOE25'!L286+'DOE25'!L305+'DOE25'!L324,0)</f>
        <v>7552</v>
      </c>
      <c r="D19" s="131">
        <f t="shared" si="0"/>
        <v>0.1</v>
      </c>
    </row>
    <row r="20" spans="1:4" x14ac:dyDescent="0.2">
      <c r="A20">
        <v>2600</v>
      </c>
      <c r="B20" t="s">
        <v>709</v>
      </c>
      <c r="C20" s="128">
        <f>ROUND('DOE25'!L208+'DOE25'!L226+'DOE25'!L244+'DOE25'!L287+'DOE25'!L306+'DOE25'!L325,0)</f>
        <v>320553</v>
      </c>
      <c r="D20" s="131">
        <f t="shared" si="0"/>
        <v>5.3</v>
      </c>
    </row>
    <row r="21" spans="1:4" x14ac:dyDescent="0.2">
      <c r="A21">
        <v>2700</v>
      </c>
      <c r="B21" t="s">
        <v>710</v>
      </c>
      <c r="C21" s="128">
        <f>ROUND('DOE25'!L209+'DOE25'!L227+'DOE25'!L245+'DOE25'!L288+'DOE25'!L307+'DOE25'!L326,0)</f>
        <v>183640</v>
      </c>
      <c r="D21" s="131">
        <f t="shared" si="0"/>
        <v>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49684.380000000019</v>
      </c>
      <c r="D27" s="131">
        <f t="shared" si="0"/>
        <v>0.8</v>
      </c>
    </row>
    <row r="28" spans="1:4" x14ac:dyDescent="0.2">
      <c r="B28" s="135" t="s">
        <v>719</v>
      </c>
      <c r="C28" s="129">
        <f>SUM(C10:C27)</f>
        <v>6075651.3799999999</v>
      </c>
      <c r="D28" s="133">
        <f>ROUND(SUM(D10:D27),0)</f>
        <v>100</v>
      </c>
    </row>
    <row r="29" spans="1:4" x14ac:dyDescent="0.2">
      <c r="A29">
        <v>4000</v>
      </c>
      <c r="B29" t="s">
        <v>724</v>
      </c>
      <c r="C29" s="128">
        <f>ROUND('DOE25'!L256+'DOE25'!L337+'DOE25'!L375+'DOE25'!L376+'DOE25'!L377+'DOE25'!L378+'DOE25'!L379+'DOE25'!L380+'DOE25'!L381,0)</f>
        <v>9900</v>
      </c>
    </row>
    <row r="30" spans="1:4" x14ac:dyDescent="0.2">
      <c r="B30" s="135" t="s">
        <v>725</v>
      </c>
      <c r="C30" s="129">
        <f>SUM(C28:C29)</f>
        <v>6085551.3799999999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4473749</v>
      </c>
      <c r="D35" s="131">
        <f t="shared" ref="D35:D40" si="1">ROUND((C35/$C$41)*100,1)</f>
        <v>72.599999999999994</v>
      </c>
    </row>
    <row r="36" spans="1:4" x14ac:dyDescent="0.2">
      <c r="B36" s="71" t="s">
        <v>739</v>
      </c>
      <c r="C36" s="128">
        <f>SUM('DOE25'!F112:J112)-SUM('DOE25'!G97:G110)+('DOE25'!F175+'DOE25'!F176+'DOE25'!I175+'DOE25'!I176)-C35</f>
        <v>62183.709999999963</v>
      </c>
      <c r="D36" s="131">
        <f t="shared" si="1"/>
        <v>1</v>
      </c>
    </row>
    <row r="37" spans="1:4" x14ac:dyDescent="0.2">
      <c r="A37" s="132" t="s">
        <v>831</v>
      </c>
      <c r="B37" s="71" t="s">
        <v>728</v>
      </c>
      <c r="C37" s="128">
        <f>ROUND('DOE25'!F117+'DOE25'!F118,0)</f>
        <v>1412260</v>
      </c>
      <c r="D37" s="131">
        <f t="shared" si="1"/>
        <v>22.9</v>
      </c>
    </row>
    <row r="38" spans="1:4" x14ac:dyDescent="0.2">
      <c r="A38" s="132" t="s">
        <v>734</v>
      </c>
      <c r="B38" s="71" t="s">
        <v>729</v>
      </c>
      <c r="C38" s="128">
        <f>ROUND(SUM('DOE25'!F140:J140)-SUM('DOE25'!F117:F119),0)</f>
        <v>38772</v>
      </c>
      <c r="D38" s="131">
        <f t="shared" si="1"/>
        <v>0.6</v>
      </c>
    </row>
    <row r="39" spans="1:4" x14ac:dyDescent="0.2">
      <c r="A39">
        <v>4000</v>
      </c>
      <c r="B39" s="71" t="s">
        <v>730</v>
      </c>
      <c r="C39" s="128">
        <f>ROUND('DOE25'!F170+'DOE25'!G170+'DOE25'!H170+'DOE25'!I170,0)</f>
        <v>179464</v>
      </c>
      <c r="D39" s="131">
        <f t="shared" si="1"/>
        <v>2.9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6166428.71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Mont Vernon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v>2</v>
      </c>
      <c r="B5" s="149"/>
      <c r="C5" s="332" t="s">
        <v>1842</v>
      </c>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204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f>IF('School Level Expenditures'!$B$2=A207,'School Tables'!H207,"")</f>
        <v>204</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2024-08-23T16:20:43Z</cp:lastPrinted>
  <dcterms:created xsi:type="dcterms:W3CDTF">1997-12-04T19:04:30Z</dcterms:created>
  <dcterms:modified xsi:type="dcterms:W3CDTF">2024-09-06T19:27:14Z</dcterms:modified>
</cp:coreProperties>
</file>