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AFAAE31C-3A47-4DD4-9C58-ED6A8DD19EAD}"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5" i="2"/>
  <c r="H136" i="2"/>
  <c r="H143" i="2"/>
  <c r="H134" i="2"/>
  <c r="H132" i="2"/>
  <c r="H131" i="2"/>
  <c r="H122" i="2"/>
  <c r="H113" i="2"/>
  <c r="H97" i="2"/>
  <c r="H98" i="2"/>
  <c r="H99" i="2"/>
  <c r="H100" i="2"/>
  <c r="H101" i="2"/>
  <c r="H102" i="2"/>
  <c r="H94" i="2"/>
  <c r="H93" i="2"/>
  <c r="H89" i="2"/>
  <c r="H90" i="2"/>
  <c r="H87" i="2"/>
  <c r="H85" i="2"/>
  <c r="H73" i="2"/>
  <c r="H74" i="2"/>
  <c r="H79" i="2"/>
  <c r="H80" i="2"/>
  <c r="H72" i="2"/>
  <c r="H69" i="2"/>
  <c r="H66" i="2"/>
  <c r="H58" i="2"/>
  <c r="H44" i="2"/>
  <c r="H42" i="2"/>
  <c r="H40" i="2"/>
  <c r="H38" i="2"/>
  <c r="H36" i="2"/>
  <c r="H34" i="2"/>
  <c r="H23" i="2"/>
  <c r="H24" i="2"/>
  <c r="H25" i="2"/>
  <c r="H26" i="2"/>
  <c r="H27" i="2"/>
  <c r="H28" i="2"/>
  <c r="H30" i="2"/>
  <c r="H21" i="2"/>
  <c r="H9" i="2"/>
  <c r="H10" i="2"/>
  <c r="H12"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H39" i="2" s="1"/>
  <c r="G656" i="1"/>
  <c r="F48" i="2"/>
  <c r="E48" i="2"/>
  <c r="D48" i="2"/>
  <c r="C48" i="2"/>
  <c r="H48" i="2" s="1"/>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H22" i="2" s="1"/>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H35" i="2" s="1"/>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H61" i="2" s="1"/>
  <c r="D61" i="2"/>
  <c r="E61" i="2"/>
  <c r="F61" i="2"/>
  <c r="C66" i="2"/>
  <c r="C67" i="2"/>
  <c r="H67" i="2" s="1"/>
  <c r="C69" i="2"/>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4" i="2"/>
  <c r="C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2" i="1"/>
  <c r="H653" i="1"/>
  <c r="G654" i="1"/>
  <c r="H654" i="1"/>
  <c r="H655" i="1"/>
  <c r="H656" i="1"/>
  <c r="I170" i="1"/>
  <c r="G477" i="1" l="1"/>
  <c r="H624" i="1" s="1"/>
  <c r="J624" i="1" s="1"/>
  <c r="E125" i="2"/>
  <c r="H125" i="2" s="1"/>
  <c r="H477" i="1"/>
  <c r="H625" i="1" s="1"/>
  <c r="J625" i="1" s="1"/>
  <c r="H11" i="2"/>
  <c r="G62" i="2"/>
  <c r="I409" i="1"/>
  <c r="G409" i="1"/>
  <c r="H646" i="1" s="1"/>
  <c r="D29" i="13"/>
  <c r="C29" i="13" s="1"/>
  <c r="G662" i="1"/>
  <c r="J652" i="1"/>
  <c r="K36" i="14"/>
  <c r="K37" i="14" s="1"/>
  <c r="G651" i="1"/>
  <c r="D15" i="13"/>
  <c r="C15" i="13" s="1"/>
  <c r="C13" i="10"/>
  <c r="C12" i="10"/>
  <c r="C120" i="2"/>
  <c r="H120" i="2" s="1"/>
  <c r="C119" i="2"/>
  <c r="C112" i="2"/>
  <c r="H112" i="2" s="1"/>
  <c r="K2" i="14"/>
  <c r="K3" i="14" s="1"/>
  <c r="D78" i="2"/>
  <c r="H77" i="2"/>
  <c r="H76"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H103" i="2" s="1"/>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31" i="2"/>
  <c r="H50" i="2"/>
  <c r="H18" i="2"/>
  <c r="D128" i="2"/>
  <c r="D145" i="2" s="1"/>
  <c r="H127" i="2"/>
  <c r="H114" i="2"/>
  <c r="D51" i="2"/>
  <c r="F194" i="1"/>
  <c r="H119" i="2"/>
  <c r="H91" i="2"/>
  <c r="D63" i="2"/>
  <c r="H62" i="2"/>
  <c r="I662" i="1"/>
  <c r="H78" i="2"/>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<sst xmlns="http://schemas.openxmlformats.org/spreadsheetml/2006/main" count="6639" uniqueCount="1841">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</sst>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1265</v>
      </c>
      <c r="B2">
        <f>INDEX('School Tables'!$AH$3:$AH$213,MATCH('DOE25'!A2,'School Tables'!$AJ$3:$AJ$213,0))</f>
        <v>369</v>
      </c>
      <c r="C2">
        <f>INDEX('School Tables'!$AI$3:$AI$213,MATCH('DOE25'!A2,'School Tables'!$AJ$3:$AJ$213,0))</f>
        <v>369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1345892.41</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22069.85</v>
      </c>
      <c r="H12" s="18">
        <v>23083.56</v>
      </c>
      <c r="I12" s="18"/>
      <c r="J12" s="13">
        <f>SUM(I442)</f>
        <v>1544595.11</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1345892.41</v>
      </c>
      <c r="G19" s="38">
        <f>SUM(G9:G18)</f>
        <v>22069.85</v>
      </c>
      <c r="H19" s="38">
        <f>SUM(H9:H18)</f>
        <v>23083.56</v>
      </c>
      <c r="I19" s="38">
        <f>SUM(I9:I18)</f>
        <v>0</v>
      </c>
      <c r="J19" s="38">
        <f>SUM(J9:J18)</f>
        <v>1544595.11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v>23083.56</v>
      </c>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22069.85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522062.01</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1544595.11</v>
      </c>
      <c r="K48" s="23" t="s">
        <v>288</v>
      </c>
      <c r="L48" s="23" t="s">
        <v>288</v>
      </c>
      <c r="M48" s="8"/>
      <c r="N48" s="164"/>
    </row>
    <row r="49" spans="1:14" s="3" customFormat="1" ht="12.2" customHeight="1" x14ac:dyDescent="0.15">
      <c r="A49" s="1" t="s">
        <v>855</v>
      </c>
      <c r="B49" s="2" t="s">
        <v>289</v>
      </c>
      <c r="C49" s="6">
        <v>34</v>
      </c>
      <c r="D49" s="2"/>
      <c r="E49" s="6">
        <v>753</v>
      </c>
      <c r="F49" s="18">
        <v>603830.4</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95000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1345892.4100000001</v>
      </c>
      <c r="G51" s="38">
        <f>SUM(G35:G50)</f>
        <v>22069.85</v>
      </c>
      <c r="H51" s="38">
        <f>SUM(H35:H50)</f>
        <v>23083.56</v>
      </c>
      <c r="I51" s="38">
        <f>SUM(I35:I50)</f>
        <v>0</v>
      </c>
      <c r="J51" s="38">
        <f>SUM(J35:J50)</f>
        <v>1544595.11</v>
      </c>
      <c r="K51" s="42" t="s">
        <v>288</v>
      </c>
      <c r="L51" s="42" t="s">
        <v>288</v>
      </c>
      <c r="N51" s="130"/>
    </row>
    <row r="52" spans="1:14" s="3" customFormat="1" ht="12.2" customHeight="1" thickTop="1" x14ac:dyDescent="0.15">
      <c r="A52" s="35" t="s">
        <v>455</v>
      </c>
      <c r="B52" s="36" t="s">
        <v>289</v>
      </c>
      <c r="C52" s="6">
        <v>37</v>
      </c>
      <c r="D52" s="36" t="s">
        <v>653</v>
      </c>
      <c r="E52" s="36"/>
      <c r="F52" s="38">
        <f>F51+F32</f>
        <v>1345892.4100000001</v>
      </c>
      <c r="G52" s="38">
        <f>G51+G32</f>
        <v>22069.85</v>
      </c>
      <c r="H52" s="38">
        <f>H51+H32</f>
        <v>23083.56</v>
      </c>
      <c r="I52" s="38">
        <f>I51+I32</f>
        <v>0</v>
      </c>
      <c r="J52" s="38">
        <f>J51+J32</f>
        <v>1544595.11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9992135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9992135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8962.67</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8962.67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65169.75</v>
      </c>
      <c r="G96" s="18"/>
      <c r="H96" s="18"/>
      <c r="I96" s="18"/>
      <c r="J96" s="18">
        <v>93280.51</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171715.47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14741.16</v>
      </c>
      <c r="G110" s="18"/>
      <c r="H110" s="18"/>
      <c r="I110" s="18"/>
      <c r="J110" s="18">
        <v>1600757.36</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79910.91</v>
      </c>
      <c r="G111" s="38">
        <f>SUM(G96:G110)</f>
        <v>171715.47</v>
      </c>
      <c r="H111" s="38">
        <f>SUM(H96:H110)</f>
        <v>0</v>
      </c>
      <c r="I111" s="38">
        <f>SUM(I96:I110)</f>
        <v>0</v>
      </c>
      <c r="J111" s="38">
        <f>SUM(J96:J110)</f>
        <v>1694037.87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10081008.58</v>
      </c>
      <c r="G112" s="38">
        <f>G60+G111</f>
        <v>171715.47</v>
      </c>
      <c r="H112" s="38">
        <f>H60+H79+H94+H111</f>
        <v>0</v>
      </c>
      <c r="I112" s="38">
        <f>I60+I111</f>
        <v>0</v>
      </c>
      <c r="J112" s="38">
        <f>J60+J111</f>
        <v>1694037.87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6684886</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6684886</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134202.16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4723.2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3570.76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138925.36000000002</v>
      </c>
      <c r="G136" s="38">
        <f>SUM(G123:G135)</f>
        <v>3570.76</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6823811.3600000003</v>
      </c>
      <c r="G140" s="38">
        <f>G121+SUM(G136:G137)</f>
        <v>3570.76</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120087.34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56623.92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101888.52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103993.77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701.22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95611.79</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272896.15000000002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701.22</v>
      </c>
      <c r="G163" s="38">
        <f>SUM(G150:G162)</f>
        <v>101888.52</v>
      </c>
      <c r="H163" s="38">
        <f>SUM(H150:H162)</f>
        <v>649212.97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701.22</v>
      </c>
      <c r="G170" s="38">
        <f>G147+G163+SUM(G164:G169)</f>
        <v>101888.52</v>
      </c>
      <c r="H170" s="38">
        <f>H147+H163+SUM(H164:H169)</f>
        <v>649212.97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16905521.16</v>
      </c>
      <c r="G194" s="38">
        <f>G112+G140+G170+G193</f>
        <v>277174.75</v>
      </c>
      <c r="H194" s="38">
        <f>H112+H140+H170+H193</f>
        <v>649212.97</v>
      </c>
      <c r="I194" s="38">
        <f>I112+I140+I170+I193</f>
        <v>0</v>
      </c>
      <c r="J194" s="38">
        <f>J112+J140+J193</f>
        <v>1794037.87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1370359.21</v>
      </c>
      <c r="G198" s="18">
        <v>905580.48</v>
      </c>
      <c r="H198" s="18">
        <v>5874.65</v>
      </c>
      <c r="I198" s="18">
        <v>55096.5</v>
      </c>
      <c r="J198" s="18">
        <v>9293.59</v>
      </c>
      <c r="K198" s="18">
        <v>28112.5</v>
      </c>
      <c r="L198" s="13">
        <f>SUM(F198:K198)</f>
        <v>2374316.9299999997</v>
      </c>
      <c r="M198" s="8"/>
      <c r="N198" s="164"/>
    </row>
    <row r="199" spans="1:14" s="3" customFormat="1" ht="12.2" customHeight="1" x14ac:dyDescent="0.15">
      <c r="A199" s="1" t="s">
        <v>439</v>
      </c>
      <c r="B199" s="2" t="s">
        <v>341</v>
      </c>
      <c r="C199" s="2" t="s">
        <v>291</v>
      </c>
      <c r="D199" s="2" t="s">
        <v>431</v>
      </c>
      <c r="E199" s="6">
        <v>1200</v>
      </c>
      <c r="F199" s="18">
        <v>896249.3</v>
      </c>
      <c r="G199" s="18">
        <v>375350.65</v>
      </c>
      <c r="H199" s="18">
        <v>415928.54</v>
      </c>
      <c r="I199" s="18">
        <v>7100.58</v>
      </c>
      <c r="J199" s="18"/>
      <c r="K199" s="18">
        <v>1014.79</v>
      </c>
      <c r="L199" s="13">
        <f>SUM(F199:K199)</f>
        <v>1695643.8600000003</v>
      </c>
      <c r="M199" s="8"/>
      <c r="N199" s="164"/>
    </row>
    <row r="200" spans="1:14" s="3" customFormat="1" ht="12.2" customHeight="1" x14ac:dyDescent="0.15">
      <c r="A200" s="1" t="s">
        <v>440</v>
      </c>
      <c r="B200" s="2" t="s">
        <v>341</v>
      </c>
      <c r="C200" s="2" t="s">
        <v>292</v>
      </c>
      <c r="D200" s="2" t="s">
        <v>431</v>
      </c>
      <c r="E200" s="6">
        <v>1300</v>
      </c>
      <c r="F200" s="18">
        <v>3675</v>
      </c>
      <c r="G200" s="18">
        <v>11009.29</v>
      </c>
      <c r="H200" s="18"/>
      <c r="I200" s="18">
        <v>1035.69</v>
      </c>
      <c r="J200" s="18"/>
      <c r="K200" s="18"/>
      <c r="L200" s="13">
        <f>SUM(F200:K200)</f>
        <v>15719.980000000001</v>
      </c>
      <c r="M200" s="8"/>
      <c r="N200" s="164"/>
    </row>
    <row r="201" spans="1:14" s="3" customFormat="1" ht="12.2" customHeight="1" x14ac:dyDescent="0.15">
      <c r="A201" s="1" t="s">
        <v>441</v>
      </c>
      <c r="B201" s="2" t="s">
        <v>341</v>
      </c>
      <c r="C201" s="2" t="s">
        <v>293</v>
      </c>
      <c r="D201" s="2" t="s">
        <v>431</v>
      </c>
      <c r="E201" s="6">
        <v>1400</v>
      </c>
      <c r="F201" s="18">
        <v>65256.02</v>
      </c>
      <c r="G201" s="18">
        <v>19957.04</v>
      </c>
      <c r="H201" s="18">
        <v>56064.71</v>
      </c>
      <c r="I201" s="18">
        <v>13270.93</v>
      </c>
      <c r="J201" s="18"/>
      <c r="K201" s="18"/>
      <c r="L201" s="13">
        <f>SUM(F201:K201)</f>
        <v>154548.69999999998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243031.91</v>
      </c>
      <c r="G203" s="18">
        <v>142385.03</v>
      </c>
      <c r="H203" s="18">
        <v>120</v>
      </c>
      <c r="I203" s="18">
        <v>9773.5400000000009</v>
      </c>
      <c r="J203" s="18">
        <v>71.58</v>
      </c>
      <c r="K203" s="18"/>
      <c r="L203" s="13">
        <f t="shared" ref="L203:L209" si="0">SUM(F203:K203)</f>
        <v>395382.06</v>
      </c>
      <c r="M203" s="8"/>
      <c r="N203" s="164"/>
    </row>
    <row r="204" spans="1:14" s="3" customFormat="1" ht="12.2" customHeight="1" x14ac:dyDescent="0.15">
      <c r="A204" s="1" t="s">
        <v>443</v>
      </c>
      <c r="B204" s="2" t="s">
        <v>341</v>
      </c>
      <c r="C204" s="2" t="s">
        <v>295</v>
      </c>
      <c r="D204" s="2" t="s">
        <v>431</v>
      </c>
      <c r="E204" s="6">
        <v>2200</v>
      </c>
      <c r="F204" s="18">
        <v>279041.02</v>
      </c>
      <c r="G204" s="18">
        <v>169172.74</v>
      </c>
      <c r="H204" s="18">
        <v>41800.230000000003</v>
      </c>
      <c r="I204" s="18">
        <v>30913.119999999999</v>
      </c>
      <c r="J204" s="18">
        <v>69547.360000000001</v>
      </c>
      <c r="K204" s="18">
        <v>166.6</v>
      </c>
      <c r="L204" s="13">
        <f t="shared" si="0"/>
        <v>590641.06999999995</v>
      </c>
      <c r="M204" s="8"/>
      <c r="N204" s="164"/>
    </row>
    <row r="205" spans="1:14" s="3" customFormat="1" ht="12.2" customHeight="1" x14ac:dyDescent="0.15">
      <c r="A205" s="1" t="s">
        <v>444</v>
      </c>
      <c r="B205" s="2" t="s">
        <v>341</v>
      </c>
      <c r="C205" s="2" t="s">
        <v>296</v>
      </c>
      <c r="D205" s="2" t="s">
        <v>431</v>
      </c>
      <c r="E205" s="6">
        <v>2300</v>
      </c>
      <c r="F205" s="18">
        <v>213411.4</v>
      </c>
      <c r="G205" s="18">
        <v>81669.8</v>
      </c>
      <c r="H205" s="18">
        <v>20152.599999999999</v>
      </c>
      <c r="I205" s="18">
        <v>10566.09</v>
      </c>
      <c r="J205" s="18"/>
      <c r="K205" s="18">
        <v>114291.72</v>
      </c>
      <c r="L205" s="13">
        <f t="shared" si="0"/>
        <v>440091.61</v>
      </c>
      <c r="M205" s="8"/>
      <c r="N205" s="164"/>
    </row>
    <row r="206" spans="1:14" s="3" customFormat="1" ht="12.2" customHeight="1" x14ac:dyDescent="0.15">
      <c r="A206" s="1" t="s">
        <v>445</v>
      </c>
      <c r="B206" s="2" t="s">
        <v>341</v>
      </c>
      <c r="C206" s="2" t="s">
        <v>297</v>
      </c>
      <c r="D206" s="2" t="s">
        <v>431</v>
      </c>
      <c r="E206" s="6">
        <v>2400</v>
      </c>
      <c r="F206" s="18">
        <v>112764.13</v>
      </c>
      <c r="G206" s="18">
        <v>114601.52</v>
      </c>
      <c r="H206" s="18">
        <v>18524.259999999998</v>
      </c>
      <c r="I206" s="18">
        <v>3420.75</v>
      </c>
      <c r="J206" s="18">
        <v>3208.37</v>
      </c>
      <c r="K206" s="18"/>
      <c r="L206" s="13">
        <f t="shared" si="0"/>
        <v>252519.03000000003</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257146.44</v>
      </c>
      <c r="G208" s="18">
        <v>123538.13</v>
      </c>
      <c r="H208" s="18">
        <v>194996.56</v>
      </c>
      <c r="I208" s="18">
        <v>284567.15999999997</v>
      </c>
      <c r="J208" s="18"/>
      <c r="K208" s="18"/>
      <c r="L208" s="13">
        <f t="shared" si="0"/>
        <v>860248.29</v>
      </c>
      <c r="M208" s="8"/>
      <c r="N208" s="164"/>
    </row>
    <row r="209" spans="1:14" s="3" customFormat="1" ht="12.2" customHeight="1" x14ac:dyDescent="0.15">
      <c r="A209" s="1" t="s">
        <v>448</v>
      </c>
      <c r="B209" s="2" t="s">
        <v>341</v>
      </c>
      <c r="C209" s="2" t="s">
        <v>300</v>
      </c>
      <c r="D209" s="2" t="s">
        <v>431</v>
      </c>
      <c r="E209" s="6">
        <v>2700</v>
      </c>
      <c r="F209" s="18"/>
      <c r="G209" s="18"/>
      <c r="H209" s="18">
        <v>386931.14</v>
      </c>
      <c r="I209" s="18">
        <v>1179.1500000000001</v>
      </c>
      <c r="J209" s="18"/>
      <c r="K209" s="18"/>
      <c r="L209" s="13">
        <f t="shared" si="0"/>
        <v>388110.29000000004</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3440934.4299999997</v>
      </c>
      <c r="G212" s="38">
        <f t="shared" si="1"/>
        <v>1943264.6800000002</v>
      </c>
      <c r="H212" s="38">
        <f t="shared" si="1"/>
        <v>1140392.69</v>
      </c>
      <c r="I212" s="38">
        <f t="shared" si="1"/>
        <v>416923.51</v>
      </c>
      <c r="J212" s="38">
        <f t="shared" si="1"/>
        <v>82120.899999999994</v>
      </c>
      <c r="K212" s="38">
        <f t="shared" si="1"/>
        <v>143585.60999999999</v>
      </c>
      <c r="L212" s="38">
        <f t="shared" si="1"/>
        <v>7167221.8200000003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924071.21</v>
      </c>
      <c r="G216" s="18">
        <v>597127.54</v>
      </c>
      <c r="H216" s="18">
        <v>21084.32</v>
      </c>
      <c r="I216" s="18">
        <v>59775.29</v>
      </c>
      <c r="J216" s="18">
        <v>7822.17</v>
      </c>
      <c r="K216" s="18"/>
      <c r="L216" s="13">
        <f>SUM(F216:K216)</f>
        <v>1609880.53</v>
      </c>
      <c r="M216" s="8"/>
      <c r="N216" s="164"/>
    </row>
    <row r="217" spans="1:14" s="3" customFormat="1" ht="12.2" customHeight="1" x14ac:dyDescent="0.15">
      <c r="A217" s="1" t="s">
        <v>439</v>
      </c>
      <c r="B217" s="2" t="s">
        <v>346</v>
      </c>
      <c r="C217" s="2" t="s">
        <v>291</v>
      </c>
      <c r="D217" s="2" t="s">
        <v>431</v>
      </c>
      <c r="E217" s="6">
        <v>1200</v>
      </c>
      <c r="F217" s="18">
        <v>345321.06</v>
      </c>
      <c r="G217" s="18">
        <v>277245.92</v>
      </c>
      <c r="H217" s="18">
        <v>65095.72</v>
      </c>
      <c r="I217" s="18">
        <v>4238.2</v>
      </c>
      <c r="J217" s="18"/>
      <c r="K217" s="18">
        <v>455.62</v>
      </c>
      <c r="L217" s="13">
        <f>SUM(F217:K217)</f>
        <v>692356.5199999999</v>
      </c>
      <c r="M217" s="8"/>
      <c r="N217" s="164"/>
    </row>
    <row r="218" spans="1:14" s="3" customFormat="1" ht="12.2" customHeight="1" x14ac:dyDescent="0.15">
      <c r="A218" s="1" t="s">
        <v>440</v>
      </c>
      <c r="B218" s="2" t="s">
        <v>346</v>
      </c>
      <c r="C218" s="2" t="s">
        <v>292</v>
      </c>
      <c r="D218" s="2" t="s">
        <v>431</v>
      </c>
      <c r="E218" s="6">
        <v>1300</v>
      </c>
      <c r="F218" s="18">
        <v>1650</v>
      </c>
      <c r="G218" s="18">
        <v>4942.92</v>
      </c>
      <c r="H218" s="18">
        <v>7642.15</v>
      </c>
      <c r="I218" s="18"/>
      <c r="J218" s="18"/>
      <c r="K218" s="18"/>
      <c r="L218" s="13">
        <f>SUM(F218:K218)</f>
        <v>14235.07</v>
      </c>
      <c r="M218" s="8"/>
      <c r="N218" s="164"/>
    </row>
    <row r="219" spans="1:14" s="3" customFormat="1" ht="12.2" customHeight="1" x14ac:dyDescent="0.15">
      <c r="A219" s="1" t="s">
        <v>441</v>
      </c>
      <c r="B219" s="2" t="s">
        <v>346</v>
      </c>
      <c r="C219" s="2" t="s">
        <v>293</v>
      </c>
      <c r="D219" s="2" t="s">
        <v>431</v>
      </c>
      <c r="E219" s="6">
        <v>1400</v>
      </c>
      <c r="F219" s="18">
        <v>72259.929999999993</v>
      </c>
      <c r="G219" s="18">
        <v>16208.72</v>
      </c>
      <c r="H219" s="18">
        <v>8875.9599999999991</v>
      </c>
      <c r="I219" s="18">
        <v>30646.31</v>
      </c>
      <c r="J219" s="18">
        <v>7999.49</v>
      </c>
      <c r="K219" s="18">
        <v>2027</v>
      </c>
      <c r="L219" s="13">
        <f>SUM(F219:K219)</f>
        <v>138017.40999999997</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119782.39999999999</v>
      </c>
      <c r="G221" s="18">
        <v>76370.8</v>
      </c>
      <c r="H221" s="18">
        <v>1056</v>
      </c>
      <c r="I221" s="18">
        <v>7029.99</v>
      </c>
      <c r="J221" s="18">
        <v>16.95</v>
      </c>
      <c r="K221" s="18">
        <v>179</v>
      </c>
      <c r="L221" s="13">
        <f t="shared" ref="L221:L227" si="2">SUM(F221:K221)</f>
        <v>204435.14</v>
      </c>
      <c r="M221" s="8"/>
      <c r="N221" s="164"/>
    </row>
    <row r="222" spans="1:14" s="3" customFormat="1" ht="12.2" customHeight="1" x14ac:dyDescent="0.15">
      <c r="A222" s="1" t="s">
        <v>443</v>
      </c>
      <c r="B222" s="2" t="s">
        <v>346</v>
      </c>
      <c r="C222" s="2" t="s">
        <v>295</v>
      </c>
      <c r="D222" s="2" t="s">
        <v>431</v>
      </c>
      <c r="E222" s="6">
        <v>2200</v>
      </c>
      <c r="F222" s="18">
        <v>131979.19</v>
      </c>
      <c r="G222" s="18">
        <v>83113.08</v>
      </c>
      <c r="H222" s="18">
        <v>22719.84</v>
      </c>
      <c r="I222" s="18">
        <v>27778.26</v>
      </c>
      <c r="J222" s="18">
        <v>31540.59</v>
      </c>
      <c r="K222" s="18">
        <v>553.79999999999995</v>
      </c>
      <c r="L222" s="13">
        <f t="shared" si="2"/>
        <v>297684.76</v>
      </c>
      <c r="M222" s="8"/>
      <c r="N222" s="164"/>
    </row>
    <row r="223" spans="1:14" s="3" customFormat="1" ht="12.2" customHeight="1" x14ac:dyDescent="0.15">
      <c r="A223" s="1" t="s">
        <v>444</v>
      </c>
      <c r="B223" s="2" t="s">
        <v>346</v>
      </c>
      <c r="C223" s="2" t="s">
        <v>296</v>
      </c>
      <c r="D223" s="2" t="s">
        <v>431</v>
      </c>
      <c r="E223" s="6">
        <v>2300</v>
      </c>
      <c r="F223" s="18">
        <v>91989.56</v>
      </c>
      <c r="G223" s="18">
        <v>56736.24</v>
      </c>
      <c r="H223" s="18">
        <v>10176.24</v>
      </c>
      <c r="I223" s="18">
        <v>4683.75</v>
      </c>
      <c r="J223" s="18"/>
      <c r="K223" s="18">
        <v>8422.9500000000007</v>
      </c>
      <c r="L223" s="13">
        <f t="shared" si="2"/>
        <v>172008.74</v>
      </c>
      <c r="M223" s="8"/>
      <c r="N223" s="164"/>
    </row>
    <row r="224" spans="1:14" s="3" customFormat="1" ht="12.2" customHeight="1" x14ac:dyDescent="0.15">
      <c r="A224" s="1" t="s">
        <v>445</v>
      </c>
      <c r="B224" s="2" t="s">
        <v>346</v>
      </c>
      <c r="C224" s="2" t="s">
        <v>297</v>
      </c>
      <c r="D224" s="2" t="s">
        <v>431</v>
      </c>
      <c r="E224" s="6">
        <v>2400</v>
      </c>
      <c r="F224" s="18">
        <v>154747.24</v>
      </c>
      <c r="G224" s="18">
        <v>76313.210000000006</v>
      </c>
      <c r="H224" s="18">
        <v>11031.14</v>
      </c>
      <c r="I224" s="18">
        <v>622.29999999999995</v>
      </c>
      <c r="J224" s="18">
        <v>756.41</v>
      </c>
      <c r="K224" s="18"/>
      <c r="L224" s="13">
        <f t="shared" si="2"/>
        <v>243470.30000000002</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115011.45</v>
      </c>
      <c r="G226" s="18">
        <v>74720.84</v>
      </c>
      <c r="H226" s="18">
        <v>101562.3</v>
      </c>
      <c r="I226" s="18">
        <v>134105.26</v>
      </c>
      <c r="J226" s="18">
        <v>10981.02</v>
      </c>
      <c r="K226" s="18"/>
      <c r="L226" s="13">
        <f t="shared" si="2"/>
        <v>436380.87</v>
      </c>
      <c r="M226" s="8"/>
      <c r="N226" s="164"/>
    </row>
    <row r="227" spans="1:14" s="3" customFormat="1" ht="12.2" customHeight="1" x14ac:dyDescent="0.15">
      <c r="A227" s="1" t="s">
        <v>448</v>
      </c>
      <c r="B227" s="2" t="s">
        <v>346</v>
      </c>
      <c r="C227" s="2" t="s">
        <v>300</v>
      </c>
      <c r="D227" s="2" t="s">
        <v>431</v>
      </c>
      <c r="E227" s="6">
        <v>2700</v>
      </c>
      <c r="F227" s="18"/>
      <c r="G227" s="18"/>
      <c r="H227" s="18">
        <v>160905.1</v>
      </c>
      <c r="I227" s="18">
        <v>523.63</v>
      </c>
      <c r="J227" s="18"/>
      <c r="K227" s="18"/>
      <c r="L227" s="13">
        <f t="shared" si="2"/>
        <v>161428.73000000001</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1956812.0399999998</v>
      </c>
      <c r="G230" s="38">
        <f>SUM(G216:G229)</f>
        <v>1262779.27</v>
      </c>
      <c r="H230" s="38">
        <f>SUM(H216:H229)</f>
        <v>410148.77</v>
      </c>
      <c r="I230" s="38">
        <f>SUM(I216:I229)</f>
        <v>269402.99</v>
      </c>
      <c r="J230" s="38">
        <f>SUM(J216:J229)</f>
        <v>59116.630000000005</v>
      </c>
      <c r="K230" s="38">
        <f t="shared" si="3"/>
        <v>11638.37</v>
      </c>
      <c r="L230" s="38">
        <f t="shared" si="3"/>
        <v>3969898.07</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1226109.6200000001</v>
      </c>
      <c r="G234" s="18">
        <v>782687.78</v>
      </c>
      <c r="H234" s="18">
        <v>4491.91</v>
      </c>
      <c r="I234" s="18">
        <v>49914.59</v>
      </c>
      <c r="J234" s="18">
        <v>9876.43</v>
      </c>
      <c r="K234" s="18"/>
      <c r="L234" s="13">
        <f>SUM(F234:K234)</f>
        <v>2073080.33</v>
      </c>
      <c r="M234" s="8"/>
      <c r="N234" s="164"/>
    </row>
    <row r="235" spans="1:14" s="3" customFormat="1" ht="12.2" customHeight="1" x14ac:dyDescent="0.15">
      <c r="A235" s="1" t="s">
        <v>439</v>
      </c>
      <c r="B235" s="2" t="s">
        <v>350</v>
      </c>
      <c r="C235" s="2" t="s">
        <v>291</v>
      </c>
      <c r="D235" s="2" t="s">
        <v>431</v>
      </c>
      <c r="E235" s="6">
        <v>1200</v>
      </c>
      <c r="F235" s="18">
        <v>487500.9</v>
      </c>
      <c r="G235" s="18">
        <v>244708.07</v>
      </c>
      <c r="H235" s="18">
        <v>172155.98</v>
      </c>
      <c r="I235" s="18">
        <v>1965.34</v>
      </c>
      <c r="J235" s="18"/>
      <c r="K235" s="18">
        <v>2677.59</v>
      </c>
      <c r="L235" s="13">
        <f>SUM(F235:K235)</f>
        <v>909007.87999999989</v>
      </c>
      <c r="M235" s="8"/>
      <c r="N235" s="164"/>
    </row>
    <row r="236" spans="1:14" s="3" customFormat="1" ht="12.2" customHeight="1" x14ac:dyDescent="0.15">
      <c r="A236" s="1" t="s">
        <v>440</v>
      </c>
      <c r="B236" s="2" t="s">
        <v>350</v>
      </c>
      <c r="C236" s="2" t="s">
        <v>292</v>
      </c>
      <c r="D236" s="2" t="s">
        <v>431</v>
      </c>
      <c r="E236" s="6">
        <v>1300</v>
      </c>
      <c r="F236" s="18">
        <v>2175</v>
      </c>
      <c r="G236" s="18">
        <v>6515.68</v>
      </c>
      <c r="H236" s="18">
        <v>21893.52</v>
      </c>
      <c r="I236" s="18">
        <v>3100.02</v>
      </c>
      <c r="J236" s="18"/>
      <c r="K236" s="18"/>
      <c r="L236" s="13">
        <f>SUM(F236:K236)</f>
        <v>33684.22</v>
      </c>
      <c r="M236" s="8"/>
      <c r="N236" s="164"/>
    </row>
    <row r="237" spans="1:14" s="3" customFormat="1" ht="12.2" customHeight="1" x14ac:dyDescent="0.15">
      <c r="A237" s="1" t="s">
        <v>441</v>
      </c>
      <c r="B237" s="2" t="s">
        <v>350</v>
      </c>
      <c r="C237" s="2" t="s">
        <v>293</v>
      </c>
      <c r="D237" s="2" t="s">
        <v>431</v>
      </c>
      <c r="E237" s="6">
        <v>1400</v>
      </c>
      <c r="F237" s="18">
        <v>184585.12</v>
      </c>
      <c r="G237" s="18">
        <v>47117.65</v>
      </c>
      <c r="H237" s="18">
        <v>19613.05</v>
      </c>
      <c r="I237" s="18">
        <v>59710.6</v>
      </c>
      <c r="J237" s="18">
        <v>7999.49</v>
      </c>
      <c r="K237" s="18">
        <v>9287.24</v>
      </c>
      <c r="L237" s="13">
        <f>SUM(F237:K237)</f>
        <v>328313.14999999997</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179519.69</v>
      </c>
      <c r="G239" s="18">
        <v>94555.44</v>
      </c>
      <c r="H239" s="18">
        <v>1465.52</v>
      </c>
      <c r="I239" s="18">
        <v>4880.49</v>
      </c>
      <c r="J239" s="18"/>
      <c r="K239" s="18"/>
      <c r="L239" s="13">
        <f t="shared" ref="L239:L245" si="4">SUM(F239:K239)</f>
        <v>280421.14</v>
      </c>
      <c r="M239" s="8"/>
      <c r="N239" s="164"/>
    </row>
    <row r="240" spans="1:14" s="3" customFormat="1" ht="12.2" customHeight="1" x14ac:dyDescent="0.15">
      <c r="A240" s="1" t="s">
        <v>443</v>
      </c>
      <c r="B240" s="2" t="s">
        <v>350</v>
      </c>
      <c r="C240" s="2" t="s">
        <v>295</v>
      </c>
      <c r="D240" s="2" t="s">
        <v>431</v>
      </c>
      <c r="E240" s="6">
        <v>2200</v>
      </c>
      <c r="F240" s="18">
        <v>202675.85</v>
      </c>
      <c r="G240" s="18">
        <v>140626.49</v>
      </c>
      <c r="H240" s="18">
        <v>25500.25</v>
      </c>
      <c r="I240" s="18">
        <v>23831.11</v>
      </c>
      <c r="J240" s="18">
        <v>42378.48</v>
      </c>
      <c r="K240" s="18">
        <v>5335.6</v>
      </c>
      <c r="L240" s="13">
        <f t="shared" si="4"/>
        <v>440347.77999999991</v>
      </c>
      <c r="M240" s="8"/>
      <c r="N240" s="164"/>
    </row>
    <row r="241" spans="1:14" s="3" customFormat="1" ht="12.2" customHeight="1" x14ac:dyDescent="0.15">
      <c r="A241" s="1" t="s">
        <v>444</v>
      </c>
      <c r="B241" s="2" t="s">
        <v>350</v>
      </c>
      <c r="C241" s="2" t="s">
        <v>296</v>
      </c>
      <c r="D241" s="2" t="s">
        <v>431</v>
      </c>
      <c r="E241" s="6">
        <v>2300</v>
      </c>
      <c r="F241" s="18">
        <v>119862.91</v>
      </c>
      <c r="G241" s="18">
        <v>58235.99</v>
      </c>
      <c r="H241" s="18">
        <v>12333.75</v>
      </c>
      <c r="I241" s="18">
        <v>6173.92</v>
      </c>
      <c r="J241" s="18"/>
      <c r="K241" s="18">
        <v>13496.94</v>
      </c>
      <c r="L241" s="13">
        <f t="shared" si="4"/>
        <v>210103.51</v>
      </c>
      <c r="M241" s="8"/>
      <c r="N241" s="164"/>
    </row>
    <row r="242" spans="1:14" s="3" customFormat="1" ht="12.2" customHeight="1" x14ac:dyDescent="0.15">
      <c r="A242" s="1" t="s">
        <v>445</v>
      </c>
      <c r="B242" s="2" t="s">
        <v>350</v>
      </c>
      <c r="C242" s="2" t="s">
        <v>297</v>
      </c>
      <c r="D242" s="2" t="s">
        <v>431</v>
      </c>
      <c r="E242" s="6">
        <v>2400</v>
      </c>
      <c r="F242" s="18">
        <v>187860.99</v>
      </c>
      <c r="G242" s="18">
        <v>94400.45</v>
      </c>
      <c r="H242" s="18">
        <v>18602.45</v>
      </c>
      <c r="I242" s="18">
        <v>2072.15</v>
      </c>
      <c r="J242" s="18"/>
      <c r="K242" s="18">
        <v>8079.51</v>
      </c>
      <c r="L242" s="13">
        <f t="shared" si="4"/>
        <v>311015.55000000005</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143267.26</v>
      </c>
      <c r="G244" s="18">
        <v>73130.23</v>
      </c>
      <c r="H244" s="18">
        <v>139214.76</v>
      </c>
      <c r="I244" s="18">
        <v>164566.01</v>
      </c>
      <c r="J244" s="18">
        <v>10981.03</v>
      </c>
      <c r="K244" s="18"/>
      <c r="L244" s="13">
        <f t="shared" si="4"/>
        <v>531159.29</v>
      </c>
      <c r="M244" s="8"/>
      <c r="N244" s="164"/>
    </row>
    <row r="245" spans="1:14" s="3" customFormat="1" ht="12.2" customHeight="1" x14ac:dyDescent="0.15">
      <c r="A245" s="1" t="s">
        <v>448</v>
      </c>
      <c r="B245" s="2" t="s">
        <v>350</v>
      </c>
      <c r="C245" s="2" t="s">
        <v>300</v>
      </c>
      <c r="D245" s="2" t="s">
        <v>431</v>
      </c>
      <c r="E245" s="6">
        <v>2700</v>
      </c>
      <c r="F245" s="18"/>
      <c r="G245" s="18"/>
      <c r="H245" s="18">
        <v>457430.84</v>
      </c>
      <c r="I245" s="18"/>
      <c r="J245" s="18"/>
      <c r="K245" s="18"/>
      <c r="L245" s="13">
        <f t="shared" si="4"/>
        <v>457430.84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2733557.34</v>
      </c>
      <c r="G248" s="38">
        <f t="shared" si="5"/>
        <v>1541977.78</v>
      </c>
      <c r="H248" s="38">
        <f t="shared" si="5"/>
        <v>872702.03</v>
      </c>
      <c r="I248" s="38">
        <f t="shared" si="5"/>
        <v>316214.23</v>
      </c>
      <c r="J248" s="38">
        <f t="shared" si="5"/>
        <v>71235.430000000008</v>
      </c>
      <c r="K248" s="38">
        <f t="shared" si="5"/>
        <v>38876.880000000005</v>
      </c>
      <c r="L248" s="38">
        <f t="shared" si="5"/>
        <v>5574563.6899999995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v>38165.5</v>
      </c>
      <c r="G254" s="18">
        <v>2656.15</v>
      </c>
      <c r="H254" s="18"/>
      <c r="I254" s="18">
        <v>1713.71</v>
      </c>
      <c r="J254" s="18">
        <v>4800</v>
      </c>
      <c r="K254" s="18"/>
      <c r="L254" s="13">
        <f t="shared" si="6"/>
        <v>47335.360000000001</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38165.5</v>
      </c>
      <c r="G257" s="38">
        <f t="shared" si="7"/>
        <v>2656.15</v>
      </c>
      <c r="H257" s="38">
        <f t="shared" si="7"/>
        <v>0</v>
      </c>
      <c r="I257" s="38">
        <f t="shared" si="7"/>
        <v>1713.71</v>
      </c>
      <c r="J257" s="38">
        <f t="shared" si="7"/>
        <v>4800</v>
      </c>
      <c r="K257" s="38">
        <f t="shared" si="7"/>
        <v>0</v>
      </c>
      <c r="L257" s="38">
        <f>SUM(F257:K257)</f>
        <v>47335.360000000001</v>
      </c>
      <c r="M257" s="8"/>
      <c r="N257" s="164"/>
    </row>
    <row r="258" spans="1:14" s="3" customFormat="1" ht="12.2" customHeight="1" thickTop="1" x14ac:dyDescent="0.15">
      <c r="A258" s="35" t="s">
        <v>462</v>
      </c>
      <c r="B258" s="37">
        <v>10</v>
      </c>
      <c r="C258" s="37">
        <v>8</v>
      </c>
      <c r="D258" s="36" t="s">
        <v>431</v>
      </c>
      <c r="E258" s="37"/>
      <c r="F258" s="38">
        <f t="shared" ref="F258:L258" si="8">F212+F230+F248+F257</f>
        <v>8169469.3099999996</v>
      </c>
      <c r="G258" s="38">
        <f t="shared" si="8"/>
        <v>4750677.8800000008</v>
      </c>
      <c r="H258" s="38">
        <f t="shared" si="8"/>
        <v>2423243.4900000002</v>
      </c>
      <c r="I258" s="38">
        <f t="shared" si="8"/>
        <v>1004254.44</v>
      </c>
      <c r="J258" s="38">
        <f t="shared" si="8"/>
        <v>217272.96000000002</v>
      </c>
      <c r="K258" s="38">
        <f t="shared" si="8"/>
        <v>194100.86</v>
      </c>
      <c r="L258" s="38">
        <f t="shared" si="8"/>
        <v>16759018.939999999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v>
      </c>
      <c r="L267" s="13">
        <f t="shared" si="9"/>
        <v>100000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100000</v>
      </c>
      <c r="L271" s="38">
        <f t="shared" si="9"/>
        <v>100000</v>
      </c>
      <c r="M271" s="8"/>
      <c r="N271" s="164"/>
    </row>
    <row r="272" spans="1:14" s="33" customFormat="1" ht="12.2" customHeight="1" thickTop="1" x14ac:dyDescent="0.2">
      <c r="A272" s="40" t="s">
        <v>464</v>
      </c>
      <c r="B272" s="37">
        <v>10</v>
      </c>
      <c r="C272" s="37">
        <v>18</v>
      </c>
      <c r="D272" s="36" t="s">
        <v>431</v>
      </c>
      <c r="E272" s="37"/>
      <c r="F272" s="39">
        <f t="shared" ref="F272:L272" si="11">F258+F271</f>
        <v>8169469.3099999996</v>
      </c>
      <c r="G272" s="39">
        <f t="shared" si="11"/>
        <v>4750677.8800000008</v>
      </c>
      <c r="H272" s="39">
        <f t="shared" si="11"/>
        <v>2423243.4900000002</v>
      </c>
      <c r="I272" s="39">
        <f t="shared" si="11"/>
        <v>1004254.44</v>
      </c>
      <c r="J272" s="39">
        <f t="shared" si="11"/>
        <v>217272.96000000002</v>
      </c>
      <c r="K272" s="39">
        <f t="shared" si="11"/>
        <v>294100.86</v>
      </c>
      <c r="L272" s="39">
        <f t="shared" si="11"/>
        <v>16859018.939999998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103723.37</v>
      </c>
      <c r="G277" s="18">
        <v>10464.540000000001</v>
      </c>
      <c r="H277" s="18">
        <v>1881.84</v>
      </c>
      <c r="I277" s="18">
        <v>5362.39</v>
      </c>
      <c r="J277" s="18">
        <v>21950</v>
      </c>
      <c r="K277" s="18"/>
      <c r="L277" s="13">
        <f>SUM(F277:K277)</f>
        <v>143382.14000000001</v>
      </c>
      <c r="M277" s="8"/>
      <c r="N277" s="164"/>
    </row>
    <row r="278" spans="1:14" s="3" customFormat="1" ht="12.2" customHeight="1" x14ac:dyDescent="0.15">
      <c r="A278" s="1" t="s">
        <v>439</v>
      </c>
      <c r="B278" s="2" t="s">
        <v>357</v>
      </c>
      <c r="C278" s="2" t="s">
        <v>291</v>
      </c>
      <c r="D278" s="2" t="s">
        <v>431</v>
      </c>
      <c r="E278" s="6">
        <v>1200</v>
      </c>
      <c r="F278" s="18">
        <v>5035.55</v>
      </c>
      <c r="G278" s="18"/>
      <c r="H278" s="18">
        <v>49731.86</v>
      </c>
      <c r="I278" s="18">
        <v>1644.5</v>
      </c>
      <c r="J278" s="18">
        <v>5676.79</v>
      </c>
      <c r="K278" s="18"/>
      <c r="L278" s="13">
        <f>SUM(F278:K278)</f>
        <v>62088.700000000004</v>
      </c>
      <c r="M278" s="8"/>
      <c r="N278" s="164"/>
    </row>
    <row r="279" spans="1:14" s="3" customFormat="1" ht="12.2" customHeight="1" x14ac:dyDescent="0.15">
      <c r="A279" s="1" t="s">
        <v>440</v>
      </c>
      <c r="B279" s="2" t="s">
        <v>357</v>
      </c>
      <c r="C279" s="2" t="s">
        <v>292</v>
      </c>
      <c r="D279" s="2" t="s">
        <v>431</v>
      </c>
      <c r="E279" s="6">
        <v>1300</v>
      </c>
      <c r="F279" s="18"/>
      <c r="G279" s="18"/>
      <c r="H279" s="18"/>
      <c r="I279" s="18">
        <v>0</v>
      </c>
      <c r="J279" s="18"/>
      <c r="K279" s="18"/>
      <c r="L279" s="13">
        <f>SUM(F279:K279)</f>
        <v>0</v>
      </c>
      <c r="M279" s="8"/>
      <c r="N279" s="164"/>
    </row>
    <row r="280" spans="1:14" s="3" customFormat="1" ht="12.2" customHeight="1" x14ac:dyDescent="0.15">
      <c r="A280" s="1" t="s">
        <v>441</v>
      </c>
      <c r="B280" s="2" t="s">
        <v>357</v>
      </c>
      <c r="C280" s="2" t="s">
        <v>293</v>
      </c>
      <c r="D280" s="2" t="s">
        <v>431</v>
      </c>
      <c r="E280" s="6">
        <v>1400</v>
      </c>
      <c r="F280" s="18">
        <v>8843.65</v>
      </c>
      <c r="G280" s="18">
        <v>2244.9699999999998</v>
      </c>
      <c r="H280" s="18">
        <v>1240</v>
      </c>
      <c r="I280" s="18"/>
      <c r="J280" s="18"/>
      <c r="K280" s="18"/>
      <c r="L280" s="13">
        <f>SUM(F280:K280)</f>
        <v>12328.619999999999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22499.69</v>
      </c>
      <c r="G282" s="18">
        <v>4686.2700000000004</v>
      </c>
      <c r="H282" s="18"/>
      <c r="I282" s="18"/>
      <c r="J282" s="18"/>
      <c r="K282" s="18"/>
      <c r="L282" s="13">
        <f t="shared" ref="L282:L288" si="12">SUM(F282:K282)</f>
        <v>27185.96</v>
      </c>
      <c r="M282" s="8"/>
      <c r="N282" s="164"/>
    </row>
    <row r="283" spans="1:14" s="3" customFormat="1" ht="12.2" customHeight="1" x14ac:dyDescent="0.15">
      <c r="A283" s="1" t="s">
        <v>443</v>
      </c>
      <c r="B283" s="2" t="s">
        <v>357</v>
      </c>
      <c r="C283" s="2" t="s">
        <v>295</v>
      </c>
      <c r="D283" s="2" t="s">
        <v>431</v>
      </c>
      <c r="E283" s="6">
        <v>2200</v>
      </c>
      <c r="F283" s="18">
        <v>3600</v>
      </c>
      <c r="G283" s="18"/>
      <c r="H283" s="18">
        <v>119206.59</v>
      </c>
      <c r="I283" s="18">
        <v>3064.31</v>
      </c>
      <c r="J283" s="18"/>
      <c r="K283" s="18"/>
      <c r="L283" s="13">
        <f t="shared" si="12"/>
        <v>125870.9</v>
      </c>
      <c r="M283" s="8"/>
      <c r="N283" s="164"/>
    </row>
    <row r="284" spans="1:14" s="3" customFormat="1" ht="12.2" customHeight="1" x14ac:dyDescent="0.15">
      <c r="A284" s="1" t="s">
        <v>444</v>
      </c>
      <c r="B284" s="2" t="s">
        <v>357</v>
      </c>
      <c r="C284" s="2" t="s">
        <v>296</v>
      </c>
      <c r="D284" s="2" t="s">
        <v>431</v>
      </c>
      <c r="E284" s="6">
        <v>2300</v>
      </c>
      <c r="F284" s="18">
        <v>1900</v>
      </c>
      <c r="G284" s="18">
        <v>353.36</v>
      </c>
      <c r="H284" s="18">
        <v>4500</v>
      </c>
      <c r="I284" s="18"/>
      <c r="J284" s="18"/>
      <c r="K284" s="18"/>
      <c r="L284" s="13">
        <f t="shared" si="12"/>
        <v>6753.3600000000006</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4862.32</v>
      </c>
      <c r="I287" s="18">
        <v>15632</v>
      </c>
      <c r="J287" s="18">
        <v>1651.12</v>
      </c>
      <c r="K287" s="18"/>
      <c r="L287" s="13">
        <f t="shared" si="12"/>
        <v>22145.439999999999</v>
      </c>
      <c r="M287" s="8"/>
      <c r="N287" s="164"/>
    </row>
    <row r="288" spans="1:14" s="3" customFormat="1" ht="12.2" customHeight="1" x14ac:dyDescent="0.15">
      <c r="A288" s="1" t="s">
        <v>448</v>
      </c>
      <c r="B288" s="2" t="s">
        <v>357</v>
      </c>
      <c r="C288" s="2" t="s">
        <v>300</v>
      </c>
      <c r="D288" s="2" t="s">
        <v>431</v>
      </c>
      <c r="E288" s="6">
        <v>2700</v>
      </c>
      <c r="F288" s="18"/>
      <c r="G288" s="18"/>
      <c r="H288" s="18">
        <v>1500</v>
      </c>
      <c r="I288" s="18">
        <v>1930.12</v>
      </c>
      <c r="J288" s="18"/>
      <c r="K288" s="18"/>
      <c r="L288" s="13">
        <f t="shared" si="12"/>
        <v>3430.12</v>
      </c>
      <c r="M288" s="8"/>
      <c r="N288" s="164"/>
    </row>
    <row r="289" spans="1:14" s="3" customFormat="1" ht="12.2" customHeight="1" x14ac:dyDescent="0.15">
      <c r="A289" s="1" t="s">
        <v>449</v>
      </c>
      <c r="B289" s="2" t="s">
        <v>357</v>
      </c>
      <c r="C289" s="2" t="s">
        <v>343</v>
      </c>
      <c r="D289" s="2" t="s">
        <v>431</v>
      </c>
      <c r="E289" s="6">
        <v>2800</v>
      </c>
      <c r="F289" s="18"/>
      <c r="G289" s="18"/>
      <c r="H289" s="18">
        <v>3500</v>
      </c>
      <c r="I289" s="18"/>
      <c r="J289" s="18"/>
      <c r="K289" s="18"/>
      <c r="L289" s="13">
        <f>SUM(F289:K289)</f>
        <v>3500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145602.25999999998</v>
      </c>
      <c r="G291" s="39">
        <f t="shared" si="13"/>
        <v>17749.14</v>
      </c>
      <c r="H291" s="39">
        <f t="shared" si="13"/>
        <v>186422.61</v>
      </c>
      <c r="I291" s="39">
        <f t="shared" si="13"/>
        <v>27633.32</v>
      </c>
      <c r="J291" s="39">
        <f t="shared" si="13"/>
        <v>29277.91</v>
      </c>
      <c r="K291" s="39">
        <f t="shared" si="13"/>
        <v>0</v>
      </c>
      <c r="L291" s="38">
        <f t="shared" si="13"/>
        <v>406685.24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8722.7900000000009</v>
      </c>
      <c r="G296" s="18">
        <v>715.59</v>
      </c>
      <c r="H296" s="18">
        <v>315</v>
      </c>
      <c r="I296" s="18">
        <v>2327.0300000000002</v>
      </c>
      <c r="J296" s="18">
        <v>33091.42</v>
      </c>
      <c r="K296" s="18"/>
      <c r="L296" s="13">
        <f>SUM(F296:K296)</f>
        <v>45171.83</v>
      </c>
      <c r="M296" s="8"/>
      <c r="N296" s="164"/>
    </row>
    <row r="297" spans="1:14" s="3" customFormat="1" ht="12.2" customHeight="1" x14ac:dyDescent="0.15">
      <c r="A297" s="1" t="s">
        <v>439</v>
      </c>
      <c r="B297" s="2" t="s">
        <v>358</v>
      </c>
      <c r="C297" s="2" t="s">
        <v>291</v>
      </c>
      <c r="D297" s="2" t="s">
        <v>431</v>
      </c>
      <c r="E297" s="6">
        <v>1200</v>
      </c>
      <c r="F297" s="18"/>
      <c r="G297" s="18"/>
      <c r="H297" s="18">
        <v>21302.94</v>
      </c>
      <c r="I297" s="18"/>
      <c r="J297" s="18"/>
      <c r="K297" s="18"/>
      <c r="L297" s="13">
        <f>SUM(F297:K297)</f>
        <v>21302.94</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9449.8700000000008</v>
      </c>
      <c r="G301" s="18">
        <v>1968.23</v>
      </c>
      <c r="H301" s="18"/>
      <c r="I301" s="18"/>
      <c r="J301" s="18"/>
      <c r="K301" s="18"/>
      <c r="L301" s="13">
        <f t="shared" ref="L301:L307" si="14">SUM(F301:K301)</f>
        <v>11418.1</v>
      </c>
      <c r="M301" s="8"/>
      <c r="N301" s="164"/>
    </row>
    <row r="302" spans="1:14" s="3" customFormat="1" ht="12.2" customHeight="1" x14ac:dyDescent="0.15">
      <c r="A302" s="1" t="s">
        <v>443</v>
      </c>
      <c r="B302" s="2" t="s">
        <v>358</v>
      </c>
      <c r="C302" s="2" t="s">
        <v>295</v>
      </c>
      <c r="D302" s="2" t="s">
        <v>431</v>
      </c>
      <c r="E302" s="6">
        <v>2200</v>
      </c>
      <c r="F302" s="18">
        <v>1512</v>
      </c>
      <c r="G302" s="18"/>
      <c r="H302" s="18">
        <v>17107.27</v>
      </c>
      <c r="I302" s="18">
        <v>1287</v>
      </c>
      <c r="J302" s="18"/>
      <c r="K302" s="18"/>
      <c r="L302" s="13">
        <f t="shared" si="14"/>
        <v>19906.27</v>
      </c>
      <c r="M302" s="8"/>
      <c r="N302" s="164"/>
    </row>
    <row r="303" spans="1:14" s="3" customFormat="1" ht="12.2" customHeight="1" x14ac:dyDescent="0.15">
      <c r="A303" s="1" t="s">
        <v>444</v>
      </c>
      <c r="B303" s="2" t="s">
        <v>358</v>
      </c>
      <c r="C303" s="2" t="s">
        <v>296</v>
      </c>
      <c r="D303" s="2" t="s">
        <v>431</v>
      </c>
      <c r="E303" s="6">
        <v>2300</v>
      </c>
      <c r="F303" s="18">
        <v>798</v>
      </c>
      <c r="G303" s="18">
        <v>148.41</v>
      </c>
      <c r="H303" s="18">
        <v>1890</v>
      </c>
      <c r="I303" s="18"/>
      <c r="J303" s="18"/>
      <c r="K303" s="18"/>
      <c r="L303" s="13">
        <f t="shared" si="14"/>
        <v>2836.41</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v>4222.47</v>
      </c>
      <c r="K306" s="18"/>
      <c r="L306" s="13">
        <f t="shared" si="14"/>
        <v>4222.47</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v>1470</v>
      </c>
      <c r="I308" s="18"/>
      <c r="J308" s="18"/>
      <c r="K308" s="18"/>
      <c r="L308" s="13">
        <f>SUM(F308:K308)</f>
        <v>1470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20482.660000000003</v>
      </c>
      <c r="G310" s="39">
        <f t="shared" si="15"/>
        <v>2832.23</v>
      </c>
      <c r="H310" s="39">
        <f t="shared" si="15"/>
        <v>42085.21</v>
      </c>
      <c r="I310" s="39">
        <f t="shared" si="15"/>
        <v>3614.03</v>
      </c>
      <c r="J310" s="39">
        <f t="shared" si="15"/>
        <v>37313.89</v>
      </c>
      <c r="K310" s="39">
        <f t="shared" si="15"/>
        <v>0</v>
      </c>
      <c r="L310" s="38">
        <f t="shared" si="15"/>
        <v>106328.02000000002</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12045.76</v>
      </c>
      <c r="G315" s="18">
        <v>988.2</v>
      </c>
      <c r="H315" s="18">
        <v>435</v>
      </c>
      <c r="I315" s="18">
        <v>3091.41</v>
      </c>
      <c r="J315" s="18">
        <v>36603.42</v>
      </c>
      <c r="K315" s="18"/>
      <c r="L315" s="13">
        <f>SUM(F315:K315)</f>
        <v>53163.79</v>
      </c>
      <c r="M315" s="8"/>
      <c r="N315" s="164"/>
    </row>
    <row r="316" spans="1:14" s="3" customFormat="1" ht="12.2" customHeight="1" x14ac:dyDescent="0.15">
      <c r="A316" s="1" t="s">
        <v>439</v>
      </c>
      <c r="B316" s="2" t="s">
        <v>359</v>
      </c>
      <c r="C316" s="2" t="s">
        <v>291</v>
      </c>
      <c r="D316" s="2" t="s">
        <v>431</v>
      </c>
      <c r="E316" s="6">
        <v>1200</v>
      </c>
      <c r="F316" s="18"/>
      <c r="G316" s="18"/>
      <c r="H316" s="18">
        <v>36404.300000000003</v>
      </c>
      <c r="I316" s="18"/>
      <c r="J316" s="18"/>
      <c r="K316" s="18"/>
      <c r="L316" s="13">
        <f>SUM(F316:K316)</f>
        <v>36404.300000000003</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13049.82</v>
      </c>
      <c r="G320" s="18">
        <v>2718.03</v>
      </c>
      <c r="H320" s="18"/>
      <c r="I320" s="18"/>
      <c r="J320" s="18"/>
      <c r="K320" s="18"/>
      <c r="L320" s="13">
        <f t="shared" ref="L320:L326" si="16">SUM(F320:K320)</f>
        <v>15767.85</v>
      </c>
      <c r="M320" s="8"/>
      <c r="N320" s="164"/>
    </row>
    <row r="321" spans="1:14" s="3" customFormat="1" ht="12.2" customHeight="1" x14ac:dyDescent="0.15">
      <c r="A321" s="1" t="s">
        <v>443</v>
      </c>
      <c r="B321" s="2" t="s">
        <v>359</v>
      </c>
      <c r="C321" s="2" t="s">
        <v>295</v>
      </c>
      <c r="D321" s="2" t="s">
        <v>431</v>
      </c>
      <c r="E321" s="6">
        <v>2200</v>
      </c>
      <c r="F321" s="18">
        <v>2088</v>
      </c>
      <c r="G321" s="18"/>
      <c r="H321" s="18">
        <v>23624.35</v>
      </c>
      <c r="I321" s="18">
        <v>1777.3</v>
      </c>
      <c r="J321" s="18"/>
      <c r="K321" s="18"/>
      <c r="L321" s="13">
        <f t="shared" si="16"/>
        <v>27489.649999999998</v>
      </c>
      <c r="M321" s="8"/>
      <c r="N321" s="164"/>
    </row>
    <row r="322" spans="1:14" s="3" customFormat="1" ht="12.2" customHeight="1" x14ac:dyDescent="0.15">
      <c r="A322" s="1" t="s">
        <v>444</v>
      </c>
      <c r="B322" s="2" t="s">
        <v>359</v>
      </c>
      <c r="C322" s="2" t="s">
        <v>296</v>
      </c>
      <c r="D322" s="2" t="s">
        <v>431</v>
      </c>
      <c r="E322" s="6">
        <v>2300</v>
      </c>
      <c r="F322" s="18">
        <v>1102</v>
      </c>
      <c r="G322" s="18">
        <v>204.95</v>
      </c>
      <c r="H322" s="18">
        <v>2610</v>
      </c>
      <c r="I322" s="18"/>
      <c r="J322" s="18"/>
      <c r="K322" s="18"/>
      <c r="L322" s="13">
        <f t="shared" si="16"/>
        <v>3916.95</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v>4222.47</v>
      </c>
      <c r="K325" s="18"/>
      <c r="L325" s="13">
        <f t="shared" si="16"/>
        <v>4222.47</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v>2030</v>
      </c>
      <c r="I327" s="18"/>
      <c r="J327" s="18"/>
      <c r="K327" s="18"/>
      <c r="L327" s="13">
        <f>SUM(F327:K327)</f>
        <v>2030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28285.58</v>
      </c>
      <c r="G329" s="39">
        <f t="shared" si="17"/>
        <v>3911.1800000000003</v>
      </c>
      <c r="H329" s="39">
        <f t="shared" si="17"/>
        <v>65103.65</v>
      </c>
      <c r="I329" s="39">
        <f t="shared" si="17"/>
        <v>4868.71</v>
      </c>
      <c r="J329" s="39">
        <f t="shared" si="17"/>
        <v>40825.89</v>
      </c>
      <c r="K329" s="39">
        <f t="shared" si="17"/>
        <v>0</v>
      </c>
      <c r="L329" s="38">
        <f t="shared" si="17"/>
        <v>142995.01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194370.5</v>
      </c>
      <c r="G339" s="38">
        <f t="shared" si="20"/>
        <v>24492.55</v>
      </c>
      <c r="H339" s="38">
        <f t="shared" si="20"/>
        <v>293611.46999999997</v>
      </c>
      <c r="I339" s="38">
        <f t="shared" si="20"/>
        <v>36116.06</v>
      </c>
      <c r="J339" s="38">
        <f t="shared" si="20"/>
        <v>107417.69</v>
      </c>
      <c r="K339" s="38">
        <f t="shared" si="20"/>
        <v>0</v>
      </c>
      <c r="L339" s="38">
        <f t="shared" si="20"/>
        <v>656008.27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194370.5</v>
      </c>
      <c r="G353" s="38">
        <f>G339</f>
        <v>24492.55</v>
      </c>
      <c r="H353" s="38">
        <f>H339</f>
        <v>293611.46999999997</v>
      </c>
      <c r="I353" s="38">
        <f>I339</f>
        <v>36116.06</v>
      </c>
      <c r="J353" s="38">
        <f>J339</f>
        <v>107417.69</v>
      </c>
      <c r="K353" s="38">
        <f>K339+K352</f>
        <v>0</v>
      </c>
      <c r="L353" s="38">
        <f>L339+L352</f>
        <v>656008.27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136573.34</v>
      </c>
      <c r="I359" s="18"/>
      <c r="J359" s="18"/>
      <c r="K359" s="18"/>
      <c r="L359" s="13">
        <f>SUM(F359:K359)</f>
        <v>136573.34</v>
      </c>
      <c r="M359" s="8"/>
      <c r="N359" s="164"/>
    </row>
    <row r="360" spans="1:22" s="3" customFormat="1" ht="12.2" customHeight="1" x14ac:dyDescent="0.15">
      <c r="A360" s="1" t="s">
        <v>542</v>
      </c>
      <c r="B360" s="2" t="s">
        <v>366</v>
      </c>
      <c r="C360" s="6">
        <v>2</v>
      </c>
      <c r="D360" s="2" t="s">
        <v>431</v>
      </c>
      <c r="E360" s="6"/>
      <c r="F360" s="18"/>
      <c r="G360" s="18"/>
      <c r="H360" s="18">
        <v>61588.28</v>
      </c>
      <c r="I360" s="18"/>
      <c r="J360" s="18"/>
      <c r="K360" s="18"/>
      <c r="L360" s="13">
        <f>SUM(F360:K360)</f>
        <v>61588.28</v>
      </c>
      <c r="M360" s="8"/>
      <c r="N360" s="164"/>
    </row>
    <row r="361" spans="1:22" s="3" customFormat="1" ht="12.2" customHeight="1" x14ac:dyDescent="0.15">
      <c r="A361" s="3" t="s">
        <v>543</v>
      </c>
      <c r="B361" s="2" t="s">
        <v>366</v>
      </c>
      <c r="C361" s="6">
        <v>3</v>
      </c>
      <c r="D361" s="2" t="s">
        <v>431</v>
      </c>
      <c r="E361" s="6"/>
      <c r="F361" s="18"/>
      <c r="G361" s="18"/>
      <c r="H361" s="18">
        <v>80939.27</v>
      </c>
      <c r="I361" s="18"/>
      <c r="J361" s="18"/>
      <c r="K361" s="18"/>
      <c r="L361" s="13">
        <f>SUM(F361:K361)</f>
        <v>80939.27</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279100.89</v>
      </c>
      <c r="I363" s="38">
        <f t="shared" si="22"/>
        <v>0</v>
      </c>
      <c r="J363" s="38">
        <f t="shared" si="22"/>
        <v>0</v>
      </c>
      <c r="K363" s="38">
        <f t="shared" si="22"/>
        <v>0</v>
      </c>
      <c r="L363" s="38">
        <f t="shared" si="22"/>
        <v>279100.89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v>1600757.36</v>
      </c>
      <c r="J396" s="23" t="s">
        <v>288</v>
      </c>
      <c r="K396" s="23" t="s">
        <v>288</v>
      </c>
      <c r="L396" s="13">
        <f t="shared" ref="L396:L401" si="26">SUM(F396:K396)</f>
        <v>1600757.36</v>
      </c>
      <c r="M396" s="8"/>
      <c r="N396" s="164"/>
    </row>
    <row r="397" spans="1:14" s="3" customFormat="1" ht="12.2" customHeight="1" x14ac:dyDescent="0.15">
      <c r="A397" s="62" t="s">
        <v>557</v>
      </c>
      <c r="B397" s="2" t="s">
        <v>381</v>
      </c>
      <c r="C397" s="6">
        <v>9</v>
      </c>
      <c r="D397" s="2" t="s">
        <v>432</v>
      </c>
      <c r="E397" s="6"/>
      <c r="F397" s="18"/>
      <c r="G397" s="18">
        <v>75000</v>
      </c>
      <c r="H397" s="18">
        <v>11985.35</v>
      </c>
      <c r="I397" s="18"/>
      <c r="J397" s="23" t="s">
        <v>288</v>
      </c>
      <c r="K397" s="23" t="s">
        <v>288</v>
      </c>
      <c r="L397" s="13">
        <f t="shared" si="26"/>
        <v>86985.35</v>
      </c>
      <c r="M397" s="8"/>
      <c r="N397" s="164"/>
    </row>
    <row r="398" spans="1:14" s="3" customFormat="1" ht="12.2" customHeight="1" x14ac:dyDescent="0.15">
      <c r="A398" s="62" t="s">
        <v>515</v>
      </c>
      <c r="B398" s="2" t="s">
        <v>381</v>
      </c>
      <c r="C398" s="6">
        <v>10</v>
      </c>
      <c r="D398" s="2" t="s">
        <v>432</v>
      </c>
      <c r="E398" s="6"/>
      <c r="F398" s="18"/>
      <c r="G398" s="18"/>
      <c r="H398" s="18">
        <v>80695.08</v>
      </c>
      <c r="I398" s="18"/>
      <c r="J398" s="23" t="s">
        <v>288</v>
      </c>
      <c r="K398" s="23" t="s">
        <v>288</v>
      </c>
      <c r="L398" s="13">
        <f t="shared" si="26"/>
        <v>80695.08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25000</v>
      </c>
      <c r="H400" s="18">
        <v>600.08000000000004</v>
      </c>
      <c r="I400" s="18"/>
      <c r="J400" s="23" t="s">
        <v>288</v>
      </c>
      <c r="K400" s="23" t="s">
        <v>288</v>
      </c>
      <c r="L400" s="13">
        <f t="shared" si="26"/>
        <v>25600.080000000002</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100000</v>
      </c>
      <c r="H402" s="38">
        <f>SUM(H396:H401)</f>
        <v>93280.510000000009</v>
      </c>
      <c r="I402" s="38">
        <f>SUM(I396:I401)</f>
        <v>1600757.36</v>
      </c>
      <c r="J402" s="42" t="s">
        <v>288</v>
      </c>
      <c r="K402" s="42" t="s">
        <v>288</v>
      </c>
      <c r="L402" s="38">
        <f>SUM(L396:L401)</f>
        <v>1794037.8700000003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100000</v>
      </c>
      <c r="H409" s="38">
        <f>H394+H402+H408</f>
        <v>93280.510000000009</v>
      </c>
      <c r="I409" s="38">
        <f>I394+I402+I408</f>
        <v>1600757.36</v>
      </c>
      <c r="J409" s="23" t="s">
        <v>288</v>
      </c>
      <c r="K409" s="23" t="s">
        <v>288</v>
      </c>
      <c r="L409" s="38">
        <f>L394+L402+L408</f>
        <v>1794037.8700000003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v>874301.23</v>
      </c>
      <c r="J422" s="18"/>
      <c r="K422" s="18"/>
      <c r="L422" s="13">
        <f t="shared" ref="L422:L427" si="29">SUM(F422:K422)</f>
        <v>874301.23</v>
      </c>
      <c r="M422" s="8"/>
      <c r="N422" s="164"/>
    </row>
    <row r="423" spans="1:21" s="3" customFormat="1" ht="12.2" customHeight="1" x14ac:dyDescent="0.15">
      <c r="A423" s="62" t="s">
        <v>557</v>
      </c>
      <c r="B423" s="6">
        <v>17</v>
      </c>
      <c r="C423" s="6">
        <v>9</v>
      </c>
      <c r="D423" s="2" t="s">
        <v>432</v>
      </c>
      <c r="E423" s="6"/>
      <c r="F423" s="18"/>
      <c r="G423" s="18"/>
      <c r="H423" s="18"/>
      <c r="I423" s="18">
        <v>403850.18</v>
      </c>
      <c r="J423" s="18"/>
      <c r="K423" s="18"/>
      <c r="L423" s="13">
        <f t="shared" si="29"/>
        <v>403850.18</v>
      </c>
      <c r="M423" s="8"/>
      <c r="N423" s="164"/>
    </row>
    <row r="424" spans="1:21" s="3" customFormat="1" ht="12.2" customHeight="1" x14ac:dyDescent="0.15">
      <c r="A424" s="62" t="s">
        <v>515</v>
      </c>
      <c r="B424" s="6">
        <v>17</v>
      </c>
      <c r="C424" s="6">
        <v>10</v>
      </c>
      <c r="D424" s="2" t="s">
        <v>432</v>
      </c>
      <c r="E424" s="6"/>
      <c r="F424" s="18"/>
      <c r="G424" s="18"/>
      <c r="H424" s="18"/>
      <c r="I424" s="18">
        <v>466485.84</v>
      </c>
      <c r="J424" s="18"/>
      <c r="K424" s="18"/>
      <c r="L424" s="13">
        <f t="shared" si="29"/>
        <v>466485.84</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v>50352.49</v>
      </c>
      <c r="J426" s="18"/>
      <c r="K426" s="18"/>
      <c r="L426" s="13">
        <f t="shared" si="29"/>
        <v>50352.49</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1794989.74</v>
      </c>
      <c r="J428" s="38">
        <f t="shared" si="30"/>
        <v>0</v>
      </c>
      <c r="K428" s="38">
        <f t="shared" si="30"/>
        <v>0</v>
      </c>
      <c r="L428" s="38">
        <f t="shared" si="30"/>
        <v>1794989.74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1794989.74</v>
      </c>
      <c r="J435" s="38">
        <f t="shared" si="32"/>
        <v>0</v>
      </c>
      <c r="K435" s="38">
        <f t="shared" si="32"/>
        <v>0</v>
      </c>
      <c r="L435" s="38">
        <f t="shared" si="32"/>
        <v>1794989.74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v>1544595.11</v>
      </c>
      <c r="H442" s="18"/>
      <c r="I442" s="13">
        <f t="shared" si="33"/>
        <v>1544595.11</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1544595.11</v>
      </c>
      <c r="H447" s="13">
        <f>SUM(H440:H446)</f>
        <v>0</v>
      </c>
      <c r="I447" s="13">
        <f>SUM(I440:I446)</f>
        <v>1544595.11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1544595.11</v>
      </c>
      <c r="H460" s="18"/>
      <c r="I460" s="13">
        <f t="shared" si="34"/>
        <v>1544595.11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1544595.11</v>
      </c>
      <c r="H461" s="65">
        <f>SUM(H455:H460)</f>
        <v>0</v>
      </c>
      <c r="I461" s="65">
        <f>SUM(I455:I460)</f>
        <v>1544595.11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1544595.11</v>
      </c>
      <c r="H462" s="39">
        <f>H453+H461</f>
        <v>0</v>
      </c>
      <c r="I462" s="39">
        <f>I453+I461</f>
        <v>1544595.11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1299390.19</v>
      </c>
      <c r="G466" s="18">
        <v>23995.99</v>
      </c>
      <c r="H466" s="18">
        <v>29878.86</v>
      </c>
      <c r="I466" s="18"/>
      <c r="J466" s="18">
        <v>1545546.98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16905521.16</v>
      </c>
      <c r="G469" s="18">
        <v>277174.75</v>
      </c>
      <c r="H469" s="18">
        <v>649212.97</v>
      </c>
      <c r="I469" s="18"/>
      <c r="J469" s="18">
        <v>1794037.87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16905521.16</v>
      </c>
      <c r="G471" s="19">
        <f>SUM(G469:G470)</f>
        <v>277174.75</v>
      </c>
      <c r="H471" s="19">
        <f>SUM(H469:H470)</f>
        <v>649212.97</v>
      </c>
      <c r="I471" s="19">
        <f>SUM(I469:I470)</f>
        <v>0</v>
      </c>
      <c r="J471" s="19">
        <f>SUM(J469:J470)</f>
        <v>1794037.87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16859018.940000001</v>
      </c>
      <c r="G473" s="18">
        <v>279100.89</v>
      </c>
      <c r="H473" s="18">
        <v>656008.27</v>
      </c>
      <c r="I473" s="18"/>
      <c r="J473" s="18">
        <v>1794989.74</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16859018.940000001</v>
      </c>
      <c r="G475" s="19">
        <f>SUM(G473:G474)</f>
        <v>279100.89</v>
      </c>
      <c r="H475" s="19">
        <f>SUM(H473:H474)</f>
        <v>656008.27</v>
      </c>
      <c r="I475" s="19">
        <f>SUM(I473:I474)</f>
        <v>0</v>
      </c>
      <c r="J475" s="19">
        <f>SUM(J473:J474)</f>
        <v>1794989.74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1345892.4100000001</v>
      </c>
      <c r="G477" s="19">
        <f>(G466+G471)- G475</f>
        <v>22069.849999999977</v>
      </c>
      <c r="H477" s="19">
        <f>(H466+H471)- H475</f>
        <v>23083.559999999939</v>
      </c>
      <c r="I477" s="19">
        <f>(I466+I471)- I475</f>
        <v>0</v>
      </c>
      <c r="J477" s="19">
        <f>(J466+J471)- J475</f>
        <v>1544595.11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893249.3</v>
      </c>
      <c r="G522" s="18">
        <v>252114.49</v>
      </c>
      <c r="H522" s="18"/>
      <c r="I522" s="18">
        <v>4427.79</v>
      </c>
      <c r="J522" s="18"/>
      <c r="K522" s="18">
        <v>651.70000000000005</v>
      </c>
      <c r="L522" s="69">
        <f>SUM(F522:K522)</f>
        <v>1150443.28</v>
      </c>
      <c r="N522" s="130"/>
    </row>
    <row r="523" spans="1:14" ht="12.2" customHeight="1" x14ac:dyDescent="0.2">
      <c r="A523" s="21" t="s">
        <v>634</v>
      </c>
      <c r="B523" s="22">
        <v>21</v>
      </c>
      <c r="C523" s="22">
        <v>2</v>
      </c>
      <c r="D523" s="2" t="s">
        <v>432</v>
      </c>
      <c r="E523" s="22"/>
      <c r="F523" s="18">
        <v>298321.06</v>
      </c>
      <c r="G523" s="18">
        <v>275975.45</v>
      </c>
      <c r="H523" s="18"/>
      <c r="I523" s="18">
        <v>2856.2</v>
      </c>
      <c r="J523" s="18"/>
      <c r="K523" s="18"/>
      <c r="L523" s="69">
        <f>SUM(F523:K523)</f>
        <v>577152.71</v>
      </c>
      <c r="N523" s="130"/>
    </row>
    <row r="524" spans="1:14" ht="12.2" customHeight="1" thickBot="1" x14ac:dyDescent="0.25">
      <c r="A524" s="21" t="s">
        <v>635</v>
      </c>
      <c r="B524" s="22">
        <v>21</v>
      </c>
      <c r="C524" s="22">
        <v>3</v>
      </c>
      <c r="D524" s="2" t="s">
        <v>432</v>
      </c>
      <c r="E524" s="22"/>
      <c r="F524" s="18">
        <v>487500.9</v>
      </c>
      <c r="G524" s="18">
        <v>244708.07</v>
      </c>
      <c r="H524" s="18"/>
      <c r="I524" s="18">
        <v>1128.9000000000001</v>
      </c>
      <c r="J524" s="18"/>
      <c r="K524" s="18">
        <v>2677.59</v>
      </c>
      <c r="L524" s="69">
        <f>SUM(F524:K524)</f>
        <v>736015.46</v>
      </c>
      <c r="N524" s="130"/>
    </row>
    <row r="525" spans="1:14" ht="12.2" customHeight="1" thickTop="1" x14ac:dyDescent="0.2">
      <c r="A525" s="97" t="s">
        <v>63</v>
      </c>
      <c r="B525" s="41">
        <v>21</v>
      </c>
      <c r="C525" s="41">
        <v>4</v>
      </c>
      <c r="D525" s="115" t="s">
        <v>432</v>
      </c>
      <c r="E525" s="41"/>
      <c r="F525" s="81">
        <f>SUM(F522:F524)</f>
        <v>1679071.2600000002</v>
      </c>
      <c r="G525" s="81">
        <f t="shared" ref="G525:L525" si="36">SUM(G522:G524)</f>
        <v>772798.01</v>
      </c>
      <c r="H525" s="81">
        <f t="shared" si="36"/>
        <v>0</v>
      </c>
      <c r="I525" s="81">
        <f t="shared" si="36"/>
        <v>8412.89</v>
      </c>
      <c r="J525" s="81">
        <f t="shared" si="36"/>
        <v>0</v>
      </c>
      <c r="K525" s="81">
        <f t="shared" si="36"/>
        <v>3329.29</v>
      </c>
      <c r="L525" s="70">
        <f t="shared" si="36"/>
        <v>2463611.4500000002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v>367050.37</v>
      </c>
      <c r="I527" s="18"/>
      <c r="J527" s="18"/>
      <c r="K527" s="18"/>
      <c r="L527" s="69">
        <f>SUM(F527:K527)</f>
        <v>367050.37</v>
      </c>
      <c r="M527" s="8"/>
      <c r="N527" s="164"/>
    </row>
    <row r="528" spans="1:14" s="3" customFormat="1" ht="12.2" customHeight="1" x14ac:dyDescent="0.15">
      <c r="A528" s="21" t="s">
        <v>634</v>
      </c>
      <c r="B528" s="22">
        <v>21</v>
      </c>
      <c r="C528" s="22">
        <v>6</v>
      </c>
      <c r="D528" s="2" t="s">
        <v>432</v>
      </c>
      <c r="E528" s="22"/>
      <c r="F528" s="18"/>
      <c r="G528" s="18"/>
      <c r="H528" s="18">
        <v>59953.18</v>
      </c>
      <c r="I528" s="18"/>
      <c r="J528" s="18"/>
      <c r="K528" s="18"/>
      <c r="L528" s="69">
        <f>SUM(F528:K528)</f>
        <v>59953.18</v>
      </c>
      <c r="M528" s="8"/>
      <c r="N528" s="164"/>
    </row>
    <row r="529" spans="1:14" s="3" customFormat="1" ht="12.2" customHeight="1" thickBot="1" x14ac:dyDescent="0.2">
      <c r="A529" s="21" t="s">
        <v>635</v>
      </c>
      <c r="B529" s="22">
        <v>21</v>
      </c>
      <c r="C529" s="22">
        <v>7</v>
      </c>
      <c r="D529" s="2" t="s">
        <v>432</v>
      </c>
      <c r="E529" s="22"/>
      <c r="F529" s="18"/>
      <c r="G529" s="18"/>
      <c r="H529" s="18">
        <v>125965.61</v>
      </c>
      <c r="I529" s="18"/>
      <c r="J529" s="18"/>
      <c r="K529" s="18"/>
      <c r="L529" s="69">
        <f>SUM(F529:K529)</f>
        <v>125965.61</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552969.16</v>
      </c>
      <c r="I530" s="70">
        <f t="shared" si="37"/>
        <v>0</v>
      </c>
      <c r="J530" s="70">
        <f t="shared" si="37"/>
        <v>0</v>
      </c>
      <c r="K530" s="70">
        <f t="shared" si="37"/>
        <v>0</v>
      </c>
      <c r="L530" s="70">
        <f t="shared" si="37"/>
        <v>552969.16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91267.28</v>
      </c>
      <c r="G532" s="18">
        <v>41773.019999999997</v>
      </c>
      <c r="H532" s="18"/>
      <c r="I532" s="18"/>
      <c r="J532" s="18"/>
      <c r="K532" s="18"/>
      <c r="L532" s="69">
        <f>SUM(F532:K532)</f>
        <v>133040.29999999999</v>
      </c>
      <c r="M532" s="8"/>
      <c r="N532" s="164"/>
    </row>
    <row r="533" spans="1:14" s="3" customFormat="1" ht="12.2" customHeight="1" x14ac:dyDescent="0.15">
      <c r="A533" s="21" t="s">
        <v>634</v>
      </c>
      <c r="B533" s="22">
        <v>21</v>
      </c>
      <c r="C533" s="22">
        <v>10</v>
      </c>
      <c r="D533" s="2" t="s">
        <v>432</v>
      </c>
      <c r="E533" s="22"/>
      <c r="F533" s="18">
        <v>34896.32</v>
      </c>
      <c r="G533" s="18">
        <v>15972.04</v>
      </c>
      <c r="H533" s="18"/>
      <c r="I533" s="18"/>
      <c r="J533" s="18"/>
      <c r="K533" s="18"/>
      <c r="L533" s="69">
        <f>SUM(F533:K533)</f>
        <v>50868.36</v>
      </c>
      <c r="M533" s="8"/>
      <c r="N533" s="164"/>
    </row>
    <row r="534" spans="1:14" s="3" customFormat="1" ht="12.2" customHeight="1" thickBot="1" x14ac:dyDescent="0.2">
      <c r="A534" s="21" t="s">
        <v>635</v>
      </c>
      <c r="B534" s="22">
        <v>21</v>
      </c>
      <c r="C534" s="22">
        <v>11</v>
      </c>
      <c r="D534" s="2" t="s">
        <v>432</v>
      </c>
      <c r="E534" s="22"/>
      <c r="F534" s="18">
        <v>52791.86</v>
      </c>
      <c r="G534" s="18">
        <v>24162.82</v>
      </c>
      <c r="H534" s="18"/>
      <c r="I534" s="18"/>
      <c r="J534" s="18"/>
      <c r="K534" s="18"/>
      <c r="L534" s="69">
        <f>SUM(F534:K534)</f>
        <v>76954.679999999993</v>
      </c>
      <c r="M534" s="8"/>
      <c r="N534" s="164"/>
    </row>
    <row r="535" spans="1:14" s="3" customFormat="1" ht="12.2" customHeight="1" thickTop="1" x14ac:dyDescent="0.15">
      <c r="A535" s="97" t="s">
        <v>67</v>
      </c>
      <c r="B535" s="41">
        <v>21</v>
      </c>
      <c r="C535" s="41">
        <v>12</v>
      </c>
      <c r="D535" s="115" t="s">
        <v>432</v>
      </c>
      <c r="E535" s="41"/>
      <c r="F535" s="70">
        <f>SUM(F532:F534)</f>
        <v>178955.46000000002</v>
      </c>
      <c r="G535" s="70">
        <f t="shared" ref="G535:L535" si="38">SUM(G532:G534)</f>
        <v>81907.88</v>
      </c>
      <c r="H535" s="70">
        <f t="shared" si="38"/>
        <v>0</v>
      </c>
      <c r="I535" s="70">
        <f t="shared" si="38"/>
        <v>0</v>
      </c>
      <c r="J535" s="70">
        <f t="shared" si="38"/>
        <v>0</v>
      </c>
      <c r="K535" s="70">
        <f t="shared" si="38"/>
        <v>0</v>
      </c>
      <c r="L535" s="70">
        <f t="shared" si="38"/>
        <v>260863.33999999997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363.09</v>
      </c>
      <c r="I537" s="18"/>
      <c r="J537" s="18"/>
      <c r="K537" s="18"/>
      <c r="L537" s="69">
        <f>SUM(F537:K537)</f>
        <v>363.09</v>
      </c>
      <c r="M537" s="8"/>
      <c r="N537" s="164"/>
    </row>
    <row r="538" spans="1:14" s="3" customFormat="1" ht="12.2" customHeight="1" x14ac:dyDescent="0.15">
      <c r="A538" s="21" t="s">
        <v>634</v>
      </c>
      <c r="B538" s="22">
        <v>21</v>
      </c>
      <c r="C538" s="22">
        <v>14</v>
      </c>
      <c r="D538" s="2" t="s">
        <v>432</v>
      </c>
      <c r="E538" s="22"/>
      <c r="F538" s="18"/>
      <c r="G538" s="18"/>
      <c r="H538" s="18">
        <v>163.02000000000001</v>
      </c>
      <c r="I538" s="18"/>
      <c r="J538" s="18"/>
      <c r="K538" s="18"/>
      <c r="L538" s="69">
        <f>SUM(F538:K538)</f>
        <v>163.02000000000001</v>
      </c>
      <c r="M538" s="8"/>
      <c r="N538" s="164"/>
    </row>
    <row r="539" spans="1:14" s="3" customFormat="1" ht="12.2" customHeight="1" thickBot="1" x14ac:dyDescent="0.2">
      <c r="A539" s="21" t="s">
        <v>635</v>
      </c>
      <c r="B539" s="22">
        <v>21</v>
      </c>
      <c r="C539" s="22">
        <v>15</v>
      </c>
      <c r="D539" s="2" t="s">
        <v>432</v>
      </c>
      <c r="E539" s="22"/>
      <c r="F539" s="18"/>
      <c r="G539" s="18"/>
      <c r="H539" s="18">
        <v>2291.89</v>
      </c>
      <c r="I539" s="18"/>
      <c r="J539" s="18"/>
      <c r="K539" s="18"/>
      <c r="L539" s="69">
        <f>SUM(F539:K539)</f>
        <v>2291.89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2818</v>
      </c>
      <c r="I540" s="70">
        <f t="shared" si="39"/>
        <v>0</v>
      </c>
      <c r="J540" s="70">
        <f t="shared" si="39"/>
        <v>0</v>
      </c>
      <c r="K540" s="70">
        <f t="shared" si="39"/>
        <v>0</v>
      </c>
      <c r="L540" s="70">
        <f t="shared" si="39"/>
        <v>2818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72847.81</v>
      </c>
      <c r="I542" s="18"/>
      <c r="J542" s="18"/>
      <c r="K542" s="18"/>
      <c r="L542" s="69">
        <f>SUM(F542:K542)</f>
        <v>72847.81</v>
      </c>
      <c r="M542" s="8"/>
      <c r="N542" s="164"/>
    </row>
    <row r="543" spans="1:14" s="3" customFormat="1" ht="12.2" customHeight="1" x14ac:dyDescent="0.15">
      <c r="A543" s="21" t="s">
        <v>634</v>
      </c>
      <c r="B543" s="22">
        <v>21</v>
      </c>
      <c r="C543" s="22">
        <v>18</v>
      </c>
      <c r="D543" s="2" t="s">
        <v>432</v>
      </c>
      <c r="E543" s="22"/>
      <c r="F543" s="18"/>
      <c r="G543" s="18"/>
      <c r="H543" s="18">
        <v>15080.79</v>
      </c>
      <c r="I543" s="18"/>
      <c r="J543" s="18"/>
      <c r="K543" s="18"/>
      <c r="L543" s="69">
        <f>SUM(F543:K543)</f>
        <v>15080.79</v>
      </c>
      <c r="M543" s="8"/>
      <c r="N543" s="164"/>
    </row>
    <row r="544" spans="1:14" s="3" customFormat="1" ht="12.2" customHeight="1" thickBot="1" x14ac:dyDescent="0.2">
      <c r="A544" s="21" t="s">
        <v>635</v>
      </c>
      <c r="B544" s="22">
        <v>21</v>
      </c>
      <c r="C544" s="22">
        <v>19</v>
      </c>
      <c r="D544" s="2" t="s">
        <v>432</v>
      </c>
      <c r="E544" s="22"/>
      <c r="F544" s="18"/>
      <c r="G544" s="18"/>
      <c r="H544" s="18">
        <v>11115.44</v>
      </c>
      <c r="I544" s="18"/>
      <c r="J544" s="18"/>
      <c r="K544" s="18"/>
      <c r="L544" s="69">
        <f>SUM(F544:K544)</f>
        <v>11115.44</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99044.040000000008</v>
      </c>
      <c r="I545" s="140">
        <f t="shared" si="40"/>
        <v>0</v>
      </c>
      <c r="J545" s="140">
        <f t="shared" si="40"/>
        <v>0</v>
      </c>
      <c r="K545" s="140">
        <f t="shared" si="40"/>
        <v>0</v>
      </c>
      <c r="L545" s="140">
        <f t="shared" si="40"/>
        <v>99044.040000000008</v>
      </c>
      <c r="M545" s="8"/>
      <c r="N545" s="164"/>
    </row>
    <row r="546" spans="1:14" s="3" customFormat="1" ht="12.2" customHeight="1" thickTop="1" x14ac:dyDescent="0.15">
      <c r="A546" s="75" t="s">
        <v>72</v>
      </c>
      <c r="B546" s="41">
        <v>21</v>
      </c>
      <c r="C546" s="41">
        <v>21</v>
      </c>
      <c r="D546" s="115" t="s">
        <v>432</v>
      </c>
      <c r="E546" s="41"/>
      <c r="F546" s="70">
        <f>F525+F530+F535+F540+F545</f>
        <v>1858026.7200000002</v>
      </c>
      <c r="G546" s="70">
        <f t="shared" ref="G546:L546" si="41">G525+G530+G535+G540+G545</f>
        <v>854705.89</v>
      </c>
      <c r="H546" s="70">
        <f t="shared" si="41"/>
        <v>654831.20000000007</v>
      </c>
      <c r="I546" s="70">
        <f t="shared" si="41"/>
        <v>8412.89</v>
      </c>
      <c r="J546" s="70">
        <f t="shared" si="41"/>
        <v>0</v>
      </c>
      <c r="K546" s="70">
        <f t="shared" si="41"/>
        <v>3329.29</v>
      </c>
      <c r="L546" s="70">
        <f t="shared" si="41"/>
        <v>3379305.99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1150443.28</v>
      </c>
      <c r="G550" s="69">
        <f>L527</f>
        <v>367050.37</v>
      </c>
      <c r="H550" s="69">
        <f>L532</f>
        <v>133040.29999999999</v>
      </c>
      <c r="I550" s="69">
        <f>L537</f>
        <v>363.09</v>
      </c>
      <c r="J550" s="69">
        <f>L542</f>
        <v>72847.81</v>
      </c>
      <c r="K550" s="69">
        <f>SUM(F550:J550)</f>
        <v>1723744.85</v>
      </c>
      <c r="L550" s="23" t="s">
        <v>288</v>
      </c>
      <c r="M550" s="8"/>
      <c r="N550" s="164"/>
    </row>
    <row r="551" spans="1:14" s="3" customFormat="1" ht="12.2" customHeight="1" x14ac:dyDescent="0.15">
      <c r="A551" s="21" t="s">
        <v>634</v>
      </c>
      <c r="B551" s="22">
        <v>21</v>
      </c>
      <c r="C551" s="22">
        <v>23</v>
      </c>
      <c r="D551" s="2" t="s">
        <v>432</v>
      </c>
      <c r="E551" s="22"/>
      <c r="F551" s="69">
        <f>L523</f>
        <v>577152.71</v>
      </c>
      <c r="G551" s="69">
        <f>L528</f>
        <v>59953.18</v>
      </c>
      <c r="H551" s="69">
        <f>L533</f>
        <v>50868.36</v>
      </c>
      <c r="I551" s="69">
        <f>L538</f>
        <v>163.02000000000001</v>
      </c>
      <c r="J551" s="69">
        <f>L543</f>
        <v>15080.79</v>
      </c>
      <c r="K551" s="69">
        <f>SUM(F551:J551)</f>
        <v>703218.06</v>
      </c>
      <c r="L551" s="23" t="s">
        <v>288</v>
      </c>
      <c r="M551" s="8"/>
      <c r="N551" s="164"/>
    </row>
    <row r="552" spans="1:14" s="3" customFormat="1" ht="12.2" customHeight="1" thickBot="1" x14ac:dyDescent="0.2">
      <c r="A552" s="21" t="s">
        <v>635</v>
      </c>
      <c r="B552" s="22">
        <v>21</v>
      </c>
      <c r="C552" s="22">
        <v>24</v>
      </c>
      <c r="D552" s="2" t="s">
        <v>432</v>
      </c>
      <c r="E552" s="22"/>
      <c r="F552" s="69">
        <f>L524</f>
        <v>736015.46</v>
      </c>
      <c r="G552" s="69">
        <f>L529</f>
        <v>125965.61</v>
      </c>
      <c r="H552" s="69">
        <f>L534</f>
        <v>76954.679999999993</v>
      </c>
      <c r="I552" s="69">
        <f>L539</f>
        <v>2291.89</v>
      </c>
      <c r="J552" s="69">
        <f>L544</f>
        <v>11115.44</v>
      </c>
      <c r="K552" s="69">
        <f>SUM(F552:J552)</f>
        <v>952343.08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2463611.4500000002</v>
      </c>
      <c r="G553" s="70">
        <f t="shared" si="42"/>
        <v>552969.16</v>
      </c>
      <c r="H553" s="70">
        <f t="shared" si="42"/>
        <v>260863.33999999997</v>
      </c>
      <c r="I553" s="70">
        <f t="shared" si="42"/>
        <v>2818</v>
      </c>
      <c r="J553" s="70">
        <f t="shared" si="42"/>
        <v>99044.040000000008</v>
      </c>
      <c r="K553" s="70">
        <f t="shared" si="42"/>
        <v>3379305.99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80105.100000000006</v>
      </c>
      <c r="G563" s="18">
        <v>39008.230000000003</v>
      </c>
      <c r="H563" s="18"/>
      <c r="I563" s="18"/>
      <c r="J563" s="18"/>
      <c r="K563" s="18"/>
      <c r="L563" s="69">
        <f>SUM(F563:K563)</f>
        <v>119113.33000000002</v>
      </c>
      <c r="M563" s="8"/>
      <c r="N563" s="164"/>
    </row>
    <row r="564" spans="1:14" s="3" customFormat="1" ht="12.2" customHeight="1" x14ac:dyDescent="0.15">
      <c r="A564" s="21" t="s">
        <v>634</v>
      </c>
      <c r="B564" s="22">
        <v>22</v>
      </c>
      <c r="C564" s="22">
        <v>6</v>
      </c>
      <c r="D564" s="2" t="s">
        <v>432</v>
      </c>
      <c r="E564" s="22"/>
      <c r="F564" s="18">
        <v>31985.24</v>
      </c>
      <c r="G564" s="18">
        <v>18386.330000000002</v>
      </c>
      <c r="H564" s="18">
        <v>4000</v>
      </c>
      <c r="I564" s="18"/>
      <c r="J564" s="18"/>
      <c r="K564" s="18"/>
      <c r="L564" s="69">
        <f>SUM(F564:K564)</f>
        <v>54371.570000000007</v>
      </c>
      <c r="M564" s="8"/>
      <c r="N564" s="164"/>
    </row>
    <row r="565" spans="1:14" s="3" customFormat="1" ht="12.2" customHeight="1" thickBot="1" x14ac:dyDescent="0.2">
      <c r="A565" s="21" t="s">
        <v>635</v>
      </c>
      <c r="B565" s="22">
        <v>22</v>
      </c>
      <c r="C565" s="22">
        <v>7</v>
      </c>
      <c r="D565" s="2" t="s">
        <v>432</v>
      </c>
      <c r="E565" s="22"/>
      <c r="F565" s="18">
        <v>44855.68</v>
      </c>
      <c r="G565" s="18">
        <v>25404.94</v>
      </c>
      <c r="H565" s="18"/>
      <c r="I565" s="18"/>
      <c r="J565" s="18"/>
      <c r="K565" s="18"/>
      <c r="L565" s="69">
        <f>SUM(F565:K565)</f>
        <v>70260.62</v>
      </c>
      <c r="M565" s="8"/>
      <c r="N565" s="164"/>
    </row>
    <row r="566" spans="1:14" s="3" customFormat="1" ht="12.2" customHeight="1" thickTop="1" x14ac:dyDescent="0.15">
      <c r="A566" s="97" t="s">
        <v>65</v>
      </c>
      <c r="B566" s="41">
        <v>22</v>
      </c>
      <c r="C566" s="41">
        <v>8</v>
      </c>
      <c r="D566" s="115" t="s">
        <v>432</v>
      </c>
      <c r="E566" s="41"/>
      <c r="F566" s="70">
        <f t="shared" ref="F566:L566" si="44">SUM(F563:F565)</f>
        <v>156946.02000000002</v>
      </c>
      <c r="G566" s="70">
        <f t="shared" si="44"/>
        <v>82799.5</v>
      </c>
      <c r="H566" s="70">
        <f t="shared" si="44"/>
        <v>4000</v>
      </c>
      <c r="I566" s="70">
        <f t="shared" si="44"/>
        <v>0</v>
      </c>
      <c r="J566" s="70">
        <f t="shared" si="44"/>
        <v>0</v>
      </c>
      <c r="K566" s="70">
        <f t="shared" si="44"/>
        <v>0</v>
      </c>
      <c r="L566" s="70">
        <f t="shared" si="44"/>
        <v>243745.52000000002</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156946.02000000002</v>
      </c>
      <c r="G572" s="70">
        <f t="shared" ref="G572:L572" si="46">G561+G566+G571</f>
        <v>82799.5</v>
      </c>
      <c r="H572" s="70">
        <f t="shared" si="46"/>
        <v>4000</v>
      </c>
      <c r="I572" s="70">
        <f t="shared" si="46"/>
        <v>0</v>
      </c>
      <c r="J572" s="70">
        <f t="shared" si="46"/>
        <v>0</v>
      </c>
      <c r="K572" s="70">
        <f t="shared" si="46"/>
        <v>0</v>
      </c>
      <c r="L572" s="70">
        <f t="shared" si="46"/>
        <v>243745.52000000002</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41247.69</v>
      </c>
      <c r="I583" s="69">
        <f t="shared" si="47"/>
        <v>41247.69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21893.52</v>
      </c>
      <c r="I585" s="69">
        <f t="shared" si="47"/>
        <v>21893.52</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63141.210000000006</v>
      </c>
      <c r="I589" s="79">
        <f t="shared" si="48"/>
        <v>63141.210000000006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296993.14</v>
      </c>
      <c r="I592" s="18">
        <v>120797.95</v>
      </c>
      <c r="J592" s="18">
        <v>298325.53999999998</v>
      </c>
      <c r="K592" s="80">
        <f t="shared" ref="K592:K598" si="49">SUM(H592:J592)</f>
        <v>716116.63</v>
      </c>
      <c r="L592" s="23" t="s">
        <v>288</v>
      </c>
      <c r="M592" s="8"/>
      <c r="N592" s="164"/>
    </row>
    <row r="593" spans="1:14" s="3" customFormat="1" ht="12.2" customHeight="1" x14ac:dyDescent="0.15">
      <c r="A593" s="3" t="s">
        <v>638</v>
      </c>
      <c r="B593" s="22">
        <v>23</v>
      </c>
      <c r="C593" s="22">
        <v>2</v>
      </c>
      <c r="D593" s="2" t="s">
        <v>432</v>
      </c>
      <c r="E593" s="22"/>
      <c r="F593" s="78">
        <v>2722</v>
      </c>
      <c r="G593" s="79" t="s">
        <v>97</v>
      </c>
      <c r="H593" s="18">
        <v>72847.81</v>
      </c>
      <c r="I593" s="18">
        <v>15080.79</v>
      </c>
      <c r="J593" s="18">
        <v>11115.44</v>
      </c>
      <c r="K593" s="80">
        <f t="shared" si="49"/>
        <v>99044.040000000008</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89847</v>
      </c>
      <c r="K594" s="80">
        <f t="shared" si="49"/>
        <v>89847</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18243.86</v>
      </c>
      <c r="J595" s="18">
        <v>49814.37</v>
      </c>
      <c r="K595" s="80">
        <f t="shared" si="49"/>
        <v>68058.23000000001</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18269.34</v>
      </c>
      <c r="I596" s="18">
        <v>7306.13</v>
      </c>
      <c r="J596" s="18">
        <v>8328.49</v>
      </c>
      <c r="K596" s="80">
        <f t="shared" si="49"/>
        <v>33903.96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388110.29000000004</v>
      </c>
      <c r="I599" s="81">
        <f>SUM(I592:I598)</f>
        <v>161428.72999999998</v>
      </c>
      <c r="J599" s="81">
        <f>SUM(J592:J598)</f>
        <v>457430.83999999997</v>
      </c>
      <c r="K599" s="81">
        <f>SUM(K592:K598)</f>
        <v>1006969.86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111398.81</v>
      </c>
      <c r="I605" s="18">
        <v>98830.52</v>
      </c>
      <c r="J605" s="18">
        <v>114461.32</v>
      </c>
      <c r="K605" s="80">
        <f>SUM(H605:J605)</f>
        <v>324690.65000000002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111398.81</v>
      </c>
      <c r="I606" s="81">
        <f>SUM(I603:I605)</f>
        <v>98830.52</v>
      </c>
      <c r="J606" s="81">
        <f>SUM(J603:J605)</f>
        <v>114461.32</v>
      </c>
      <c r="K606" s="81">
        <f>SUM(K603:K605)</f>
        <v>324690.65000000002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78847.759999999995</v>
      </c>
      <c r="G612" s="18"/>
      <c r="H612" s="18"/>
      <c r="I612" s="18"/>
      <c r="J612" s="18"/>
      <c r="K612" s="18"/>
      <c r="L612" s="69">
        <f>SUM(F612:K612)</f>
        <v>78847.759999999995</v>
      </c>
      <c r="M612" s="8"/>
      <c r="N612" s="164"/>
    </row>
    <row r="613" spans="1:14" s="3" customFormat="1" ht="12.2" customHeight="1" x14ac:dyDescent="0.15">
      <c r="A613" s="21" t="s">
        <v>634</v>
      </c>
      <c r="B613" s="22">
        <v>23</v>
      </c>
      <c r="C613" s="22">
        <v>14</v>
      </c>
      <c r="D613" s="2" t="s">
        <v>432</v>
      </c>
      <c r="E613" s="22"/>
      <c r="F613" s="18">
        <v>1042.2</v>
      </c>
      <c r="G613" s="18"/>
      <c r="H613" s="18"/>
      <c r="I613" s="18"/>
      <c r="J613" s="18"/>
      <c r="K613" s="18"/>
      <c r="L613" s="69">
        <f>SUM(F613:K613)</f>
        <v>1042.2</v>
      </c>
      <c r="M613" s="8"/>
      <c r="N613" s="164"/>
    </row>
    <row r="614" spans="1:14" s="3" customFormat="1" ht="12.2" customHeight="1" thickBot="1" x14ac:dyDescent="0.2">
      <c r="A614" s="21" t="s">
        <v>645</v>
      </c>
      <c r="B614" s="22">
        <v>23</v>
      </c>
      <c r="C614" s="22">
        <v>15</v>
      </c>
      <c r="D614" s="2" t="s">
        <v>432</v>
      </c>
      <c r="E614" s="22"/>
      <c r="F614" s="18">
        <v>14687.77</v>
      </c>
      <c r="G614" s="18"/>
      <c r="H614" s="18"/>
      <c r="I614" s="18"/>
      <c r="J614" s="18"/>
      <c r="K614" s="18"/>
      <c r="L614" s="69">
        <f>SUM(F614:K614)</f>
        <v>14687.77</v>
      </c>
      <c r="M614" s="8"/>
      <c r="N614" s="164"/>
    </row>
    <row r="615" spans="1:14" s="3" customFormat="1" ht="12.2" customHeight="1" thickTop="1" x14ac:dyDescent="0.15">
      <c r="A615" s="75" t="s">
        <v>340</v>
      </c>
      <c r="B615" s="41">
        <v>23</v>
      </c>
      <c r="C615" s="41">
        <v>16</v>
      </c>
      <c r="D615" s="36" t="s">
        <v>432</v>
      </c>
      <c r="E615" s="41"/>
      <c r="F615" s="81">
        <f t="shared" ref="F615:L615" si="50">SUM(F612:F614)</f>
        <v>94577.73</v>
      </c>
      <c r="G615" s="81">
        <f t="shared" si="50"/>
        <v>0</v>
      </c>
      <c r="H615" s="81">
        <f t="shared" si="50"/>
        <v>0</v>
      </c>
      <c r="I615" s="81">
        <f t="shared" si="50"/>
        <v>0</v>
      </c>
      <c r="J615" s="81">
        <f t="shared" si="50"/>
        <v>0</v>
      </c>
      <c r="K615" s="81">
        <f t="shared" si="50"/>
        <v>0</v>
      </c>
      <c r="L615" s="70">
        <f t="shared" si="50"/>
        <v>94577.73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1345892.41</v>
      </c>
      <c r="H618" s="80">
        <f>SUM(F52)</f>
        <v>1345892.4100000001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22069.85</v>
      </c>
      <c r="H619" s="80">
        <f>SUM(G52)</f>
        <v>22069.85</v>
      </c>
      <c r="I619" s="87" t="s">
        <v>872</v>
      </c>
      <c r="J619" s="80">
        <f>G619-H619</f>
        <v>0</v>
      </c>
      <c r="K619" s="80"/>
      <c r="L619" s="80"/>
      <c r="M619" s="8"/>
    </row>
    <row r="620" spans="1:14" s="3" customFormat="1" ht="12.2" customHeight="1" x14ac:dyDescent="0.15">
      <c r="A620" s="74"/>
      <c r="B620" s="22"/>
      <c r="C620" s="22"/>
      <c r="D620" s="22"/>
      <c r="E620" s="22"/>
      <c r="F620" s="87" t="s">
        <v>685</v>
      </c>
      <c r="G620" s="80">
        <f>SUM(H19)</f>
        <v>23083.56</v>
      </c>
      <c r="H620" s="80">
        <f>SUM(H52)</f>
        <v>23083.56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1544595.11</v>
      </c>
      <c r="H622" s="80">
        <f>SUM(J52)</f>
        <v>1544595.11</v>
      </c>
      <c r="I622" s="87" t="s">
        <v>875</v>
      </c>
      <c r="J622" s="80">
        <f>G622-H622</f>
        <v>0</v>
      </c>
      <c r="K622" s="80"/>
      <c r="L622" s="80"/>
      <c r="M622" s="8"/>
    </row>
    <row r="623" spans="1:14" s="3" customFormat="1" ht="12.2" customHeight="1" x14ac:dyDescent="0.15">
      <c r="A623" s="74"/>
      <c r="B623" s="22"/>
      <c r="C623" s="22"/>
      <c r="D623" s="22"/>
      <c r="E623" s="22"/>
      <c r="F623" s="87" t="s">
        <v>861</v>
      </c>
      <c r="G623" s="80">
        <f>F51</f>
        <v>1345892.4100000001</v>
      </c>
      <c r="H623" s="80">
        <f>F477</f>
        <v>1345892.4100000001</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22069.85</v>
      </c>
      <c r="H624" s="80">
        <f>G477</f>
        <v>22069.849999999977</v>
      </c>
      <c r="I624" s="87" t="s">
        <v>102</v>
      </c>
      <c r="J624" s="80">
        <f t="shared" si="51"/>
        <v>0</v>
      </c>
      <c r="K624" s="80"/>
      <c r="L624" s="80"/>
      <c r="M624" s="8"/>
    </row>
    <row r="625" spans="1:13" s="3" customFormat="1" ht="12.2" customHeight="1" x14ac:dyDescent="0.15">
      <c r="A625" s="74"/>
      <c r="B625" s="22"/>
      <c r="C625" s="22"/>
      <c r="D625" s="22"/>
      <c r="E625" s="22"/>
      <c r="F625" s="86" t="s">
        <v>863</v>
      </c>
      <c r="G625" s="80">
        <f>H51</f>
        <v>23083.56</v>
      </c>
      <c r="H625" s="80">
        <f>H477</f>
        <v>23083.559999999939</v>
      </c>
      <c r="I625" s="87" t="s">
        <v>103</v>
      </c>
      <c r="J625" s="80">
        <f t="shared" si="51"/>
        <v>6.184563972055912E-11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1544595.11</v>
      </c>
      <c r="H627" s="80">
        <f>J477</f>
        <v>1544595.11</v>
      </c>
      <c r="I627" s="87" t="s">
        <v>105</v>
      </c>
      <c r="J627" s="80">
        <f t="shared" si="51"/>
        <v>0</v>
      </c>
      <c r="K627" s="67"/>
      <c r="L627" s="69"/>
      <c r="M627" s="8"/>
    </row>
    <row r="628" spans="1:13" s="3" customFormat="1" ht="12.2" customHeight="1" x14ac:dyDescent="0.15">
      <c r="A628" s="21"/>
      <c r="B628" s="22"/>
      <c r="C628" s="22"/>
      <c r="D628" s="22"/>
      <c r="E628" s="22"/>
      <c r="F628" s="86" t="s">
        <v>658</v>
      </c>
      <c r="G628" s="80">
        <f>F194</f>
        <v>16905521.16</v>
      </c>
      <c r="H628" s="80">
        <f>SUM(F469)</f>
        <v>16905521.16</v>
      </c>
      <c r="I628" s="87" t="s">
        <v>106</v>
      </c>
      <c r="J628" s="80">
        <f>G628-H628</f>
        <v>0</v>
      </c>
      <c r="K628" s="67"/>
      <c r="L628" s="69"/>
      <c r="M628" s="8"/>
    </row>
    <row r="629" spans="1:13" s="3" customFormat="1" ht="12.2" customHeight="1" x14ac:dyDescent="0.15">
      <c r="A629" s="21"/>
      <c r="B629" s="22"/>
      <c r="C629" s="22"/>
      <c r="D629" s="22"/>
      <c r="E629" s="22"/>
      <c r="F629" s="86" t="s">
        <v>659</v>
      </c>
      <c r="G629" s="80">
        <f>G194</f>
        <v>277174.75</v>
      </c>
      <c r="H629" s="80">
        <f>SUM(G469)</f>
        <v>277174.75</v>
      </c>
      <c r="I629" s="87" t="s">
        <v>107</v>
      </c>
      <c r="J629" s="80">
        <f>G629-H629</f>
        <v>0</v>
      </c>
      <c r="K629" s="67"/>
      <c r="L629" s="69"/>
      <c r="M629" s="8"/>
    </row>
    <row r="630" spans="1:13" s="3" customFormat="1" ht="12.2" customHeight="1" x14ac:dyDescent="0.15">
      <c r="A630" s="21"/>
      <c r="B630" s="22"/>
      <c r="C630" s="22"/>
      <c r="D630" s="22"/>
      <c r="E630" s="22"/>
      <c r="F630" s="86" t="s">
        <v>660</v>
      </c>
      <c r="G630" s="80">
        <f>H194</f>
        <v>649212.97</v>
      </c>
      <c r="H630" s="80">
        <f>SUM(H469)</f>
        <v>649212.97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1794037.87</v>
      </c>
      <c r="H632" s="80">
        <f>SUM(J469)</f>
        <v>1794037.87</v>
      </c>
      <c r="I632" s="87" t="s">
        <v>110</v>
      </c>
      <c r="J632" s="80">
        <f>G632-H632</f>
        <v>0</v>
      </c>
      <c r="K632" s="67"/>
      <c r="L632" s="69"/>
      <c r="M632" s="8"/>
    </row>
    <row r="633" spans="1:13" s="3" customFormat="1" ht="12.2" customHeight="1" x14ac:dyDescent="0.15">
      <c r="A633" s="21"/>
      <c r="B633" s="22"/>
      <c r="C633" s="22"/>
      <c r="D633" s="22"/>
      <c r="E633" s="22"/>
      <c r="F633" s="86" t="s">
        <v>394</v>
      </c>
      <c r="G633" s="80">
        <f>SUM(L272)</f>
        <v>16859018.939999998</v>
      </c>
      <c r="H633" s="80">
        <f>SUM(F473)</f>
        <v>16859018.940000001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656008.27</v>
      </c>
      <c r="H634" s="80">
        <f>SUM(H473)</f>
        <v>656008.27</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279100.89</v>
      </c>
      <c r="H636" s="80">
        <f>SUM(G473)</f>
        <v>279100.89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1794037.8700000003</v>
      </c>
      <c r="H638" s="108">
        <f>SUM(J469)</f>
        <v>1794037.87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1794989.74</v>
      </c>
      <c r="H639" s="108">
        <f>SUM(J473)</f>
        <v>1794989.74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1544595.11</v>
      </c>
      <c r="H641" s="80">
        <f>SUM(G462)</f>
        <v>1544595.11</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1544595.11</v>
      </c>
      <c r="H643" s="80">
        <f>SUM(I462)</f>
        <v>1544595.11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93280.51</v>
      </c>
      <c r="H645" s="80">
        <f>H409</f>
        <v>93280.510000000009</v>
      </c>
      <c r="I645" s="87" t="s">
        <v>480</v>
      </c>
      <c r="J645" s="80">
        <f t="shared" si="51"/>
        <v>0</v>
      </c>
      <c r="K645" s="67"/>
      <c r="L645" s="69"/>
      <c r="M645" s="8"/>
    </row>
    <row r="646" spans="1:13" s="3" customFormat="1" ht="12.2" customHeight="1" x14ac:dyDescent="0.15">
      <c r="A646" s="21"/>
      <c r="B646" s="22"/>
      <c r="C646" s="22"/>
      <c r="D646" s="22"/>
      <c r="E646" s="22"/>
      <c r="F646" s="86" t="s">
        <v>664</v>
      </c>
      <c r="G646" s="80">
        <f>J184</f>
        <v>100000</v>
      </c>
      <c r="H646" s="80">
        <f>G409</f>
        <v>100000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1794037.87</v>
      </c>
      <c r="H647" s="80">
        <f>L409</f>
        <v>1794037.8700000003</v>
      </c>
      <c r="I647" s="87" t="s">
        <v>477</v>
      </c>
      <c r="J647" s="80">
        <f t="shared" si="51"/>
        <v>0</v>
      </c>
      <c r="K647" s="67"/>
      <c r="L647" s="69"/>
      <c r="M647" s="8"/>
    </row>
    <row r="648" spans="1:13" s="3" customFormat="1" ht="12.2" customHeight="1" x14ac:dyDescent="0.15">
      <c r="A648" s="21"/>
      <c r="B648" s="22"/>
      <c r="C648" s="22"/>
      <c r="D648" s="22"/>
      <c r="E648" s="22"/>
      <c r="F648" s="86" t="s">
        <v>51</v>
      </c>
      <c r="G648" s="80">
        <f>K599</f>
        <v>1006969.86</v>
      </c>
      <c r="H648" s="80">
        <f>L209+L227+L245</f>
        <v>1006969.8600000001</v>
      </c>
      <c r="I648" s="87" t="s">
        <v>396</v>
      </c>
      <c r="J648" s="80">
        <f t="shared" si="51"/>
        <v>0</v>
      </c>
      <c r="K648" s="67"/>
      <c r="L648" s="69"/>
      <c r="M648" s="8"/>
    </row>
    <row r="649" spans="1:13" s="3" customFormat="1" ht="12.2" customHeight="1" x14ac:dyDescent="0.15">
      <c r="A649" s="21"/>
      <c r="B649" s="22"/>
      <c r="C649" s="22"/>
      <c r="D649" s="22"/>
      <c r="E649" s="22"/>
      <c r="F649" s="86" t="s">
        <v>52</v>
      </c>
      <c r="G649" s="80">
        <f>K606</f>
        <v>324690.65000000002</v>
      </c>
      <c r="H649" s="80">
        <f>(J258+J339)-(J256+J337)</f>
        <v>324690.65000000002</v>
      </c>
      <c r="I649" s="87" t="s">
        <v>699</v>
      </c>
      <c r="J649" s="80">
        <f t="shared" si="51"/>
        <v>0</v>
      </c>
      <c r="K649" s="67"/>
      <c r="L649" s="69"/>
      <c r="M649" s="8"/>
    </row>
    <row r="650" spans="1:13" s="3" customFormat="1" ht="12.2" customHeight="1" x14ac:dyDescent="0.15">
      <c r="A650" s="21"/>
      <c r="B650" s="22"/>
      <c r="C650" s="22"/>
      <c r="D650" s="22"/>
      <c r="E650" s="22"/>
      <c r="F650" s="86" t="s">
        <v>387</v>
      </c>
      <c r="G650" s="80">
        <f>L209</f>
        <v>388110.29000000004</v>
      </c>
      <c r="H650" s="80">
        <f>H599</f>
        <v>388110.29000000004</v>
      </c>
      <c r="I650" s="87" t="s">
        <v>388</v>
      </c>
      <c r="J650" s="80">
        <f t="shared" si="51"/>
        <v>0</v>
      </c>
      <c r="K650" s="67"/>
      <c r="L650" s="69"/>
      <c r="M650" s="8"/>
    </row>
    <row r="651" spans="1:13" s="3" customFormat="1" ht="12.2" customHeight="1" x14ac:dyDescent="0.15">
      <c r="A651" s="21"/>
      <c r="B651" s="22"/>
      <c r="C651" s="22"/>
      <c r="D651" s="22"/>
      <c r="E651" s="22"/>
      <c r="F651" s="86" t="s">
        <v>392</v>
      </c>
      <c r="G651" s="80">
        <f>L227</f>
        <v>161428.73000000001</v>
      </c>
      <c r="H651" s="80">
        <f>I599</f>
        <v>161428.72999999998</v>
      </c>
      <c r="I651" s="87" t="s">
        <v>389</v>
      </c>
      <c r="J651" s="80">
        <f t="shared" si="51"/>
        <v>0</v>
      </c>
      <c r="K651" s="67"/>
      <c r="L651" s="69"/>
      <c r="M651" s="8"/>
    </row>
    <row r="652" spans="1:13" s="3" customFormat="1" ht="12.2" customHeight="1" x14ac:dyDescent="0.15">
      <c r="A652" s="21"/>
      <c r="B652" s="22"/>
      <c r="C652" s="22"/>
      <c r="D652" s="22"/>
      <c r="E652" s="22"/>
      <c r="F652" s="86" t="s">
        <v>393</v>
      </c>
      <c r="G652" s="80">
        <f>L245</f>
        <v>457430.84</v>
      </c>
      <c r="H652" s="80">
        <f>J599</f>
        <v>457430.83999999997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100000</v>
      </c>
      <c r="H656" s="80">
        <f>K267+K348</f>
        <v>100000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7710480.4000000004</v>
      </c>
      <c r="G661" s="13">
        <f>(L230+L310+L360)</f>
        <v>4137814.3699999996</v>
      </c>
      <c r="H661" s="13">
        <f>(L248+L329+L361)</f>
        <v>5798497.9699999988</v>
      </c>
      <c r="I661" s="13">
        <f>SUM(F661:H661)</f>
        <v>17646792.739999998</v>
      </c>
      <c r="J661" s="13"/>
      <c r="K661" s="13"/>
      <c r="L661" s="13"/>
      <c r="M661" s="9"/>
    </row>
    <row r="662" spans="1:13" s="3" customFormat="1" ht="12.2" customHeight="1" x14ac:dyDescent="0.2">
      <c r="A662" s="1" t="s">
        <v>127</v>
      </c>
      <c r="F662" s="13">
        <f>(L359/IF(SUM(L359:L361)=0,1,SUM(L359:L361))*(SUM(G97:G110)))</f>
        <v>84026.085576329759</v>
      </c>
      <c r="G662" s="13">
        <f>(L360/IF(SUM(L359:L361)=0,1,SUM(L359:L361))*(SUM(G97:G110)))</f>
        <v>37891.890802252907</v>
      </c>
      <c r="H662" s="13">
        <f>(L361/IF(SUM(L359:L361)=0,1,SUM(L359:L361))*(SUM(G97:G110)))</f>
        <v>49797.493621417336</v>
      </c>
      <c r="I662" s="13">
        <f>SUM(F662:H662)</f>
        <v>171715.47</v>
      </c>
      <c r="J662"/>
      <c r="K662" s="13"/>
      <c r="L662" s="13"/>
      <c r="M662" s="8"/>
    </row>
    <row r="663" spans="1:13" s="3" customFormat="1" ht="12.2" customHeight="1" x14ac:dyDescent="0.2">
      <c r="A663" s="1" t="s">
        <v>128</v>
      </c>
      <c r="F663" s="13">
        <f>(L209+L288)-(J209+J288)</f>
        <v>391540.41000000003</v>
      </c>
      <c r="G663" s="13">
        <f>(L227+L307)-(J227+J307)</f>
        <v>161428.73000000001</v>
      </c>
      <c r="H663" s="13">
        <f>(L245+L326)-(J245+J326)</f>
        <v>457430.84</v>
      </c>
      <c r="I663" s="13">
        <f>SUM(F663:H663)</f>
        <v>1010399.98</v>
      </c>
      <c r="J663"/>
      <c r="K663" s="13"/>
      <c r="L663" s="13"/>
      <c r="M663" s="9"/>
    </row>
    <row r="664" spans="1:13" s="3" customFormat="1" ht="12.2" customHeight="1" x14ac:dyDescent="0.15">
      <c r="A664" s="141" t="s">
        <v>129</v>
      </c>
      <c r="B664" s="124"/>
      <c r="C664" s="124"/>
      <c r="D664" s="124"/>
      <c r="E664" s="124"/>
      <c r="F664" s="142">
        <f>SUM(F576:F588)+SUM(H603:H605)+SUM(L612)</f>
        <v>190246.57</v>
      </c>
      <c r="G664" s="142">
        <f>SUM(G576:G588)+SUM(I603:I605)+L613</f>
        <v>99872.72</v>
      </c>
      <c r="H664" s="142">
        <f>SUM(H576:H588)+SUM(J603:J605)+L614</f>
        <v>192290.30000000002</v>
      </c>
      <c r="I664" s="13">
        <f>SUM(F664:H664)</f>
        <v>482409.59000000008</v>
      </c>
      <c r="J664" s="13"/>
      <c r="K664" s="13"/>
      <c r="L664" s="13"/>
      <c r="M664" s="9"/>
    </row>
    <row r="665" spans="1:13" s="3" customFormat="1" ht="12.2" customHeight="1" x14ac:dyDescent="0.15">
      <c r="A665" s="1" t="s">
        <v>130</v>
      </c>
      <c r="F665" s="13">
        <f>F661-SUM(F662:F664)</f>
        <v>7044667.3344236705</v>
      </c>
      <c r="G665" s="13">
        <f>G661-SUM(G662:G664)</f>
        <v>3838621.0291977469</v>
      </c>
      <c r="H665" s="13">
        <f>H661-SUM(H662:H664)</f>
        <v>5098979.3363785818</v>
      </c>
      <c r="I665" s="13">
        <f>I661-SUM(I662:I664)</f>
        <v>15982267.699999999</v>
      </c>
      <c r="J665" s="13"/>
      <c r="K665" s="13"/>
      <c r="L665" s="13"/>
      <c r="M665" s="8"/>
    </row>
    <row r="666" spans="1:13" s="3" customFormat="1" ht="12.2" customHeight="1" x14ac:dyDescent="0.2">
      <c r="A666" s="1" t="s">
        <v>131</v>
      </c>
      <c r="F666" s="182">
        <v>220.48</v>
      </c>
      <c r="G666" s="183">
        <v>91.14</v>
      </c>
      <c r="H666" s="183">
        <v>139.68</v>
      </c>
      <c r="I666" s="13">
        <f>SUM(F666:H666)</f>
        <v>451.3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31951.5</v>
      </c>
      <c r="G668" s="13">
        <f>ROUND(G665/G666,2)</f>
        <v>42117.85</v>
      </c>
      <c r="H668" s="13">
        <f>ROUND(H665/H666,2)</f>
        <v>36504.720000000001</v>
      </c>
      <c r="I668" s="13">
        <f>ROUND(I665/I666,2)</f>
        <v>35413.839999999997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-3.17</v>
      </c>
      <c r="I671" s="13">
        <f>SUM(F671:H671)</f>
        <v>-3.17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31951.5</v>
      </c>
      <c r="G673" s="13">
        <f>ROUND((G665+G670)/(G666+G671),2)</f>
        <v>42117.85</v>
      </c>
      <c r="H673" s="13">
        <f>ROUND((H665+H670)/(H666+H671),2)</f>
        <v>37352.42</v>
      </c>
      <c r="I673" s="13">
        <f>ROUND((I665+I670)/(I666+I671),2)</f>
        <v>35664.36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C1" zoomScaleNormal="100" workbookViewId="0">
      <selection activeCell="H21" sqref="H21"/>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56623.92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33002.019999999997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13896.5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9725.4</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Moultonborough</v>
      </c>
      <c r="C5" s="321"/>
      <c r="D5" s="321"/>
      <c r="E5" s="321"/>
      <c r="F5" s="321"/>
    </row>
    <row r="8" spans="1:9" ht="18" x14ac:dyDescent="0.25">
      <c r="A8" s="239" t="s">
        <v>1548</v>
      </c>
      <c r="F8" s="246" t="s">
        <v>1566</v>
      </c>
    </row>
    <row r="9" spans="1:9" ht="15" x14ac:dyDescent="0.2">
      <c r="A9" s="237" t="s">
        <v>1549</v>
      </c>
      <c r="B9" s="240">
        <f>'DOE25'!G97</f>
        <v>171715.47</v>
      </c>
      <c r="F9" s="237" t="s">
        <v>1562</v>
      </c>
    </row>
    <row r="10" spans="1:9" ht="15" x14ac:dyDescent="0.2">
      <c r="A10" s="237" t="s">
        <v>1550</v>
      </c>
      <c r="B10" s="240">
        <f>'DOE25'!G112-'DOE25'!G97</f>
        <v>0</v>
      </c>
      <c r="F10" s="237" t="s">
        <v>1563</v>
      </c>
    </row>
    <row r="11" spans="1:9" ht="15" x14ac:dyDescent="0.2">
      <c r="A11" s="237" t="s">
        <v>1551</v>
      </c>
      <c r="B11" s="240">
        <f>'DOE25'!G140</f>
        <v>3570.76</v>
      </c>
      <c r="F11" s="237" t="s">
        <v>1564</v>
      </c>
    </row>
    <row r="12" spans="1:9" ht="15" x14ac:dyDescent="0.2">
      <c r="A12" s="237" t="s">
        <v>1552</v>
      </c>
      <c r="B12" s="240">
        <f>'DOE25'!G170</f>
        <v>101888.52</v>
      </c>
      <c r="F12" s="237" t="s">
        <v>1565</v>
      </c>
    </row>
    <row r="13" spans="1:9" ht="15" x14ac:dyDescent="0.2">
      <c r="A13" s="237" t="s">
        <v>1553</v>
      </c>
      <c r="B13" s="240">
        <f>'DOE25'!G193-'DOE25'!G180</f>
        <v>0</v>
      </c>
      <c r="F13" s="237" t="s">
        <v>1575</v>
      </c>
    </row>
    <row r="14" spans="1:9" ht="18" x14ac:dyDescent="0.25">
      <c r="A14" s="239" t="s">
        <v>732</v>
      </c>
      <c r="B14" s="241">
        <f>SUM(B9:B13)</f>
        <v>277174.75</v>
      </c>
    </row>
    <row r="16" spans="1:9" ht="18" x14ac:dyDescent="0.25">
      <c r="A16" s="239" t="s">
        <v>783</v>
      </c>
      <c r="F16" s="246" t="s">
        <v>1567</v>
      </c>
    </row>
    <row r="17" spans="1:6" ht="15" x14ac:dyDescent="0.2">
      <c r="A17" s="237" t="s">
        <v>1554</v>
      </c>
      <c r="B17" s="240">
        <f>'DOE25'!L363-'DOE25'!L362</f>
        <v>279100.89</v>
      </c>
      <c r="F17" s="237" t="s">
        <v>1568</v>
      </c>
    </row>
    <row r="18" spans="1:6" ht="15" x14ac:dyDescent="0.2">
      <c r="A18" s="237" t="s">
        <v>1555</v>
      </c>
      <c r="B18" s="250">
        <v>-20535.150000000001</v>
      </c>
      <c r="F18" s="246" t="s">
        <v>1592</v>
      </c>
    </row>
    <row r="19" spans="1:6" ht="18" x14ac:dyDescent="0.25">
      <c r="A19" s="239" t="s">
        <v>725</v>
      </c>
      <c r="B19" s="241">
        <f>SUM(B17:B18)</f>
        <v>258565.74000000002</v>
      </c>
    </row>
    <row r="21" spans="1:6" ht="18.75" thickBot="1" x14ac:dyDescent="0.3">
      <c r="A21" s="239" t="s">
        <v>1556</v>
      </c>
    </row>
    <row r="22" spans="1:6" ht="18.75" thickTop="1" x14ac:dyDescent="0.25">
      <c r="A22" s="239" t="s">
        <v>1557</v>
      </c>
      <c r="B22" s="245">
        <f>B14-B19</f>
        <v>18609.00999999998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23995.99</v>
      </c>
      <c r="F31" s="237" t="s">
        <v>1572</v>
      </c>
    </row>
    <row r="33" spans="1:6" ht="15" x14ac:dyDescent="0.2">
      <c r="A33" s="237" t="s">
        <v>1790</v>
      </c>
      <c r="B33" s="240">
        <f>'DOE25'!G477</f>
        <v>22069.849999999977</v>
      </c>
      <c r="F33" s="237" t="s">
        <v>1573</v>
      </c>
    </row>
    <row r="36" spans="1:6" ht="15" x14ac:dyDescent="0.2">
      <c r="A36" s="237" t="s">
        <v>1559</v>
      </c>
      <c r="B36" s="251">
        <v>15518.28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F21" sqref="F2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Moultonborough</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3645031.96</v>
      </c>
      <c r="C9" s="166">
        <f>'DOE25'!G198+'DOE25'!G216+'DOE25'!G234+'DOE25'!G277+'DOE25'!G296+'DOE25'!G315</f>
        <v>2297564.13</v>
      </c>
    </row>
    <row r="10" spans="1:3" x14ac:dyDescent="0.2">
      <c r="A10" t="s">
        <v>772</v>
      </c>
      <c r="B10" s="176">
        <v>3465525.36</v>
      </c>
      <c r="C10" s="176">
        <v>2256193.7000000002</v>
      </c>
    </row>
    <row r="11" spans="1:3" x14ac:dyDescent="0.2">
      <c r="A11" t="s">
        <v>773</v>
      </c>
      <c r="B11" s="176">
        <v>179506.6</v>
      </c>
      <c r="C11" s="176">
        <v>41370.43</v>
      </c>
    </row>
    <row r="12" spans="1:3" x14ac:dyDescent="0.2">
      <c r="A12" t="s">
        <v>774</v>
      </c>
      <c r="B12" s="176"/>
      <c r="C12" s="176"/>
    </row>
    <row r="13" spans="1:3" x14ac:dyDescent="0.2">
      <c r="A13" t="str">
        <f>IF(B9=B13,IF(C9=C13,"Check Total OK","Check Total Error"),"Check Total Error")</f>
        <v>Check Total OK</v>
      </c>
      <c r="B13" s="168">
        <f>SUM(B10:B12)</f>
        <v>3645031.96</v>
      </c>
      <c r="C13" s="168">
        <f>SUM(C10:C12)</f>
        <v>2297564.1300000004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1734106.8100000003</v>
      </c>
      <c r="C18" s="166">
        <f>'DOE25'!G199+'DOE25'!G217+'DOE25'!G235+'DOE25'!G278+'DOE25'!G297+'DOE25'!G316</f>
        <v>897304.64000000013</v>
      </c>
    </row>
    <row r="19" spans="1:3" x14ac:dyDescent="0.2">
      <c r="A19" t="s">
        <v>772</v>
      </c>
      <c r="B19" s="176">
        <v>913011.78</v>
      </c>
      <c r="C19" s="176">
        <v>663263.78</v>
      </c>
    </row>
    <row r="20" spans="1:3" x14ac:dyDescent="0.2">
      <c r="A20" t="s">
        <v>773</v>
      </c>
      <c r="B20" s="176">
        <v>755469.08</v>
      </c>
      <c r="C20" s="176">
        <v>207893.7</v>
      </c>
    </row>
    <row r="21" spans="1:3" x14ac:dyDescent="0.2">
      <c r="A21" t="s">
        <v>774</v>
      </c>
      <c r="B21" s="176">
        <v>65625.95</v>
      </c>
      <c r="C21" s="176">
        <v>26147.16</v>
      </c>
    </row>
    <row r="22" spans="1:3" x14ac:dyDescent="0.2">
      <c r="A22" t="str">
        <f>IF(B18=B22,IF(C18=C22,"Check Total OK","Check Total Error"),"Check Total Error")</f>
        <v>Check Total OK</v>
      </c>
      <c r="B22" s="168">
        <f>SUM(B19:B21)</f>
        <v>1734106.8099999998</v>
      </c>
      <c r="C22" s="168">
        <f>SUM(C19:C21)</f>
        <v>897304.64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7500</v>
      </c>
      <c r="C27" s="171">
        <f>'DOE25'!G200+'DOE25'!G218+'DOE25'!G236+'DOE25'!G279+'DOE25'!G298+'DOE25'!G317</f>
        <v>22467.89</v>
      </c>
    </row>
    <row r="28" spans="1:3" x14ac:dyDescent="0.2">
      <c r="A28" t="s">
        <v>772</v>
      </c>
      <c r="B28" s="176">
        <v>7500</v>
      </c>
      <c r="C28" s="176">
        <v>22467.89</v>
      </c>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7500</v>
      </c>
      <c r="C31" s="168">
        <f>SUM(C28:C30)</f>
        <v>22467.89</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330944.71999999997</v>
      </c>
      <c r="C36" s="172">
        <f>'DOE25'!G201+'DOE25'!G219+'DOE25'!G237+'DOE25'!G280+'DOE25'!G299+'DOE25'!G318</f>
        <v>85528.38</v>
      </c>
    </row>
    <row r="37" spans="1:3" x14ac:dyDescent="0.2">
      <c r="A37" t="s">
        <v>772</v>
      </c>
      <c r="B37" s="176">
        <v>330944.71999999997</v>
      </c>
      <c r="C37" s="176">
        <v>85528.38</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330944.71999999997</v>
      </c>
      <c r="C40" s="168">
        <f>SUM(C37:C39)</f>
        <v>85528.38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V39" sqref="V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Moultonborough</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10038804.58</v>
      </c>
      <c r="D5" s="19">
        <f>SUM('DOE25'!L198:L201)+SUM('DOE25'!L216:L219)+SUM('DOE25'!L234:L237)-F5-G5-H5</f>
        <v>9952238.6699999999</v>
      </c>
      <c r="E5" s="179"/>
      <c r="F5" s="180"/>
      <c r="G5" s="19">
        <f>SUM('DOE25'!J198:J201)+SUM('DOE25'!J216:J219)+SUM('DOE25'!J234:J237)</f>
        <v>42991.17</v>
      </c>
      <c r="H5" s="19">
        <f>SUM('DOE25'!K198:K201)+SUM('DOE25'!K216:K219)+SUM('DOE25'!K234:K237)</f>
        <v>43574.74</v>
      </c>
      <c r="I5" s="191"/>
    </row>
    <row r="6" spans="1:9" x14ac:dyDescent="0.2">
      <c r="A6" s="31">
        <v>2100</v>
      </c>
      <c r="B6" t="s">
        <v>793</v>
      </c>
      <c r="C6" s="205">
        <f t="shared" si="0"/>
        <v>880238.34</v>
      </c>
      <c r="D6" s="19">
        <f>'DOE25'!L203+'DOE25'!L221+'DOE25'!L239-F6-G6-H6</f>
        <v>425141.25999999995</v>
      </c>
      <c r="E6" s="179"/>
      <c r="F6" s="180">
        <v>454829.55</v>
      </c>
      <c r="G6" s="19">
        <f>'DOE25'!J203+'DOE25'!J221+'DOE25'!J239</f>
        <v>88.53</v>
      </c>
      <c r="H6" s="19">
        <f>'DOE25'!K203+'DOE25'!K221+'DOE25'!K239</f>
        <v>179</v>
      </c>
      <c r="I6" s="191"/>
    </row>
    <row r="7" spans="1:9" x14ac:dyDescent="0.2">
      <c r="A7" s="31">
        <v>2200</v>
      </c>
      <c r="B7" t="s">
        <v>817</v>
      </c>
      <c r="C7" s="205">
        <f t="shared" si="0"/>
        <v>1328673.6099999999</v>
      </c>
      <c r="D7" s="19">
        <f>'DOE25'!L204+'DOE25'!L222+'DOE25'!L240-F7-G7-H7</f>
        <v>1179151.18</v>
      </c>
      <c r="E7" s="179"/>
      <c r="F7" s="180"/>
      <c r="G7" s="19">
        <f>'DOE25'!J204+'DOE25'!J222+'DOE25'!J240</f>
        <v>143466.43</v>
      </c>
      <c r="H7" s="19">
        <f>'DOE25'!K204+'DOE25'!K222+'DOE25'!K240</f>
        <v>6056</v>
      </c>
      <c r="I7" s="191"/>
    </row>
    <row r="8" spans="1:9" x14ac:dyDescent="0.2">
      <c r="A8" s="31">
        <v>2300</v>
      </c>
      <c r="B8" t="s">
        <v>794</v>
      </c>
      <c r="C8" s="205">
        <f t="shared" si="0"/>
        <v>318483.02999999997</v>
      </c>
      <c r="D8" s="179"/>
      <c r="E8" s="19">
        <f>'DOE25'!L205+'DOE25'!L223+'DOE25'!L241-F8-G8-H8-D9-D11</f>
        <v>182271.41999999998</v>
      </c>
      <c r="F8" s="180"/>
      <c r="G8" s="19">
        <f>'DOE25'!J205+'DOE25'!J223+'DOE25'!J241</f>
        <v>0</v>
      </c>
      <c r="H8" s="19">
        <f>'DOE25'!K205+'DOE25'!K223+'DOE25'!K241</f>
        <v>136211.60999999999</v>
      </c>
      <c r="I8" s="191"/>
    </row>
    <row r="9" spans="1:9" ht="14.25" x14ac:dyDescent="0.2">
      <c r="A9" s="31">
        <v>2310</v>
      </c>
      <c r="B9" s="71" t="s">
        <v>884</v>
      </c>
      <c r="C9" s="205">
        <f t="shared" si="0"/>
        <v>49410.04</v>
      </c>
      <c r="D9" s="180">
        <v>49410.04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454310.79</v>
      </c>
      <c r="D11" s="180">
        <v>454310.79</v>
      </c>
      <c r="E11" s="179"/>
      <c r="F11" s="179"/>
      <c r="G11" s="179"/>
      <c r="H11" s="179"/>
      <c r="I11" s="191"/>
    </row>
    <row r="12" spans="1:9" x14ac:dyDescent="0.2">
      <c r="A12" s="31">
        <v>2400</v>
      </c>
      <c r="B12" t="s">
        <v>711</v>
      </c>
      <c r="C12" s="205">
        <f t="shared" si="0"/>
        <v>807004.88000000012</v>
      </c>
      <c r="D12" s="19">
        <f>'DOE25'!L206+'DOE25'!L224+'DOE25'!L242-F12-G12-H12</f>
        <v>794960.59000000008</v>
      </c>
      <c r="E12" s="179"/>
      <c r="F12" s="180"/>
      <c r="G12" s="19">
        <f>'DOE25'!J206+'DOE25'!J224+'DOE25'!J242</f>
        <v>3964.7799999999997</v>
      </c>
      <c r="H12" s="19">
        <f>'DOE25'!K206+'DOE25'!K224+'DOE25'!K242</f>
        <v>8079.51</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1827788.4500000002</v>
      </c>
      <c r="D14" s="19">
        <f>'DOE25'!L208+'DOE25'!L226+'DOE25'!L244-F14-G14-H14</f>
        <v>1805826.4000000001</v>
      </c>
      <c r="E14" s="179"/>
      <c r="F14" s="180"/>
      <c r="G14" s="19">
        <f>'DOE25'!J208+'DOE25'!J226+'DOE25'!J244</f>
        <v>21962.050000000003</v>
      </c>
      <c r="H14" s="19">
        <f>'DOE25'!K208+'DOE25'!K226+'DOE25'!K244</f>
        <v>0</v>
      </c>
      <c r="I14" s="191"/>
    </row>
    <row r="15" spans="1:9" x14ac:dyDescent="0.2">
      <c r="A15" s="31">
        <v>2700</v>
      </c>
      <c r="B15" t="s">
        <v>796</v>
      </c>
      <c r="C15" s="205">
        <f t="shared" si="0"/>
        <v>1006969.8600000001</v>
      </c>
      <c r="D15" s="19">
        <f>'DOE25'!L209+'DOE25'!L227+'DOE25'!L245-F15-G15-H15</f>
        <v>342402.27000000014</v>
      </c>
      <c r="E15" s="179"/>
      <c r="F15" s="180">
        <v>664567.59</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47335.360000000001</v>
      </c>
      <c r="D19" s="19">
        <f>'DOE25'!L254-F19-G19-H19</f>
        <v>42535.360000000001</v>
      </c>
      <c r="E19" s="179"/>
      <c r="F19" s="180"/>
      <c r="G19" s="19">
        <f>'DOE25'!J254</f>
        <v>4800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279100.89</v>
      </c>
      <c r="D29" s="211">
        <f>'DOE25'!L359+'DOE25'!L360+'DOE25'!L361-'DOE25'!I368-F29-G29-H29-F39</f>
        <v>279100.89</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656008.27</v>
      </c>
      <c r="D31" s="19">
        <f>'DOE25'!L291+'DOE25'!L310+'DOE25'!L329+'DOE25'!L334+'DOE25'!L335+'DOE25'!L336-F31-G31-H31</f>
        <v>548590.58000000007</v>
      </c>
      <c r="E31" s="179"/>
      <c r="F31" s="180"/>
      <c r="G31" s="19">
        <f>'DOE25'!J291+'DOE25'!J310+'DOE25'!J329+'DOE25'!J334+'DOE25'!J335+'DOE25'!J336</f>
        <v>107417.69</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15873668.029999997</v>
      </c>
      <c r="E33" s="181">
        <f t="shared" si="1"/>
        <v>182271.41999999998</v>
      </c>
      <c r="F33" s="181">
        <f t="shared" si="1"/>
        <v>1119397.1399999999</v>
      </c>
      <c r="G33" s="181">
        <f t="shared" si="1"/>
        <v>324690.65000000002</v>
      </c>
      <c r="H33" s="181">
        <f t="shared" si="1"/>
        <v>194100.86</v>
      </c>
      <c r="I33" s="181">
        <f t="shared" si="1"/>
        <v>0</v>
      </c>
    </row>
    <row r="34" spans="1:9" ht="12" thickBot="1" x14ac:dyDescent="0.25"/>
    <row r="35" spans="1:9" ht="12" thickBot="1" x14ac:dyDescent="0.25">
      <c r="B35" s="187" t="s">
        <v>827</v>
      </c>
      <c r="D35" s="188">
        <f>E33</f>
        <v>182271.41999999998</v>
      </c>
      <c r="E35" s="184"/>
      <c r="F35" s="294" t="s">
        <v>1596</v>
      </c>
      <c r="G35" s="295"/>
      <c r="H35" s="295"/>
      <c r="I35" s="296"/>
    </row>
    <row r="36" spans="1:9" ht="12" thickTop="1" x14ac:dyDescent="0.2">
      <c r="B36" t="s">
        <v>807</v>
      </c>
      <c r="D36" s="19">
        <f>D33</f>
        <v>15873668.029999997</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19" zoomScale="75" zoomScaleNormal="75" workbookViewId="0">
      <selection activeCell="H24" sqref="H2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Moultonborough</v>
      </c>
      <c r="B2">
        <f>'DOE25'!B2</f>
        <v>369</v>
      </c>
      <c r="J2" s="223" t="s">
        <v>1799</v>
      </c>
      <c r="K2" s="308">
        <f>SUM('DOE25'!L198:L201)+SUM('DOE25'!L277:L280)</f>
        <v>4458028.93</v>
      </c>
      <c r="L2" s="308">
        <f>'DOE25'!L203+'DOE25'!L282</f>
        <v>422568.02</v>
      </c>
      <c r="M2" s="308">
        <f>'DOE25'!L204+'DOE25'!L283</f>
        <v>716511.97</v>
      </c>
      <c r="N2" s="308">
        <f>'DOE25'!L206+'DOE25'!L285</f>
        <v>252519.03000000003</v>
      </c>
      <c r="O2" s="316">
        <f>'Salaries-Benefits'!B10+'Salaries-Benefits'!B12+'Salaries-Benefits'!B19+'Salaries-Benefits'!B21+'Salaries-Benefits'!B28+'Salaries-Benefits'!B30+'Salaries-Benefits'!B37+'Salaries-Benefits'!B39</f>
        <v>4782607.8099999996</v>
      </c>
      <c r="P2" s="316">
        <f>'Salaries-Benefits'!B11+'Salaries-Benefits'!B20+'Salaries-Benefits'!B29+'Salaries-Benefits'!B38</f>
        <v>934975.67999999993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7573907.0600000005</v>
      </c>
      <c r="G4" s="228">
        <f>'DOE25'!L212+'DOE25'!L291</f>
        <v>7573907.0600000005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Moultonborough Central School</v>
      </c>
      <c r="B6" s="229">
        <f>IFERROR(VLOOKUP(A6,'School Tables'!$C$3:$D$365,2,FALSE),"")</f>
        <v>22115</v>
      </c>
      <c r="C6" s="222" t="str">
        <f>IFERROR(INDEX('School Tables'!$B$3:$B$365,MATCH('School Level Expenditures'!B6,'School Tables'!$D$3:$D$365,0)),"")</f>
        <v>Moultonborough</v>
      </c>
      <c r="D6" s="219">
        <v>7167221.8200000003</v>
      </c>
      <c r="E6" s="219">
        <v>406685.24</v>
      </c>
      <c r="F6" s="231">
        <f t="shared" ref="F6:F20" si="2">D6+E6</f>
        <v>7573907.0600000005</v>
      </c>
      <c r="G6" s="222"/>
      <c r="H6" s="222"/>
      <c r="J6" t="str">
        <f t="shared" ref="J6:J20" si="3">A6</f>
        <v>Moultonborough Central School</v>
      </c>
      <c r="K6" s="20">
        <v>4458028.93</v>
      </c>
      <c r="L6" s="20">
        <v>422568.02</v>
      </c>
      <c r="M6" s="307">
        <v>716511.97</v>
      </c>
      <c r="N6" s="20">
        <v>252519.03</v>
      </c>
      <c r="O6" s="20">
        <v>1929174.77</v>
      </c>
      <c r="P6" s="20">
        <v>537633.48</v>
      </c>
      <c r="Q6" s="20">
        <v>8568.7199999999993</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7167221.8200000003</v>
      </c>
      <c r="E21" s="261">
        <f>SUM(E5:E20)</f>
        <v>406685.24</v>
      </c>
      <c r="F21" s="216"/>
      <c r="G21" s="216"/>
      <c r="H21" s="216"/>
      <c r="K21" s="262">
        <f t="shared" ref="K21:Q21" si="4">SUM(K5:K20)</f>
        <v>4458028.93</v>
      </c>
      <c r="L21" s="262">
        <f t="shared" si="4"/>
        <v>422568.02</v>
      </c>
      <c r="M21" s="262">
        <f t="shared" si="4"/>
        <v>716511.97</v>
      </c>
      <c r="N21" s="262">
        <f t="shared" si="4"/>
        <v>252519.03</v>
      </c>
      <c r="O21" s="262">
        <f t="shared" si="4"/>
        <v>1929174.77</v>
      </c>
      <c r="P21" s="262">
        <f t="shared" si="4"/>
        <v>537633.48</v>
      </c>
      <c r="Q21" s="262">
        <f t="shared" si="4"/>
        <v>8568.7199999999993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2520964.2999999998</v>
      </c>
      <c r="L23" s="19">
        <f>'DOE25'!L221+'DOE25'!L301</f>
        <v>215853.24000000002</v>
      </c>
      <c r="M23" s="19">
        <f>'DOE25'!L222+'DOE25'!L302</f>
        <v>317591.03000000003</v>
      </c>
      <c r="N23" s="19">
        <f>'DOE25'!L224+'DOE25'!L304</f>
        <v>243470.30000000002</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4076226.09</v>
      </c>
      <c r="G25" s="228">
        <f>'DOE25'!L230+'DOE25'!L310</f>
        <v>4076226.09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v>11418.1</v>
      </c>
      <c r="M26" s="315">
        <v>19906.27</v>
      </c>
      <c r="N26" s="315"/>
      <c r="O26" s="315"/>
      <c r="P26" s="315"/>
      <c r="Q26" s="315"/>
    </row>
    <row r="27" spans="1:17" x14ac:dyDescent="0.2">
      <c r="A27" t="str" cm="1">
        <f t="array" ref="A27">IFERROR(INDEX('School Tables'!$L$4:$R$100,'School Tables'!$U4,3),"")</f>
        <v>Moultonborough Middle Level</v>
      </c>
      <c r="B27" s="229">
        <f>IFERROR(VLOOKUP(A27,'School Tables'!$N$4:$O$100,2,FALSE),"")</f>
        <v>26960</v>
      </c>
      <c r="C27" s="222" t="str">
        <f>IFERROR(INDEX('School Tables'!$M$4:$M$100,MATCH('School Level Expenditures'!A27,'School Tables'!$N$4:$N$100,0)),"")</f>
        <v>Moultonborough</v>
      </c>
      <c r="D27" s="219">
        <v>3969898.07</v>
      </c>
      <c r="E27" s="219">
        <v>106328.02</v>
      </c>
      <c r="F27" s="231">
        <f t="shared" ref="F27:F33" si="6">D27+E27</f>
        <v>4076226.09</v>
      </c>
      <c r="G27" s="222"/>
      <c r="H27" s="222"/>
      <c r="J27" t="str">
        <f t="shared" ref="J27:J33" si="7">A27</f>
        <v>Moultonborough Middle Level</v>
      </c>
      <c r="K27" s="20">
        <v>2520964.2999999998</v>
      </c>
      <c r="L27" s="20">
        <v>204435.14</v>
      </c>
      <c r="M27" s="307">
        <v>297684.76</v>
      </c>
      <c r="N27" s="20">
        <v>243470.3</v>
      </c>
      <c r="O27" s="20">
        <v>1215870.4099999999</v>
      </c>
      <c r="P27" s="20">
        <v>132476.01</v>
      </c>
      <c r="Q27" s="20">
        <v>11481.68</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3969898.07</v>
      </c>
      <c r="E34" s="261">
        <f>SUM(E26:E33)</f>
        <v>106328.02</v>
      </c>
      <c r="F34" s="216"/>
      <c r="G34" s="216"/>
      <c r="H34" s="216"/>
      <c r="K34" s="262">
        <f t="shared" ref="K34:Q34" si="8">SUM(K26:K33)</f>
        <v>2520964.2999999998</v>
      </c>
      <c r="L34" s="262">
        <f t="shared" si="8"/>
        <v>215853.24000000002</v>
      </c>
      <c r="M34" s="262">
        <f t="shared" si="8"/>
        <v>317591.03000000003</v>
      </c>
      <c r="N34" s="262">
        <f t="shared" si="8"/>
        <v>243470.3</v>
      </c>
      <c r="O34" s="262">
        <f t="shared" si="8"/>
        <v>1215870.4099999999</v>
      </c>
      <c r="P34" s="262">
        <f t="shared" si="8"/>
        <v>132476.01</v>
      </c>
      <c r="Q34" s="262">
        <f t="shared" si="8"/>
        <v>11481.68</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3433653.67</v>
      </c>
      <c r="L36" s="19">
        <f>'DOE25'!L239+'DOE25'!L320</f>
        <v>296188.99</v>
      </c>
      <c r="M36" s="19">
        <f>'DOE25'!L240+'DOE25'!L321</f>
        <v>467837.42999999993</v>
      </c>
      <c r="N36" s="19">
        <f>'DOE25'!L242+'DOE25'!L323</f>
        <v>311015.55000000005</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5717558.6999999993</v>
      </c>
      <c r="G38" s="228">
        <f>'DOE25'!L248+'DOE25'!L329</f>
        <v>5717558.6999999993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111740.52</v>
      </c>
      <c r="E39" s="219"/>
      <c r="F39" s="231">
        <f t="shared" ref="F39:F44" si="10">D39+E39</f>
        <v>111740.52</v>
      </c>
      <c r="G39" s="222"/>
      <c r="H39" s="222"/>
      <c r="J39" s="71" t="s">
        <v>1840</v>
      </c>
      <c r="K39" s="315">
        <v>63141.21</v>
      </c>
      <c r="L39" s="315"/>
      <c r="M39" s="315"/>
      <c r="N39" s="315"/>
      <c r="O39" s="315"/>
      <c r="P39" s="315"/>
      <c r="Q39" s="315"/>
    </row>
    <row r="40" spans="1:17" x14ac:dyDescent="0.2">
      <c r="A40" t="str" cm="1">
        <f t="array" ref="A40">IFERROR(INDEX('School Tables'!$W$4:$AC$120,'School Tables'!$AF4,3),"")</f>
        <v>Moultonborough Academy</v>
      </c>
      <c r="B40" s="229">
        <f>IFERROR(VLOOKUP(A40,'School Tables'!$Y$4:$Z$120,2,FALSE),"")</f>
        <v>22120</v>
      </c>
      <c r="C40" s="222" t="str">
        <f>IFERROR(INDEX('School Tables'!$X$4:$X$120,MATCH('School Level Expenditures'!A40,'School Tables'!$Y$4:$Y$120,0)),"")</f>
        <v>Moultonborough</v>
      </c>
      <c r="D40" s="219">
        <v>5462823.1699999999</v>
      </c>
      <c r="E40" s="219">
        <v>142995.01</v>
      </c>
      <c r="F40" s="231">
        <f t="shared" si="10"/>
        <v>5605818.1799999997</v>
      </c>
      <c r="G40" s="222"/>
      <c r="H40" s="222"/>
      <c r="J40" t="str">
        <f>A40</f>
        <v>Moultonborough Academy</v>
      </c>
      <c r="K40" s="20">
        <v>3370512.46</v>
      </c>
      <c r="L40" s="20">
        <v>296188.99</v>
      </c>
      <c r="M40" s="307">
        <v>467837.43</v>
      </c>
      <c r="N40" s="20">
        <v>311015.55</v>
      </c>
      <c r="O40" s="20">
        <v>1637562.63</v>
      </c>
      <c r="P40" s="20">
        <v>264866.19</v>
      </c>
      <c r="Q40" s="20">
        <v>17464.099999999999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5574563.6899999995</v>
      </c>
      <c r="E45" s="262">
        <f>SUM(E39:E44)</f>
        <v>142995.01</v>
      </c>
      <c r="K45" s="262">
        <f t="shared" ref="K45:Q45" si="11">SUM(K39:K44)</f>
        <v>3433653.67</v>
      </c>
      <c r="L45" s="262">
        <f t="shared" si="11"/>
        <v>296188.99</v>
      </c>
      <c r="M45" s="262">
        <f t="shared" si="11"/>
        <v>467837.43</v>
      </c>
      <c r="N45" s="262">
        <f t="shared" si="11"/>
        <v>311015.55</v>
      </c>
      <c r="O45" s="262">
        <f t="shared" si="11"/>
        <v>1637562.63</v>
      </c>
      <c r="P45" s="262">
        <f t="shared" si="11"/>
        <v>264866.19</v>
      </c>
      <c r="Q45" s="262">
        <f t="shared" si="11"/>
        <v>17464.099999999999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Moultonborough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1345892.41</v>
      </c>
      <c r="D8" s="73">
        <f>'DOE25'!G9</f>
        <v>0</v>
      </c>
      <c r="E8" s="73">
        <f>'DOE25'!H9</f>
        <v>0</v>
      </c>
      <c r="F8" s="73">
        <f>'DOE25'!I9</f>
        <v>0</v>
      </c>
      <c r="G8" s="73">
        <f>'DOE25'!J9</f>
        <v>0</v>
      </c>
      <c r="H8" s="13">
        <f>SUM(C8:G8)</f>
        <v>1345892.41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22069.85</v>
      </c>
      <c r="E11" s="73">
        <f>'DOE25'!H12</f>
        <v>23083.56</v>
      </c>
      <c r="F11" s="73">
        <f>'DOE25'!I12</f>
        <v>0</v>
      </c>
      <c r="G11" s="73">
        <f>'DOE25'!J12</f>
        <v>1544595.11</v>
      </c>
      <c r="H11" s="13">
        <f t="shared" si="0"/>
        <v>1589748.52</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1345892.41</v>
      </c>
      <c r="D18" s="38">
        <f>SUM(D8:D17)</f>
        <v>22069.85</v>
      </c>
      <c r="E18" s="38">
        <f>SUM(E8:E17)</f>
        <v>23083.56</v>
      </c>
      <c r="F18" s="38">
        <f>SUM(F8:F17)</f>
        <v>0</v>
      </c>
      <c r="G18" s="38">
        <f>SUM(G8:G17)</f>
        <v>1544595.11</v>
      </c>
      <c r="H18" s="38">
        <f t="shared" si="0"/>
        <v>2935640.93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23083.56</v>
      </c>
      <c r="F35" s="73">
        <f>'DOE25'!I36</f>
        <v>0</v>
      </c>
      <c r="G35" s="23" t="s">
        <v>288</v>
      </c>
      <c r="H35" s="13">
        <f t="shared" si="2"/>
        <v>23083.56</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22069.85</v>
      </c>
      <c r="E39" s="23" t="s">
        <v>288</v>
      </c>
      <c r="F39" s="23" t="s">
        <v>288</v>
      </c>
      <c r="G39" s="23" t="s">
        <v>288</v>
      </c>
      <c r="H39" s="13">
        <f t="shared" si="2"/>
        <v>22069.85</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125000</v>
      </c>
      <c r="D43" s="73">
        <f>'DOE25'!G44</f>
        <v>0</v>
      </c>
      <c r="E43" s="73">
        <f>'DOE25'!H44</f>
        <v>0</v>
      </c>
      <c r="F43" s="73">
        <f>'DOE25'!I44</f>
        <v>0</v>
      </c>
      <c r="G43" s="23" t="s">
        <v>288</v>
      </c>
      <c r="H43" s="13">
        <f t="shared" si="2"/>
        <v>125000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522062.01</v>
      </c>
      <c r="D45" s="23" t="s">
        <v>288</v>
      </c>
      <c r="E45" s="23" t="s">
        <v>288</v>
      </c>
      <c r="F45" s="23" t="s">
        <v>288</v>
      </c>
      <c r="G45" s="23" t="s">
        <v>288</v>
      </c>
      <c r="H45" s="13">
        <f t="shared" si="2"/>
        <v>522062.01</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1544595.11</v>
      </c>
      <c r="H47" s="13">
        <f t="shared" si="2"/>
        <v>1544595.11</v>
      </c>
      <c r="I47" s="90"/>
    </row>
    <row r="48" spans="1:9" x14ac:dyDescent="0.2">
      <c r="A48" s="1" t="s">
        <v>878</v>
      </c>
      <c r="B48" s="6">
        <v>753</v>
      </c>
      <c r="C48" s="73">
        <f>'DOE25'!F49</f>
        <v>603830.4</v>
      </c>
      <c r="D48" s="73">
        <f>'DOE25'!G49</f>
        <v>0</v>
      </c>
      <c r="E48" s="73">
        <f>'DOE25'!H49</f>
        <v>0</v>
      </c>
      <c r="F48" s="73">
        <f>'DOE25'!I49</f>
        <v>0</v>
      </c>
      <c r="G48" s="73">
        <f>'DOE25'!J49</f>
        <v>0</v>
      </c>
      <c r="H48" s="13">
        <f t="shared" si="2"/>
        <v>603830.4</v>
      </c>
      <c r="I48" s="90"/>
    </row>
    <row r="49" spans="1:9" ht="12" thickBot="1" x14ac:dyDescent="0.25">
      <c r="A49" s="28" t="s">
        <v>879</v>
      </c>
      <c r="B49" s="56">
        <v>770</v>
      </c>
      <c r="C49" s="73">
        <f>'DOE25'!F50</f>
        <v>95000</v>
      </c>
      <c r="D49" s="23" t="s">
        <v>288</v>
      </c>
      <c r="E49" s="23" t="s">
        <v>288</v>
      </c>
      <c r="F49" s="23" t="s">
        <v>288</v>
      </c>
      <c r="G49" s="23" t="s">
        <v>288</v>
      </c>
      <c r="H49" s="13">
        <f t="shared" si="2"/>
        <v>95000</v>
      </c>
      <c r="I49" s="90"/>
    </row>
    <row r="50" spans="1:9" ht="12.75" thickTop="1" thickBot="1" x14ac:dyDescent="0.25">
      <c r="A50" s="35" t="s">
        <v>880</v>
      </c>
      <c r="B50" s="44"/>
      <c r="C50" s="38">
        <f>SUM(C34:C49)</f>
        <v>1345892.4100000001</v>
      </c>
      <c r="D50" s="38">
        <f>SUM(D34:D49)</f>
        <v>22069.85</v>
      </c>
      <c r="E50" s="38">
        <f>SUM(E34:E49)</f>
        <v>23083.56</v>
      </c>
      <c r="F50" s="38">
        <f>SUM(F34:F49)</f>
        <v>0</v>
      </c>
      <c r="G50" s="38">
        <f>SUM(G34:G49)</f>
        <v>1544595.11</v>
      </c>
      <c r="H50" s="38">
        <f t="shared" si="2"/>
        <v>2935640.9300000006</v>
      </c>
      <c r="I50" s="90"/>
    </row>
    <row r="51" spans="1:9" ht="12" thickTop="1" x14ac:dyDescent="0.2">
      <c r="A51" s="35" t="s">
        <v>881</v>
      </c>
      <c r="B51" s="2"/>
      <c r="C51" s="38">
        <f>C50+C31</f>
        <v>1345892.4100000001</v>
      </c>
      <c r="D51" s="38">
        <f>D50+D31</f>
        <v>22069.85</v>
      </c>
      <c r="E51" s="38">
        <f>E50+E31</f>
        <v>23083.56</v>
      </c>
      <c r="F51" s="38">
        <f>F50+F31</f>
        <v>0</v>
      </c>
      <c r="G51" s="38">
        <f>G50+G31</f>
        <v>1544595.11</v>
      </c>
      <c r="H51" s="38">
        <f t="shared" si="2"/>
        <v>2935640.9300000006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9992135</v>
      </c>
      <c r="D56" s="73">
        <f>'DOE25'!G60</f>
        <v>0</v>
      </c>
      <c r="E56" s="73">
        <f>'DOE25'!H60</f>
        <v>0</v>
      </c>
      <c r="F56" s="73">
        <f>'DOE25'!I60</f>
        <v>0</v>
      </c>
      <c r="G56" s="73">
        <f>'DOE25'!J60</f>
        <v>0</v>
      </c>
      <c r="H56" s="13">
        <f t="shared" ref="H56:H63" si="3">SUM(C56:G56)</f>
        <v>9992135</v>
      </c>
      <c r="I56"/>
    </row>
    <row r="57" spans="1:9" x14ac:dyDescent="0.2">
      <c r="A57" s="1" t="s">
        <v>164</v>
      </c>
      <c r="B57" s="6" t="s">
        <v>165</v>
      </c>
      <c r="C57" s="73">
        <f>'DOE25'!F79</f>
        <v>8962.67</v>
      </c>
      <c r="D57" s="23" t="s">
        <v>288</v>
      </c>
      <c r="E57" s="73">
        <f>'DOE25'!H79</f>
        <v>0</v>
      </c>
      <c r="F57" s="23" t="s">
        <v>288</v>
      </c>
      <c r="G57" s="23" t="s">
        <v>288</v>
      </c>
      <c r="H57" s="13">
        <f t="shared" si="3"/>
        <v>8962.67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65169.75</v>
      </c>
      <c r="D59" s="73">
        <f>'DOE25'!G96</f>
        <v>0</v>
      </c>
      <c r="E59" s="73">
        <f>'DOE25'!H96</f>
        <v>0</v>
      </c>
      <c r="F59" s="73">
        <f>'DOE25'!I96</f>
        <v>0</v>
      </c>
      <c r="G59" s="73">
        <f>'DOE25'!J96</f>
        <v>93280.51</v>
      </c>
      <c r="H59" s="13">
        <f t="shared" si="3"/>
        <v>158450.26</v>
      </c>
      <c r="I59"/>
    </row>
    <row r="60" spans="1:9" x14ac:dyDescent="0.2">
      <c r="A60" s="1" t="s">
        <v>170</v>
      </c>
      <c r="B60" s="22" t="s">
        <v>171</v>
      </c>
      <c r="C60" s="23" t="s">
        <v>288</v>
      </c>
      <c r="D60" s="73">
        <f>'DOE25'!G97</f>
        <v>171715.47</v>
      </c>
      <c r="E60" s="23" t="s">
        <v>288</v>
      </c>
      <c r="F60" s="23" t="s">
        <v>288</v>
      </c>
      <c r="G60" s="23" t="s">
        <v>288</v>
      </c>
      <c r="H60" s="13">
        <f t="shared" si="3"/>
        <v>171715.47</v>
      </c>
      <c r="I60"/>
    </row>
    <row r="61" spans="1:9" ht="12" thickBot="1" x14ac:dyDescent="0.25">
      <c r="A61" s="1" t="s">
        <v>172</v>
      </c>
      <c r="B61" s="22" t="s">
        <v>173</v>
      </c>
      <c r="C61" s="73">
        <f>SUM('DOE25'!F98:F110)</f>
        <v>14741.16</v>
      </c>
      <c r="D61" s="73">
        <f>SUM('DOE25'!G98:G110)</f>
        <v>0</v>
      </c>
      <c r="E61" s="73">
        <f>SUM('DOE25'!H98:H110)</f>
        <v>0</v>
      </c>
      <c r="F61" s="73">
        <f>SUM('DOE25'!I98:I110)</f>
        <v>0</v>
      </c>
      <c r="G61" s="73">
        <f>SUM('DOE25'!J98:J110)</f>
        <v>1600757.36</v>
      </c>
      <c r="H61" s="13">
        <f t="shared" si="3"/>
        <v>1615498.52</v>
      </c>
      <c r="I61"/>
    </row>
    <row r="62" spans="1:9" ht="12.75" thickTop="1" thickBot="1" x14ac:dyDescent="0.25">
      <c r="A62" s="28" t="s">
        <v>174</v>
      </c>
      <c r="B62" s="6"/>
      <c r="C62" s="93">
        <f>SUM(C57:C61)</f>
        <v>88873.58</v>
      </c>
      <c r="D62" s="93">
        <f>SUM(D57:D61)</f>
        <v>171715.47</v>
      </c>
      <c r="E62" s="93">
        <f>SUM(E57:E61)</f>
        <v>0</v>
      </c>
      <c r="F62" s="93">
        <f>SUM(F57:F61)</f>
        <v>0</v>
      </c>
      <c r="G62" s="93">
        <f>SUM(G57:G61)</f>
        <v>1694037.87</v>
      </c>
      <c r="H62" s="13">
        <f t="shared" si="3"/>
        <v>1954626.9200000002</v>
      </c>
      <c r="I62"/>
    </row>
    <row r="63" spans="1:9" ht="12" thickTop="1" x14ac:dyDescent="0.2">
      <c r="A63" s="28" t="s">
        <v>175</v>
      </c>
      <c r="B63" s="6"/>
      <c r="C63" s="21">
        <f>C56+C62</f>
        <v>10081008.58</v>
      </c>
      <c r="D63" s="21">
        <f>D56+D62</f>
        <v>171715.47</v>
      </c>
      <c r="E63" s="21">
        <f>E56+E62</f>
        <v>0</v>
      </c>
      <c r="F63" s="21">
        <f>F56+F62</f>
        <v>0</v>
      </c>
      <c r="G63" s="21">
        <f>G56+G62</f>
        <v>1694037.87</v>
      </c>
      <c r="H63" s="13">
        <f t="shared" si="3"/>
        <v>11946761.920000002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6684886</v>
      </c>
      <c r="D67" s="23"/>
      <c r="E67" s="23"/>
      <c r="F67" s="23"/>
      <c r="G67" s="23"/>
      <c r="H67" s="13">
        <f t="shared" si="4"/>
        <v>6684886</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6684886</v>
      </c>
      <c r="D70" s="97">
        <f>D69</f>
        <v>0</v>
      </c>
      <c r="E70" s="97">
        <f>E69</f>
        <v>0</v>
      </c>
      <c r="F70" s="97">
        <f>F69</f>
        <v>0</v>
      </c>
      <c r="G70" s="97">
        <f>G69</f>
        <v>0</v>
      </c>
      <c r="H70" s="13">
        <f t="shared" si="4"/>
        <v>6684886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134202.16</v>
      </c>
      <c r="D75" s="23" t="s">
        <v>288</v>
      </c>
      <c r="E75" s="23" t="s">
        <v>288</v>
      </c>
      <c r="F75" s="23" t="s">
        <v>288</v>
      </c>
      <c r="G75" s="23" t="s">
        <v>288</v>
      </c>
      <c r="H75" s="13">
        <f t="shared" si="4"/>
        <v>134202.16</v>
      </c>
      <c r="I75"/>
    </row>
    <row r="76" spans="1:9" x14ac:dyDescent="0.2">
      <c r="A76" s="1" t="s">
        <v>257</v>
      </c>
      <c r="B76" s="6" t="s">
        <v>179</v>
      </c>
      <c r="C76" s="73">
        <f>SUM('DOE25'!F127:F130)</f>
        <v>4723.2</v>
      </c>
      <c r="D76" s="23" t="s">
        <v>288</v>
      </c>
      <c r="E76" s="73">
        <f>SUM('DOE25'!H127:H130)</f>
        <v>0</v>
      </c>
      <c r="F76" s="73">
        <f>SUM('DOE25'!I127:I130)</f>
        <v>0</v>
      </c>
      <c r="G76" s="23" t="s">
        <v>288</v>
      </c>
      <c r="H76" s="13">
        <f t="shared" si="4"/>
        <v>4723.2</v>
      </c>
      <c r="I76"/>
    </row>
    <row r="77" spans="1:9" ht="12" thickBot="1" x14ac:dyDescent="0.25">
      <c r="A77" s="1" t="s">
        <v>258</v>
      </c>
      <c r="B77" s="6" t="s">
        <v>180</v>
      </c>
      <c r="C77" s="73">
        <f>SUM('DOE25'!F131:F135)</f>
        <v>0</v>
      </c>
      <c r="D77" s="73">
        <f>SUM('DOE25'!G131:G135)</f>
        <v>3570.76</v>
      </c>
      <c r="E77" s="73">
        <f>SUM('DOE25'!H131:H135)</f>
        <v>0</v>
      </c>
      <c r="F77" s="73">
        <f>SUM('DOE25'!I131:I135)</f>
        <v>0</v>
      </c>
      <c r="G77" s="73">
        <f>SUM('DOE25'!J131:J135)</f>
        <v>0</v>
      </c>
      <c r="H77" s="13">
        <f t="shared" si="4"/>
        <v>3570.76</v>
      </c>
      <c r="I77"/>
    </row>
    <row r="78" spans="1:9" ht="12.75" thickTop="1" thickBot="1" x14ac:dyDescent="0.25">
      <c r="A78" s="28" t="s">
        <v>259</v>
      </c>
      <c r="B78" s="6"/>
      <c r="C78" s="93">
        <f>SUM(C72:C77)</f>
        <v>138925.36000000002</v>
      </c>
      <c r="D78" s="93">
        <f>SUM(D72:D77)</f>
        <v>3570.76</v>
      </c>
      <c r="E78" s="93">
        <f>SUM(E72:E77)</f>
        <v>0</v>
      </c>
      <c r="F78" s="93">
        <f>SUM(F72:F77)</f>
        <v>0</v>
      </c>
      <c r="G78" s="93">
        <f>SUM(G72:G77)</f>
        <v>0</v>
      </c>
      <c r="H78" s="13">
        <f t="shared" si="4"/>
        <v>142496.12000000002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6823811.3600000003</v>
      </c>
      <c r="D81" s="93">
        <f>SUM(D79:D80)+D78+D70</f>
        <v>3570.76</v>
      </c>
      <c r="E81" s="93">
        <f>SUM(E79:E80)+E78+E70</f>
        <v>0</v>
      </c>
      <c r="F81" s="93">
        <f>SUM(F79:F80)+F78+F70</f>
        <v>0</v>
      </c>
      <c r="G81" s="93">
        <f>SUM(G79:G80)+G78+G70</f>
        <v>0</v>
      </c>
      <c r="H81" s="93">
        <f t="shared" si="4"/>
        <v>6827382.1200000001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701.22</v>
      </c>
      <c r="D88" s="252">
        <f>SUM('DOE25'!G153:G162)</f>
        <v>101888.52</v>
      </c>
      <c r="E88" s="252">
        <f>SUM('DOE25'!H153:H162)</f>
        <v>649212.97</v>
      </c>
      <c r="F88" s="252">
        <f>SUM('DOE25'!I153:I162)</f>
        <v>0</v>
      </c>
      <c r="G88" s="23" t="s">
        <v>288</v>
      </c>
      <c r="H88" s="13">
        <f t="shared" si="5"/>
        <v>751802.71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701.22</v>
      </c>
      <c r="D91" s="94">
        <f>SUM(D85:D90)</f>
        <v>101888.52</v>
      </c>
      <c r="E91" s="94">
        <f>SUM(E85:E90)</f>
        <v>649212.97</v>
      </c>
      <c r="F91" s="94">
        <f>SUM(F85:F90)</f>
        <v>0</v>
      </c>
      <c r="G91" s="23" t="s">
        <v>288</v>
      </c>
      <c r="H91" s="13">
        <f t="shared" si="5"/>
        <v>751802.71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100000</v>
      </c>
      <c r="H96" s="13">
        <f t="shared" si="5"/>
        <v>100000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100000</v>
      </c>
      <c r="H103" s="68">
        <f t="shared" si="5"/>
        <v>100000</v>
      </c>
    </row>
    <row r="104" spans="1:8" ht="12.75" thickTop="1" thickBot="1" x14ac:dyDescent="0.25">
      <c r="A104" s="32" t="s">
        <v>758</v>
      </c>
      <c r="C104" s="68">
        <f>C63+C81+C91+C103</f>
        <v>16905521.16</v>
      </c>
      <c r="D104" s="68">
        <f>D63+D81+D91+D103</f>
        <v>277174.75</v>
      </c>
      <c r="E104" s="68">
        <f>E63+E81+E91+E103</f>
        <v>649212.97</v>
      </c>
      <c r="F104" s="68">
        <f>F63+F81+F91+F103</f>
        <v>0</v>
      </c>
      <c r="G104" s="68">
        <f>G63+G81+G103</f>
        <v>1794037.87</v>
      </c>
      <c r="H104" s="68">
        <f t="shared" si="5"/>
        <v>19625946.75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6057277.79</v>
      </c>
      <c r="D109" s="23" t="s">
        <v>288</v>
      </c>
      <c r="E109" s="73">
        <f>('DOE25'!L277)+('DOE25'!L296)+('DOE25'!L315)</f>
        <v>241717.76000000004</v>
      </c>
      <c r="F109" s="23" t="s">
        <v>288</v>
      </c>
      <c r="G109" s="23" t="s">
        <v>288</v>
      </c>
      <c r="H109" s="13">
        <f t="shared" ref="H109:H115" si="6">SUM(C109:G109)</f>
        <v>6298995.5499999998</v>
      </c>
    </row>
    <row r="110" spans="1:8" x14ac:dyDescent="0.2">
      <c r="A110" t="s">
        <v>198</v>
      </c>
      <c r="B110" s="31" t="s">
        <v>199</v>
      </c>
      <c r="C110" s="73">
        <f>('DOE25'!L199)+('DOE25'!L217)+('DOE25'!L235)</f>
        <v>3297008.2600000002</v>
      </c>
      <c r="D110" s="23" t="s">
        <v>288</v>
      </c>
      <c r="E110" s="73">
        <f>('DOE25'!L278)+('DOE25'!L297)+('DOE25'!L316)</f>
        <v>119795.94</v>
      </c>
      <c r="F110" s="23" t="s">
        <v>288</v>
      </c>
      <c r="G110" s="23" t="s">
        <v>288</v>
      </c>
      <c r="H110" s="13">
        <f t="shared" si="6"/>
        <v>3416804.2</v>
      </c>
    </row>
    <row r="111" spans="1:8" x14ac:dyDescent="0.2">
      <c r="A111" t="s">
        <v>200</v>
      </c>
      <c r="B111" s="31" t="s">
        <v>165</v>
      </c>
      <c r="C111" s="73">
        <f>('DOE25'!L200)+('DOE25'!L218)+('DOE25'!L236)</f>
        <v>63639.270000000004</v>
      </c>
      <c r="D111" s="23" t="s">
        <v>288</v>
      </c>
      <c r="E111" s="73">
        <f>('DOE25'!L279)+('DOE25'!L298)+('DOE25'!L317)</f>
        <v>0</v>
      </c>
      <c r="F111" s="23" t="s">
        <v>288</v>
      </c>
      <c r="G111" s="23" t="s">
        <v>288</v>
      </c>
      <c r="H111" s="13">
        <f t="shared" si="6"/>
        <v>63639.270000000004</v>
      </c>
    </row>
    <row r="112" spans="1:8" x14ac:dyDescent="0.2">
      <c r="A112" t="s">
        <v>201</v>
      </c>
      <c r="B112" s="31" t="s">
        <v>167</v>
      </c>
      <c r="C112" s="73">
        <f>('DOE25'!L201)+('DOE25'!L219)+('DOE25'!L237)</f>
        <v>620879.26</v>
      </c>
      <c r="D112" s="23" t="s">
        <v>288</v>
      </c>
      <c r="E112" s="73">
        <f>+('DOE25'!L280)+('DOE25'!L299)+('DOE25'!L318)</f>
        <v>12328.619999999999</v>
      </c>
      <c r="F112" s="23" t="s">
        <v>288</v>
      </c>
      <c r="G112" s="23" t="s">
        <v>288</v>
      </c>
      <c r="H112" s="13">
        <f t="shared" si="6"/>
        <v>633207.88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47335.360000000001</v>
      </c>
      <c r="D114" s="23" t="s">
        <v>288</v>
      </c>
      <c r="E114" s="73">
        <f>+ SUM('DOE25'!L334:L336)</f>
        <v>0</v>
      </c>
      <c r="F114" s="23" t="s">
        <v>288</v>
      </c>
      <c r="G114" s="23" t="s">
        <v>288</v>
      </c>
      <c r="H114" s="13">
        <f t="shared" si="6"/>
        <v>47335.360000000001</v>
      </c>
    </row>
    <row r="115" spans="1:8" ht="12.75" thickTop="1" thickBot="1" x14ac:dyDescent="0.25">
      <c r="A115" s="32" t="s">
        <v>205</v>
      </c>
      <c r="C115" s="68">
        <f>SUM(C109:C114)</f>
        <v>10086139.939999999</v>
      </c>
      <c r="D115" s="68">
        <f>SUM(D109:D114)</f>
        <v>0</v>
      </c>
      <c r="E115" s="68">
        <f>SUM(E109:E114)</f>
        <v>373842.32000000007</v>
      </c>
      <c r="F115" s="68">
        <f>SUM(F109:F114)</f>
        <v>0</v>
      </c>
      <c r="G115" s="68">
        <f>SUM(G109:G114)</f>
        <v>0</v>
      </c>
      <c r="H115" s="68">
        <f t="shared" si="6"/>
        <v>10459982.26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880238.34</v>
      </c>
      <c r="D118" s="23" t="s">
        <v>288</v>
      </c>
      <c r="E118" s="73">
        <f>+('DOE25'!L282)+('DOE25'!L301)+('DOE25'!L320)</f>
        <v>54371.909999999996</v>
      </c>
      <c r="F118" s="23" t="s">
        <v>288</v>
      </c>
      <c r="G118" s="23" t="s">
        <v>288</v>
      </c>
      <c r="H118" s="13">
        <f t="shared" ref="H118:H145" si="7">SUM(C118:G118)</f>
        <v>934610.25</v>
      </c>
    </row>
    <row r="119" spans="1:8" x14ac:dyDescent="0.2">
      <c r="A119" t="s">
        <v>208</v>
      </c>
      <c r="B119" s="31" t="s">
        <v>209</v>
      </c>
      <c r="C119" s="73">
        <f>('DOE25'!L204)+('DOE25'!L222)+('DOE25'!L240)</f>
        <v>1328673.6099999999</v>
      </c>
      <c r="D119" s="23" t="s">
        <v>288</v>
      </c>
      <c r="E119" s="73">
        <f>+('DOE25'!L283)+('DOE25'!L302)+('DOE25'!L321)</f>
        <v>173266.81999999998</v>
      </c>
      <c r="F119" s="23" t="s">
        <v>288</v>
      </c>
      <c r="G119" s="23" t="s">
        <v>288</v>
      </c>
      <c r="H119" s="13">
        <f t="shared" si="7"/>
        <v>1501940.43</v>
      </c>
    </row>
    <row r="120" spans="1:8" x14ac:dyDescent="0.2">
      <c r="A120" t="s">
        <v>210</v>
      </c>
      <c r="B120" s="31" t="s">
        <v>211</v>
      </c>
      <c r="C120" s="73">
        <f>('DOE25'!L205)+('DOE25'!L223)+('DOE25'!L241)</f>
        <v>822203.86</v>
      </c>
      <c r="D120" s="23" t="s">
        <v>288</v>
      </c>
      <c r="E120" s="73">
        <f>+('DOE25'!L284)+('DOE25'!L303)+('DOE25'!L322)</f>
        <v>13506.720000000001</v>
      </c>
      <c r="F120" s="23" t="s">
        <v>288</v>
      </c>
      <c r="G120" s="23" t="s">
        <v>288</v>
      </c>
      <c r="H120" s="13">
        <f t="shared" si="7"/>
        <v>835710.58</v>
      </c>
    </row>
    <row r="121" spans="1:8" x14ac:dyDescent="0.2">
      <c r="A121" t="s">
        <v>212</v>
      </c>
      <c r="B121" s="31" t="s">
        <v>213</v>
      </c>
      <c r="C121" s="73">
        <f>('DOE25'!L206)+('DOE25'!L224)+('DOE25'!L242)</f>
        <v>807004.88000000012</v>
      </c>
      <c r="D121" s="23" t="s">
        <v>288</v>
      </c>
      <c r="E121" s="73">
        <f>+('DOE25'!L285)+('DOE25'!L304)+('DOE25'!L323)</f>
        <v>0</v>
      </c>
      <c r="F121" s="23" t="s">
        <v>288</v>
      </c>
      <c r="G121" s="23" t="s">
        <v>288</v>
      </c>
      <c r="H121" s="13">
        <f t="shared" si="7"/>
        <v>807004.88000000012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1827788.4500000002</v>
      </c>
      <c r="D123" s="23" t="s">
        <v>288</v>
      </c>
      <c r="E123" s="73">
        <f>+('DOE25'!L287)+('DOE25'!L306)+('DOE25'!L325)</f>
        <v>30590.38</v>
      </c>
      <c r="F123" s="23" t="s">
        <v>288</v>
      </c>
      <c r="G123" s="23" t="s">
        <v>288</v>
      </c>
      <c r="H123" s="13">
        <f t="shared" si="7"/>
        <v>1858378.83</v>
      </c>
    </row>
    <row r="124" spans="1:8" x14ac:dyDescent="0.2">
      <c r="A124" t="s">
        <v>218</v>
      </c>
      <c r="B124" s="31" t="s">
        <v>219</v>
      </c>
      <c r="C124" s="73">
        <f>('DOE25'!L209)+('DOE25'!L227)+('DOE25'!L245+'DOE25'!L255)</f>
        <v>1006969.8600000001</v>
      </c>
      <c r="D124" s="23" t="s">
        <v>288</v>
      </c>
      <c r="E124" s="73">
        <f>+('DOE25'!L288)+('DOE25'!L307)+('DOE25'!L326)</f>
        <v>3430.12</v>
      </c>
      <c r="F124" s="23" t="s">
        <v>288</v>
      </c>
      <c r="G124" s="23" t="s">
        <v>288</v>
      </c>
      <c r="H124" s="13">
        <f t="shared" si="7"/>
        <v>1010399.9800000001</v>
      </c>
    </row>
    <row r="125" spans="1:8" x14ac:dyDescent="0.2">
      <c r="A125" t="s">
        <v>220</v>
      </c>
      <c r="B125" s="31" t="s">
        <v>221</v>
      </c>
      <c r="C125" s="73">
        <f>('DOE25'!L210)+('DOE25'!L228)+('DOE25'!L246)</f>
        <v>0</v>
      </c>
      <c r="D125" s="23" t="s">
        <v>288</v>
      </c>
      <c r="E125" s="73">
        <f>+('DOE25'!L289)+('DOE25'!L308)+('DOE25'!L327)</f>
        <v>7000</v>
      </c>
      <c r="F125" s="23" t="s">
        <v>288</v>
      </c>
      <c r="G125" s="23" t="s">
        <v>288</v>
      </c>
      <c r="H125" s="13">
        <f t="shared" si="7"/>
        <v>7000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279100.89</v>
      </c>
      <c r="E127" s="23" t="s">
        <v>288</v>
      </c>
      <c r="F127" s="23" t="s">
        <v>288</v>
      </c>
      <c r="G127" s="23" t="s">
        <v>288</v>
      </c>
      <c r="H127" s="13">
        <f t="shared" si="7"/>
        <v>279100.89</v>
      </c>
    </row>
    <row r="128" spans="1:8" ht="12.75" thickTop="1" thickBot="1" x14ac:dyDescent="0.25">
      <c r="A128" s="32" t="s">
        <v>226</v>
      </c>
      <c r="C128" s="68">
        <f>SUM(C118:C127)</f>
        <v>6672879</v>
      </c>
      <c r="D128" s="68">
        <f>SUM(D118:D127)</f>
        <v>279100.89</v>
      </c>
      <c r="E128" s="68">
        <f>SUM(E118:E127)</f>
        <v>282165.94999999995</v>
      </c>
      <c r="F128" s="68">
        <f>SUM(F118:F127)</f>
        <v>0</v>
      </c>
      <c r="G128" s="68">
        <f>SUM(G118:G127)</f>
        <v>0</v>
      </c>
      <c r="H128" s="68">
        <f t="shared" si="7"/>
        <v>7234145.8399999999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1794037.8700000003</v>
      </c>
      <c r="D139" s="23" t="s">
        <v>288</v>
      </c>
      <c r="E139" s="23" t="s">
        <v>288</v>
      </c>
      <c r="F139" s="23" t="s">
        <v>288</v>
      </c>
      <c r="G139" s="23" t="s">
        <v>288</v>
      </c>
      <c r="H139" s="13">
        <f t="shared" si="7"/>
        <v>1794037.8700000003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-1694037.8700000003</v>
      </c>
      <c r="D141" s="23" t="s">
        <v>288</v>
      </c>
      <c r="E141" s="23" t="s">
        <v>288</v>
      </c>
      <c r="F141" s="23" t="s">
        <v>288</v>
      </c>
      <c r="G141" s="23" t="s">
        <v>288</v>
      </c>
      <c r="H141" s="13">
        <f t="shared" si="7"/>
        <v>-1694037.8700000003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100000</v>
      </c>
      <c r="D144" s="98">
        <f>SUM(D130:D143)</f>
        <v>0</v>
      </c>
      <c r="E144" s="98">
        <f>SUM(E130:E143)</f>
        <v>0</v>
      </c>
      <c r="F144" s="98">
        <f>SUM(F130:F143)</f>
        <v>0</v>
      </c>
      <c r="G144" s="98">
        <f>SUM(G130:G143)</f>
        <v>0</v>
      </c>
      <c r="H144" s="98">
        <f t="shared" si="7"/>
        <v>100000</v>
      </c>
    </row>
    <row r="145" spans="1:9" ht="12.75" thickTop="1" thickBot="1" x14ac:dyDescent="0.25">
      <c r="A145" s="32" t="s">
        <v>244</v>
      </c>
      <c r="C145" s="68">
        <f>(C115+C128+C144)</f>
        <v>16859018.939999998</v>
      </c>
      <c r="D145" s="68">
        <f>(D115+D128+D144)</f>
        <v>279100.89</v>
      </c>
      <c r="E145" s="68">
        <f>(E115+E128+E144)</f>
        <v>656008.27</v>
      </c>
      <c r="F145" s="68">
        <f>(F115+F128+F144)</f>
        <v>0</v>
      </c>
      <c r="G145" s="68">
        <f>(G115+G128+G144)</f>
        <v>0</v>
      </c>
      <c r="H145" s="68">
        <f t="shared" si="7"/>
        <v>17794128.099999998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Moultonborough</v>
      </c>
    </row>
    <row r="3" spans="1:4" x14ac:dyDescent="0.2">
      <c r="B3" s="136" t="s">
        <v>1792</v>
      </c>
    </row>
    <row r="4" spans="1:4" x14ac:dyDescent="0.2">
      <c r="B4" t="s">
        <v>61</v>
      </c>
      <c r="C4" s="128">
        <f>IF('DOE25'!F666+'DOE25'!F671=0,0,ROUND('DOE25'!F673,0))</f>
        <v>31952</v>
      </c>
    </row>
    <row r="5" spans="1:4" x14ac:dyDescent="0.2">
      <c r="B5" t="s">
        <v>700</v>
      </c>
      <c r="C5" s="128">
        <f>IF('DOE25'!G666+'DOE25'!G671=0,0,ROUND('DOE25'!G673,0))</f>
        <v>42118</v>
      </c>
    </row>
    <row r="6" spans="1:4" x14ac:dyDescent="0.2">
      <c r="B6" t="s">
        <v>62</v>
      </c>
      <c r="C6" s="128">
        <f>IF('DOE25'!H666+'DOE25'!H671=0,0,ROUND('DOE25'!H673,0))</f>
        <v>37352</v>
      </c>
    </row>
    <row r="7" spans="1:4" x14ac:dyDescent="0.2">
      <c r="B7" t="s">
        <v>701</v>
      </c>
      <c r="C7" s="128">
        <f>IF('DOE25'!I666+'DOE25'!I671=0,0,ROUND('DOE25'!I673,0))</f>
        <v>35664</v>
      </c>
    </row>
    <row r="9" spans="1:4" x14ac:dyDescent="0.2">
      <c r="A9" s="135" t="s">
        <v>94</v>
      </c>
      <c r="B9" s="136" t="s">
        <v>1793</v>
      </c>
      <c r="C9" s="130" t="s">
        <v>720</v>
      </c>
      <c r="D9" s="130" t="s">
        <v>721</v>
      </c>
    </row>
    <row r="10" spans="1:4" x14ac:dyDescent="0.2">
      <c r="A10">
        <v>1100</v>
      </c>
      <c r="B10" t="s">
        <v>702</v>
      </c>
      <c r="C10" s="128">
        <f>ROUND('DOE25'!L198+'DOE25'!L216+'DOE25'!L234+'DOE25'!L277+'DOE25'!L296+'DOE25'!L315,0)</f>
        <v>6298996</v>
      </c>
      <c r="D10" s="131">
        <f>ROUND((C10/$C$28)*100,1)</f>
        <v>35.9</v>
      </c>
    </row>
    <row r="11" spans="1:4" x14ac:dyDescent="0.2">
      <c r="A11">
        <v>1200</v>
      </c>
      <c r="B11" t="s">
        <v>703</v>
      </c>
      <c r="C11" s="128">
        <f>ROUND('DOE25'!L199+'DOE25'!L217+'DOE25'!L235+'DOE25'!L278+'DOE25'!L297+'DOE25'!L316,0)</f>
        <v>3416804</v>
      </c>
      <c r="D11" s="131">
        <f>ROUND((C11/$C$28)*100,1)</f>
        <v>19.5</v>
      </c>
    </row>
    <row r="12" spans="1:4" x14ac:dyDescent="0.2">
      <c r="A12">
        <v>1300</v>
      </c>
      <c r="B12" t="s">
        <v>704</v>
      </c>
      <c r="C12" s="128">
        <f>ROUND('DOE25'!L200+'DOE25'!L218+'DOE25'!L236+'DOE25'!L279+'DOE25'!L298+'DOE25'!L317,0)</f>
        <v>63639</v>
      </c>
      <c r="D12" s="131">
        <f>ROUND((C12/$C$28)*100,1)</f>
        <v>0.4</v>
      </c>
    </row>
    <row r="13" spans="1:4" x14ac:dyDescent="0.2">
      <c r="A13">
        <v>1400</v>
      </c>
      <c r="B13" t="s">
        <v>705</v>
      </c>
      <c r="C13" s="128">
        <f>ROUND('DOE25'!L201+'DOE25'!L219+'DOE25'!L237+'DOE25'!L280+'DOE25'!L299+'DOE25'!L318,0)</f>
        <v>633208</v>
      </c>
      <c r="D13" s="131">
        <f>ROUND((C13/$C$28)*100,1)</f>
        <v>3.6</v>
      </c>
    </row>
    <row r="14" spans="1:4" x14ac:dyDescent="0.2">
      <c r="D14" s="131"/>
    </row>
    <row r="15" spans="1:4" x14ac:dyDescent="0.2">
      <c r="A15">
        <v>2100</v>
      </c>
      <c r="B15" t="s">
        <v>706</v>
      </c>
      <c r="C15" s="128">
        <f>ROUND('DOE25'!L203+'DOE25'!L221+'DOE25'!L239+'DOE25'!L282+'DOE25'!L301+'DOE25'!L320,0)</f>
        <v>934610</v>
      </c>
      <c r="D15" s="131">
        <f t="shared" ref="D15:D27" si="0">ROUND((C15/$C$28)*100,1)</f>
        <v>5.3</v>
      </c>
    </row>
    <row r="16" spans="1:4" x14ac:dyDescent="0.2">
      <c r="A16">
        <v>2200</v>
      </c>
      <c r="B16" t="s">
        <v>707</v>
      </c>
      <c r="C16" s="128">
        <f>ROUND('DOE25'!L204+'DOE25'!L222+'DOE25'!L240+'DOE25'!L283+'DOE25'!L302+'DOE25'!L321,0)</f>
        <v>1501940</v>
      </c>
      <c r="D16" s="131">
        <f t="shared" si="0"/>
        <v>8.6</v>
      </c>
    </row>
    <row r="17" spans="1:4" x14ac:dyDescent="0.2">
      <c r="A17" s="132" t="s">
        <v>723</v>
      </c>
      <c r="B17" t="s">
        <v>738</v>
      </c>
      <c r="C17" s="128">
        <f>ROUND('DOE25'!L205+'DOE25'!L210+'DOE25'!L223+'DOE25'!L228+'DOE25'!L241+'DOE25'!L246+'DOE25'!L284+'DOE25'!L289+'DOE25'!L303+'DOE25'!L308+'DOE25'!L322+'DOE25'!L327,0)</f>
        <v>842711</v>
      </c>
      <c r="D17" s="131">
        <f t="shared" si="0"/>
        <v>4.8</v>
      </c>
    </row>
    <row r="18" spans="1:4" x14ac:dyDescent="0.2">
      <c r="A18">
        <v>2400</v>
      </c>
      <c r="B18" t="s">
        <v>711</v>
      </c>
      <c r="C18" s="128">
        <f>ROUND('DOE25'!L206+'DOE25'!L224+'DOE25'!L242+'DOE25'!L285+'DOE25'!L304+'DOE25'!L323,0)</f>
        <v>807005</v>
      </c>
      <c r="D18" s="131">
        <f t="shared" si="0"/>
        <v>4.5999999999999996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1858379</v>
      </c>
      <c r="D20" s="131">
        <f t="shared" si="0"/>
        <v>10.6</v>
      </c>
    </row>
    <row r="21" spans="1:4" x14ac:dyDescent="0.2">
      <c r="A21">
        <v>2700</v>
      </c>
      <c r="B21" t="s">
        <v>710</v>
      </c>
      <c r="C21" s="128">
        <f>ROUND('DOE25'!L209+'DOE25'!L227+'DOE25'!L245+'DOE25'!L288+'DOE25'!L307+'DOE25'!L326,0)</f>
        <v>1010400</v>
      </c>
      <c r="D21" s="131">
        <f t="shared" si="0"/>
        <v>5.8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47335</v>
      </c>
      <c r="D24" s="131">
        <f t="shared" si="0"/>
        <v>0.3</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107385.53</v>
      </c>
      <c r="D27" s="131">
        <f t="shared" si="0"/>
        <v>0.6</v>
      </c>
    </row>
    <row r="28" spans="1:4" x14ac:dyDescent="0.2">
      <c r="B28" s="135" t="s">
        <v>719</v>
      </c>
      <c r="C28" s="129">
        <f>SUM(C10:C27)</f>
        <v>17522412.530000001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17522412.530000001</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9992135</v>
      </c>
      <c r="D35" s="131">
        <f t="shared" ref="D35:D40" si="1">ROUND((C35/$C$41)*100,1)</f>
        <v>51.6</v>
      </c>
    </row>
    <row r="36" spans="1:4" x14ac:dyDescent="0.2">
      <c r="B36" s="71" t="s">
        <v>739</v>
      </c>
      <c r="C36" s="128">
        <f>SUM('DOE25'!F112:J112)-SUM('DOE25'!G97:G110)+('DOE25'!F175+'DOE25'!F176+'DOE25'!I175+'DOE25'!I176)-C35</f>
        <v>1782911.4500000011</v>
      </c>
      <c r="D36" s="131">
        <f t="shared" si="1"/>
        <v>9.1999999999999993</v>
      </c>
    </row>
    <row r="37" spans="1:4" x14ac:dyDescent="0.2">
      <c r="A37" s="132" t="s">
        <v>831</v>
      </c>
      <c r="B37" s="71" t="s">
        <v>728</v>
      </c>
      <c r="C37" s="128">
        <f>ROUND('DOE25'!F117+'DOE25'!F118,0)</f>
        <v>6684886</v>
      </c>
      <c r="D37" s="131">
        <f t="shared" si="1"/>
        <v>34.5</v>
      </c>
    </row>
    <row r="38" spans="1:4" x14ac:dyDescent="0.2">
      <c r="A38" s="132" t="s">
        <v>734</v>
      </c>
      <c r="B38" s="71" t="s">
        <v>729</v>
      </c>
      <c r="C38" s="128">
        <f>ROUND(SUM('DOE25'!F140:J140)-SUM('DOE25'!F117:F119),0)</f>
        <v>142496</v>
      </c>
      <c r="D38" s="131">
        <f t="shared" si="1"/>
        <v>0.7</v>
      </c>
    </row>
    <row r="39" spans="1:4" x14ac:dyDescent="0.2">
      <c r="A39">
        <v>4000</v>
      </c>
      <c r="B39" s="71" t="s">
        <v>730</v>
      </c>
      <c r="C39" s="128">
        <f>ROUND('DOE25'!F170+'DOE25'!G170+'DOE25'!H170+'DOE25'!I170,0)</f>
        <v>751803</v>
      </c>
      <c r="D39" s="131">
        <f t="shared" si="1"/>
        <v>3.9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19354231.450000003</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Moultonborough</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206</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49</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62</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f>IF('School Level Expenditures'!$B$2='School Tables'!L52,'School Tables'!S52,"")</f>
        <v>49</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f>IF('School Level Expenditures'!$B$2='School Tables'!W65,'School Tables'!AD65,"")</f>
        <v>62</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f>IF('School Level Expenditures'!$B$2=A209,'School Tables'!H209,"")</f>
        <v>206</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2024-09-26T19:36:56Z</cp:lastPrinted>
  <dcterms:created xsi:type="dcterms:W3CDTF">1997-12-04T19:04:30Z</dcterms:created>
  <dcterms:modified xsi:type="dcterms:W3CDTF">2024-12-20T19:18:39Z</dcterms:modified>
</cp:coreProperties>
</file>