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F49562F5-8159-49E5-AFC0-47D2AA4F5280}"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9" i="12" l="1"/>
  <c r="C20" i="12"/>
  <c r="C21" i="12"/>
  <c r="B21" i="12"/>
  <c r="B20" i="12"/>
  <c r="E13" i="17"/>
  <c r="G527" i="1"/>
  <c r="F527" i="1"/>
  <c r="I522" i="1"/>
  <c r="H522" i="1"/>
  <c r="H159" i="1"/>
  <c r="H155" i="1"/>
  <c r="F50" i="1"/>
  <c r="F29" i="1"/>
  <c r="F28" i="1"/>
  <c r="AF104" i="15"/>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37" i="2" l="1"/>
  <c r="H138" i="2"/>
  <c r="H140" i="2"/>
  <c r="H142" i="2"/>
  <c r="P2" i="14"/>
  <c r="O2" i="14"/>
  <c r="Q45" i="14"/>
  <c r="P45" i="14"/>
  <c r="O45" i="14"/>
  <c r="N45" i="14"/>
  <c r="M45" i="14"/>
  <c r="L45" i="14"/>
  <c r="K45" i="14"/>
  <c r="Q34" i="14"/>
  <c r="P34" i="14"/>
  <c r="O34" i="14"/>
  <c r="N34" i="14"/>
  <c r="M34" i="14"/>
  <c r="L34" i="14"/>
  <c r="K34" i="14"/>
  <c r="Q21" i="14"/>
  <c r="P21" i="14"/>
  <c r="O21" i="14"/>
  <c r="N21" i="14"/>
  <c r="M21" i="14"/>
  <c r="L21" i="14"/>
  <c r="K21" i="14"/>
  <c r="I662" i="1"/>
  <c r="C2" i="1"/>
  <c r="B2" i="1"/>
  <c r="P3" i="14" l="1"/>
  <c r="O3" i="14"/>
  <c r="G42" i="13"/>
  <c r="H135" i="2"/>
  <c r="H136" i="2"/>
  <c r="H143" i="2"/>
  <c r="H134" i="2"/>
  <c r="H127" i="2"/>
  <c r="H122" i="2"/>
  <c r="H113" i="2"/>
  <c r="H114" i="2"/>
  <c r="H97" i="2"/>
  <c r="H98" i="2"/>
  <c r="H99" i="2"/>
  <c r="H100" i="2"/>
  <c r="H101" i="2"/>
  <c r="H102" i="2"/>
  <c r="H94" i="2"/>
  <c r="H93" i="2"/>
  <c r="H89" i="2"/>
  <c r="H90" i="2"/>
  <c r="H87" i="2"/>
  <c r="H85" i="2"/>
  <c r="H73" i="2"/>
  <c r="H74" i="2"/>
  <c r="H76" i="2"/>
  <c r="H77" i="2"/>
  <c r="H79" i="2"/>
  <c r="H80" i="2"/>
  <c r="H72" i="2"/>
  <c r="H69" i="2"/>
  <c r="H66" i="2"/>
  <c r="H58" i="2"/>
  <c r="H60" i="2"/>
  <c r="H48" i="2"/>
  <c r="H44" i="2"/>
  <c r="H42" i="2"/>
  <c r="H40" i="2"/>
  <c r="H39" i="2"/>
  <c r="H38" i="2"/>
  <c r="H36" i="2"/>
  <c r="H35" i="2"/>
  <c r="H34" i="2"/>
  <c r="H22" i="2"/>
  <c r="H23" i="2"/>
  <c r="H24" i="2"/>
  <c r="H25" i="2"/>
  <c r="H26" i="2"/>
  <c r="H30" i="2"/>
  <c r="H9" i="2"/>
  <c r="H10" i="2"/>
  <c r="H13" i="2"/>
  <c r="H14" i="2"/>
  <c r="H15"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H88" i="2" s="1"/>
  <c r="D88" i="2"/>
  <c r="C88" i="2"/>
  <c r="I163" i="1"/>
  <c r="H163" i="1"/>
  <c r="G163" i="1"/>
  <c r="F163" i="1"/>
  <c r="B31" i="16" l="1"/>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F99" i="15" s="1"/>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59" i="15" l="1"/>
  <c r="AF61" i="15"/>
  <c r="AF77"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D39" i="2"/>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D29" i="13" s="1"/>
  <c r="L359" i="1"/>
  <c r="L360" i="1"/>
  <c r="L361" i="1"/>
  <c r="G662" i="1" s="1"/>
  <c r="I368" i="1"/>
  <c r="J291" i="1"/>
  <c r="J310" i="1"/>
  <c r="J329" i="1"/>
  <c r="K291" i="1"/>
  <c r="K310" i="1"/>
  <c r="K329" i="1"/>
  <c r="L277" i="1"/>
  <c r="L278" i="1"/>
  <c r="L279" i="1"/>
  <c r="L280" i="1"/>
  <c r="L282" i="1"/>
  <c r="L283" i="1"/>
  <c r="L284" i="1"/>
  <c r="L285" i="1"/>
  <c r="L286" i="1"/>
  <c r="L287" i="1"/>
  <c r="L288" i="1"/>
  <c r="L289" i="1"/>
  <c r="E125" i="2" s="1"/>
  <c r="H125" i="2" s="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H131" i="2" s="1"/>
  <c r="L262" i="1"/>
  <c r="C132" i="2" s="1"/>
  <c r="H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H8" i="2" s="1"/>
  <c r="D8" i="2"/>
  <c r="E8" i="2"/>
  <c r="F8" i="2"/>
  <c r="I440" i="1"/>
  <c r="J9" i="1" s="1"/>
  <c r="G8" i="2" s="1"/>
  <c r="C9" i="2"/>
  <c r="D9" i="2"/>
  <c r="E9" i="2"/>
  <c r="F9" i="2"/>
  <c r="I441" i="1"/>
  <c r="J10" i="1" s="1"/>
  <c r="G9" i="2" s="1"/>
  <c r="C10" i="2"/>
  <c r="C11" i="2"/>
  <c r="D11" i="2"/>
  <c r="E11" i="2"/>
  <c r="F11" i="2"/>
  <c r="I442" i="1"/>
  <c r="J12" i="1" s="1"/>
  <c r="G11" i="2" s="1"/>
  <c r="C12" i="2"/>
  <c r="H12" i="2" s="1"/>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H21" i="2" s="1"/>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H27" i="2" s="1"/>
  <c r="D27" i="2"/>
  <c r="E27" i="2"/>
  <c r="F27" i="2"/>
  <c r="C28" i="2"/>
  <c r="H28" i="2" s="1"/>
  <c r="D28" i="2"/>
  <c r="E28" i="2"/>
  <c r="F28" i="2"/>
  <c r="C29" i="2"/>
  <c r="H29" i="2" s="1"/>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C61" i="2"/>
  <c r="H61" i="2" s="1"/>
  <c r="D61" i="2"/>
  <c r="E61" i="2"/>
  <c r="F61" i="2"/>
  <c r="C66" i="2"/>
  <c r="C67" i="2"/>
  <c r="H67" i="2" s="1"/>
  <c r="C69" i="2"/>
  <c r="D69" i="2"/>
  <c r="D70" i="2" s="1"/>
  <c r="E69" i="2"/>
  <c r="E70" i="2" s="1"/>
  <c r="F69" i="2"/>
  <c r="F70" i="2" s="1"/>
  <c r="G69" i="2"/>
  <c r="G70" i="2" s="1"/>
  <c r="C72" i="2"/>
  <c r="F72" i="2"/>
  <c r="C73" i="2"/>
  <c r="F73" i="2"/>
  <c r="C74" i="2"/>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H112" i="2" s="1"/>
  <c r="E112" i="2"/>
  <c r="D115" i="2"/>
  <c r="F115" i="2"/>
  <c r="G115" i="2"/>
  <c r="E120" i="2"/>
  <c r="E124" i="2"/>
  <c r="C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46" i="1"/>
  <c r="G651" i="1"/>
  <c r="G652" i="1"/>
  <c r="H653" i="1"/>
  <c r="G654" i="1"/>
  <c r="H654" i="1"/>
  <c r="H655" i="1"/>
  <c r="H656" i="1"/>
  <c r="I170" i="1"/>
  <c r="H477" i="1" l="1"/>
  <c r="H625" i="1" s="1"/>
  <c r="J625" i="1" s="1"/>
  <c r="J652" i="1"/>
  <c r="H11" i="2"/>
  <c r="G409" i="1"/>
  <c r="H646" i="1" s="1"/>
  <c r="D15" i="13"/>
  <c r="C15" i="13" s="1"/>
  <c r="K36" i="14"/>
  <c r="K37" i="14" s="1"/>
  <c r="C12" i="10"/>
  <c r="C120" i="2"/>
  <c r="H120" i="2" s="1"/>
  <c r="C119" i="2"/>
  <c r="K2" i="14"/>
  <c r="K3" i="14" s="1"/>
  <c r="G62" i="2"/>
  <c r="H59"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H78" i="2" s="1"/>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H62" i="2" s="1"/>
  <c r="G22" i="13"/>
  <c r="C22" i="13" s="1"/>
  <c r="L540" i="1"/>
  <c r="K504" i="1"/>
  <c r="L383" i="1"/>
  <c r="G637" i="1" s="1"/>
  <c r="J637" i="1" s="1"/>
  <c r="G258" i="1"/>
  <c r="G272" i="1" s="1"/>
  <c r="C142" i="2"/>
  <c r="C111" i="2"/>
  <c r="H111" i="2" s="1"/>
  <c r="H662" i="1"/>
  <c r="C15" i="10"/>
  <c r="A13" i="12"/>
  <c r="C29" i="13"/>
  <c r="D12" i="13"/>
  <c r="C12" i="13" s="1"/>
  <c r="D5" i="13"/>
  <c r="C5" i="13" s="1"/>
  <c r="E8" i="13"/>
  <c r="C8" i="13" s="1"/>
  <c r="C35" i="10"/>
  <c r="C29" i="10"/>
  <c r="G650" i="1"/>
  <c r="J650" i="1" s="1"/>
  <c r="L545" i="1"/>
  <c r="L525" i="1"/>
  <c r="J339" i="1"/>
  <c r="J353" i="1" s="1"/>
  <c r="D127" i="2"/>
  <c r="D128" i="2" s="1"/>
  <c r="D145" i="2" s="1"/>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H103" i="2" s="1"/>
  <c r="F103" i="2"/>
  <c r="C103" i="2"/>
  <c r="F91" i="2"/>
  <c r="E50" i="2"/>
  <c r="C50" i="2"/>
  <c r="F31" i="2"/>
  <c r="C31" i="2"/>
  <c r="H31" i="2" s="1"/>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50" i="2" l="1"/>
  <c r="H119" i="2"/>
  <c r="C81" i="2"/>
  <c r="H81" i="2" s="1"/>
  <c r="F194" i="1"/>
  <c r="G628" i="1" s="1"/>
  <c r="J628" i="1" s="1"/>
  <c r="E5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28" i="10"/>
  <c r="D23" i="10" s="1"/>
  <c r="C51" i="2"/>
  <c r="G632" i="1"/>
  <c r="J632" i="1" s="1"/>
  <c r="G194" i="1"/>
  <c r="G629" i="1" s="1"/>
  <c r="J629" i="1" s="1"/>
  <c r="G627" i="1"/>
  <c r="J627" i="1" s="1"/>
  <c r="J52" i="1"/>
  <c r="H622" i="1" s="1"/>
  <c r="J622" i="1" s="1"/>
  <c r="C38" i="10"/>
  <c r="H51" i="2" l="1"/>
  <c r="C144" i="2"/>
  <c r="H144" i="2" s="1"/>
  <c r="H14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<sst xmlns="http://schemas.openxmlformats.org/spreadsheetml/2006/main" count="6646" uniqueCount="1843">
  <si>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</si>
  <si>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</si>
  <si>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</si>
  <si>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</si>
  <si>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</si>
  <si>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</si>
  <si>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</si>
  <si>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</si>
  <si>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</si>
  <si>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</si>
  <si>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</si>
  <si>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</si>
  <si>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</si>
  <si>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</si>
  <si>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</si>
  <si>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</si>
  <si>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</si>
  <si>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</si>
  <si>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</si>
  <si>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</si>
  <si>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</si>
  <si>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</si>
  <si>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</si>
  <si>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</si>
  <si>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</si>
  <si>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</si>
  <si>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</si>
  <si>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</si>
  <si>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</si>
  <si>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</si>
  <si>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</si>
  <si>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</si>
  <si>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</si>
  <si>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</si>
  <si>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</si>
  <si>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</si>
  <si>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</si>
  <si>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</si>
  <si>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</si>
  <si>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</si>
  <si>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</si>
  <si>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</si>
  <si>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</si>
  <si>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</si>
  <si>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</si>
  <si>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</si>
  <si>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</si>
  <si>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</si>
  <si>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</si>
  <si>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</si>
  <si>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</si>
  <si>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</si>
  <si>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</si>
  <si>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</si>
  <si>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</si>
  <si>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</si>
  <si>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</si>
  <si>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</si>
  <si>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</si>
  <si>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</si>
  <si>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</si>
  <si>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</si>
  <si>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</si>
  <si>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</si>
  <si>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</si>
  <si>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</si>
  <si>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</si>
  <si>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</si>
  <si>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</si>
  <si>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</si>
  <si>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</si>
  <si>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</si>
  <si>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</si>
  <si>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</si>
  <si>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</si>
  <si>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</si>
  <si>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</si>
  <si>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</si>
  <si>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</si>
  <si>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</si>
  <si>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</si>
  <si>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</si>
  <si>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</si>
  <si>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</si>
  <si>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</si>
  <si>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</si>
  <si>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</si>
  <si>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</si>
  <si>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</si>
  <si>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</si>
  <si>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</si>
  <si>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</si>
  <si>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</si>
  <si>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</si>
  <si>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</si>
  <si>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</si>
  <si>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</si>
  <si>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</si>
  <si>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</si>
  <si>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</si>
  <si>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</si>
  <si>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</si>
  <si>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</si>
  <si>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</si>
  <si>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</si>
  <si>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</si>
  <si>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</si>
  <si>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</si>
  <si>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</si>
  <si>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</si>
  <si>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</si>
  <si>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</si>
  <si>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</si>
  <si>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</si>
  <si>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</si>
  <si>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</si>
  <si>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</si>
  <si>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</si>
  <si>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</si>
  <si>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</si>
  <si>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</si>
  <si>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</si>
  <si>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</si>
  <si>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</si>
  <si>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</si>
  <si>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</si>
  <si>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</si>
  <si>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</si>
  <si>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</si>
  <si>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</si>
  <si>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</si>
  <si>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</si>
  <si>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</si>
  <si>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</si>
  <si>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</si>
  <si>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</si>
  <si>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</si>
  <si>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</si>
  <si>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</si>
  <si>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</si>
  <si>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</si>
  <si>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</si>
  <si>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</si>
  <si>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</si>
  <si>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</si>
  <si>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</si>
  <si>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</si>
  <si>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</si>
  <si>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</si>
  <si>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</si>
  <si>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</si>
  <si>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</si>
  <si>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</si>
  <si>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</si>
  <si>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</si>
  <si>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</si>
  <si>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</si>
  <si>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</si>
  <si>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</si>
  <si>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</si>
  <si>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</si>
  <si>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</si>
  <si>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</si>
  <si>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</si>
  <si>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</si>
  <si>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</si>
  <si>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</si>
  <si>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</si>
  <si>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</si>
  <si>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</si>
  <si>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</si>
  <si>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</si>
  <si>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</si>
  <si>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</si>
  <si>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</si>
  <si>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</si>
  <si>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</si>
  <si>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</si>
  <si>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</si>
  <si>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</si>
  <si>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</si>
  <si>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</si>
  <si>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</si>
  <si>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</si>
  <si>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</si>
  <si>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</si>
  <si>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</si>
  <si>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</si>
  <si>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</si>
  <si>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</si>
  <si>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</si>
  <si>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</si>
  <si>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</si>
  <si>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</si>
  <si>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</si>
  <si>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</si>
  <si>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</si>
  <si>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</si>
  <si>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</si>
  <si>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</si>
  <si>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</si>
  <si>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</si>
  <si>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</si>
  <si>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</si>
  <si>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</si>
  <si>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</si>
  <si>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</si>
  <si>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</si>
  <si>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</si>
  <si>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</si>
  <si>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</si>
  <si>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</si>
  <si>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</si>
  <si>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</si>
  <si>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</si>
  <si>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</si>
  <si>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</si>
  <si>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</si>
  <si>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</si>
  <si>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</si>
  <si>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</si>
  <si>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</si>
  <si>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</si>
  <si>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</si>
  <si>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</si>
  <si>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</si>
  <si>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</si>
  <si>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</si>
  <si>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</si>
  <si>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</si>
  <si>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</si>
  <si>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</si>
  <si>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</si>
  <si>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</si>
  <si>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</si>
  <si>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</si>
  <si>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</si>
  <si>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</si>
  <si>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</si>
  <si>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</si>
  <si>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</si>
  <si>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</si>
  <si>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</si>
  <si>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</si>
  <si>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</si>
  <si>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</si>
  <si>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</si>
  <si>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</si>
  <si>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</si>
  <si>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</si>
  <si>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</si>
  <si>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</si>
  <si>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</si>
  <si>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</si>
  <si>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</si>
  <si>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</si>
  <si>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</si>
  <si>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</si>
  <si>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</si>
  <si>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</si>
  <si>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</si>
  <si>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</si>
  <si>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</si>
  <si>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</si>
  <si>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</si>
  <si>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</si>
  <si>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</si>
  <si>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</si>
  <si>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</si>
  <si>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</si>
  <si>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</si>
  <si>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</si>
  <si>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</si>
  <si>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</si>
  <si>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</si>
  <si>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</si>
  <si>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</si>
  <si>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</si>
  <si>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</si>
  <si>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</si>
  <si>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</si>
  <si>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</si>
  <si>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</si>
  <si>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</si>
  <si>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</si>
  <si>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</si>
  <si>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</si>
  <si>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</si>
  <si>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</si>
  <si>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</si>
  <si>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</si>
  <si>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</si>
  <si>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</si>
  <si>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</si>
  <si>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</si>
  <si>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</si>
  <si>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</si>
  <si>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</si>
  <si>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</si>
  <si>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</si>
  <si>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</si>
  <si>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</si>
  <si>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</si>
  <si>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</si>
  <si>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</si>
  <si>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</si>
  <si>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</si>
  <si>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</si>
  <si>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</si>
  <si>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</si>
  <si>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</si>
  <si>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</si>
  <si>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</si>
  <si>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</si>
  <si>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</si>
  <si>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</si>
  <si>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</si>
  <si>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</si>
  <si>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</si>
  <si>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</si>
  <si>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</si>
  <si>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</si>
  <si>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</si>
  <si>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</si>
  <si>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</si>
  <si>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</si>
  <si>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</si>
  <si>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</si>
  <si>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</si>
  <si>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</si>
  <si>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</si>
  <si>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</si>
  <si>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</si>
  <si>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</si>
  <si>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</si>
  <si>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</si>
  <si>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</si>
  <si>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</si>
  <si>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</si>
  <si>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</si>
  <si>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</si>
  <si>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</si>
  <si>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</si>
  <si>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</si>
  <si>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</si>
  <si>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</si>
  <si>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</si>
  <si>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</si>
  <si>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</si>
  <si>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</si>
  <si>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</si>
  <si>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</si>
  <si>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</si>
  <si>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</si>
  <si>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</si>
  <si>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</si>
  <si>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</si>
  <si>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</si>
  <si>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</si>
  <si>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</si>
  <si>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</si>
  <si>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</si>
  <si>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</si>
  <si>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</si>
  <si>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</si>
  <si>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</si>
  <si>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</si>
  <si>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</si>
  <si>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</si>
  <si>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</si>
  <si>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</si>
  <si>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</si>
  <si>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</si>
  <si>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</si>
  <si>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</si>
  <si>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</si>
  <si>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</si>
  <si>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</si>
  <si>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</si>
  <si>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</si>
  <si>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</si>
  <si>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</si>
  <si>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</si>
  <si>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</si>
  <si>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</si>
  <si>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</si>
  <si>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</si>
  <si>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</si>
  <si>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</si>
  <si>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</si>
  <si>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</si>
  <si>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</si>
  <si>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</si>
  <si>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</si>
  <si>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</si>
  <si>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</si>
  <si>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</si>
  <si>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</si>
  <si>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</si>
  <si>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</si>
  <si>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</si>
  <si>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</si>
  <si>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</si>
  <si>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</si>
  <si>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</si>
  <si>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</si>
  <si>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</si>
  <si>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</si>
  <si>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</si>
  <si>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</si>
  <si>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</si>
  <si>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</si>
  <si>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</si>
  <si>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</si>
  <si>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</si>
  <si>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</si>
  <si>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</si>
  <si>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</si>
  <si>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</si>
  <si>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</si>
  <si>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</si>
  <si>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</si>
  <si>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</si>
  <si>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</si>
  <si>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</si>
  <si>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</si>
  <si>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</si>
  <si>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</si>
  <si>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</si>
  <si>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</si>
  <si>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</si>
  <si>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</si>
  <si>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</si>
  <si>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</si>
  <si>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</si>
  <si>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</si>
  <si>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</si>
  <si>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</si>
  <si>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</si>
  <si>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</si>
  <si>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</si>
  <si>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</si>
  <si>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</si>
  <si>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</si>
  <si>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</si>
  <si>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</si>
  <si>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</si>
  <si>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</si>
  <si>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</si>
  <si>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</si>
  <si>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</si>
  <si>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</si>
  <si>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</si>
  <si>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</si>
  <si>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</si>
  <si>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</si>
  <si>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</si>
  <si>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</si>
  <si>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</si>
  <si>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</si>
  <si>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</si>
  <si>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</si>
  <si>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</si>
  <si>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</si>
  <si>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</si>
  <si>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</si>
  <si>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</si>
  <si>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</si>
  <si>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</si>
  <si>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</si>
  <si>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</si>
  <si>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</si>
  <si>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</si>
  <si>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</si>
  <si>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</si>
  <si>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</si>
  <si>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</si>
  <si>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</si>
  <si>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</si>
  <si>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</si>
  <si>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</si>
  <si>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</si>
  <si>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</si>
  <si>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</si>
  <si>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</si>
  <si>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</si>
  <si>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</si>
  <si>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</si>
  <si>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</si>
  <si>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</si>
  <si>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</si>
  <si>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</si>
  <si>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</si>
  <si>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</si>
  <si>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</si>
  <si>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</si>
  <si>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</si>
  <si>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</si>
  <si>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</si>
  <si>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</si>
  <si>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</si>
  <si>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</si>
  <si>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</si>
  <si>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</si>
  <si>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</si>
  <si>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</si>
  <si>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</si>
  <si>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</si>
  <si>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</si>
  <si>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</si>
  <si>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</si>
  <si>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</si>
  <si>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</si>
  <si>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</si>
  <si>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</si>
  <si>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</si>
  <si>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</si>
  <si>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</si>
  <si>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</si>
  <si>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</si>
  <si>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</si>
  <si>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</si>
  <si>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</si>
  <si>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</si>
  <si>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</si>
  <si>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</si>
  <si>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</si>
  <si>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</si>
  <si>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</si>
  <si>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</si>
  <si>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</si>
  <si>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</si>
  <si>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</si>
  <si>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</si>
  <si>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</si>
  <si>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</si>
  <si>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</si>
  <si>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</si>
  <si>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</si>
  <si>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</si>
  <si>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</si>
  <si>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</si>
  <si>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</si>
  <si>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</si>
  <si>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</si>
  <si>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</si>
  <si>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</si>
  <si>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</si>
  <si>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</si>
  <si>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</si>
  <si>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</si>
  <si>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</si>
  <si>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</si>
  <si>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</si>
  <si>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</si>
  <si>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</si>
  <si>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</si>
  <si>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</si>
  <si>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</si>
  <si>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</si>
  <si>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</si>
  <si>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</si>
  <si>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</si>
  <si>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</si>
  <si>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</si>
  <si>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</si>
  <si>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</si>
  <si>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</si>
  <si>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</si>
  <si>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</si>
  <si>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</si>
  <si>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</si>
  <si>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</si>
  <si>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</si>
  <si>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</si>
  <si>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</si>
  <si>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</si>
  <si>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</si>
  <si>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</si>
  <si>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</si>
  <si>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</si>
  <si>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</si>
  <si>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</si>
  <si>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</si>
  <si>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</si>
  <si>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</si>
  <si>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</si>
  <si>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</si>
  <si>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</si>
  <si>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</si>
  <si>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</si>
  <si>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</si>
  <si>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</si>
  <si>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</si>
  <si>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</si>
  <si>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</si>
  <si>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</si>
  <si>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</si>
  <si>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</si>
  <si>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</si>
  <si>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</si>
  <si>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</si>
  <si>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</si>
  <si>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</si>
  <si>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</si>
  <si>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</si>
  <si>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</si>
  <si>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</si>
  <si>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</si>
  <si>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</si>
  <si>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</si>
  <si>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</si>
  <si>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</si>
  <si>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</si>
  <si>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</si>
  <si>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</si>
  <si>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</si>
  <si>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</si>
  <si>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</si>
  <si>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</si>
  <si>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</si>
  <si>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</si>
  <si>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</si>
  <si>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</si>
  <si>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</si>
  <si>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</si>
  <si>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</si>
  <si>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</si>
  <si>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</si>
  <si>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</si>
  <si>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</si>
  <si>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</si>
  <si>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</si>
  <si>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</si>
  <si>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</si>
  <si>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</si>
  <si>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</si>
  <si>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</si>
  <si>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</si>
  <si>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</si>
  <si>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</si>
  <si>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</si>
  <si>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</si>
  <si>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</si>
  <si>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</si>
  <si>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</si>
  <si>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</si>
  <si>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</si>
  <si>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</si>
  <si>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</si>
  <si>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</si>
  <si>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</si>
  <si>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</si>
  <si>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</si>
  <si>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</si>
  <si>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</si>
  <si>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</si>
  <si>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</si>
  <si>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</si>
  <si>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</si>
  <si>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</si>
  <si>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</si>
  <si>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</si>
  <si>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</si>
  <si>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</si>
  <si>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</si>
  <si>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</si>
  <si>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</si>
  <si>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</si>
  <si>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</si>
  <si>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</si>
  <si>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</si>
  <si>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</si>
  <si>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</si>
  <si>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</si>
  <si>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</si>
  <si>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</si>
  <si>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</si>
  <si>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</si>
  <si>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</si>
  <si>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</si>
  <si>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</si>
  <si>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</si>
  <si>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</si>
  <si>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</si>
  <si>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</si>
  <si>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</si>
  <si>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</si>
  <si>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</si>
  <si>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</si>
  <si>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</si>
  <si>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</si>
  <si>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</si>
  <si>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</si>
  <si>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</si>
  <si>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</si>
  <si>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</si>
  <si>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</si>
  <si>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</si>
  <si>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</si>
  <si>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</si>
  <si>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</si>
  <si>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</si>
  <si>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</si>
  <si>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</si>
  <si>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</si>
  <si>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</si>
  <si>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</si>
  <si>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</si>
  <si>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</si>
  <si>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</si>
  <si>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</si>
  <si>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</si>
  <si>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</si>
  <si>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</si>
  <si>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</si>
  <si>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</si>
  <si>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</si>
  <si>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</si>
  <si>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</si>
  <si>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</si>
  <si>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</si>
  <si>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</si>
  <si>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</si>
  <si>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</si>
  <si>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</si>
  <si>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</si>
  <si>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</si>
  <si>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</si>
  <si>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</si>
  <si>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</si>
  <si>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</si>
  <si>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</si>
  <si>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</si>
  <si>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</si>
  <si>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</si>
  <si>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</si>
  <si>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</si>
  <si>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</si>
  <si>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</si>
  <si>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</si>
  <si>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</si>
  <si>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</si>
  <si>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</si>
  <si>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</si>
  <si>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</si>
  <si>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</si>
  <si>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</si>
  <si>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</si>
  <si>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</si>
  <si>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</si>
  <si>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</si>
  <si>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</si>
  <si>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</si>
  <si>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</si>
  <si>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</si>
  <si>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</si>
  <si>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</si>
  <si>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</si>
  <si>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</si>
  <si>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</si>
  <si>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</si>
  <si>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</si>
  <si>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</si>
  <si>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</si>
  <si>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</si>
  <si>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</si>
  <si>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</si>
  <si>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</si>
  <si>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</si>
  <si>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</si>
  <si>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</si>
  <si>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</si>
  <si>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</si>
  <si>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</si>
  <si>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</si>
  <si>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</si>
  <si>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</si>
  <si>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</si>
  <si>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</si>
  <si>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</si>
  <si>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</si>
  <si>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</si>
  <si>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</si>
  <si>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</si>
  <si>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</si>
  <si>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</si>
  <si>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</si>
  <si>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</si>
  <si>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</si>
  <si>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</si>
  <si>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</si>
  <si>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</si>
  <si>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</si>
  <si>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</si>
  <si>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</si>
  <si>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</si>
  <si>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</si>
  <si>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</si>
  <si>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</si>
  <si>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</si>
  <si>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</si>
  <si>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</si>
  <si>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</si>
  <si>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</si>
  <si>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</si>
  <si>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</si>
  <si>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</si>
  <si>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</si>
  <si>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</si>
  <si>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</si>
  <si>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</si>
  <si>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</si>
  <si>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</si>
  <si>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</si>
  <si>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</si>
  <si>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</si>
  <si>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</si>
  <si>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</si>
  <si>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</si>
  <si>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</si>
  <si>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</si>
  <si>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</si>
  <si>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</si>
  <si>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</si>
  <si>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</si>
  <si>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</si>
  <si>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</si>
  <si>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</si>
  <si>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</si>
  <si>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</si>
  <si>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</si>
  <si>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</si>
  <si>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</si>
  <si>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</si>
  <si>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</si>
  <si>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</si>
  <si>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</si>
  <si>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</si>
  <si>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</si>
  <si>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</si>
  <si>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</si>
  <si>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</si>
  <si>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</si>
  <si>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</si>
  <si>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</si>
  <si>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</si>
  <si>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</si>
  <si>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</si>
  <si>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</si>
  <si>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</si>
  <si>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</si>
  <si>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</si>
  <si>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</si>
  <si>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</si>
  <si>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</si>
  <si>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</si>
  <si>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</si>
  <si>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</si>
  <si>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</si>
  <si>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</si>
  <si>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</si>
  <si>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</si>
  <si>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</si>
  <si>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</si>
  <si>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</si>
  <si>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</si>
  <si>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</si>
  <si>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</si>
  <si>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</si>
  <si>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</si>
  <si>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</si>
  <si>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</si>
  <si>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</si>
  <si>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</si>
  <si>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</si>
  <si>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</si>
  <si>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</si>
  <si>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</si>
  <si>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</si>
  <si>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</si>
  <si>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</si>
  <si>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</si>
  <si>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</si>
  <si>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</si>
  <si>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</si>
  <si>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</si>
  <si>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</si>
  <si>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</si>
  <si>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</si>
  <si>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</si>
  <si>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</si>
  <si>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</si>
  <si>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</si>
  <si>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</si>
  <si>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</si>
  <si>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</si>
  <si>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</si>
  <si>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</si>
  <si>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</si>
  <si>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</si>
  <si>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</si>
  <si>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</si>
  <si>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</si>
  <si>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</si>
  <si>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</si>
  <si>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</si>
  <si>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</si>
  <si>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</si>
  <si>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</si>
  <si>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</si>
  <si>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</si>
  <si>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</si>
  <si>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</si>
  <si>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</si>
  <si>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</si>
  <si>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</si>
  <si>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</si>
  <si>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</si>
  <si>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</si>
  <si>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</si>
  <si>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</si>
  <si>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</si>
  <si>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</si>
  <si>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</si>
  <si>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</si>
  <si>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</si>
  <si>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</si>
  <si>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</si>
  <si>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</si>
  <si>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</si>
  <si>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</si>
  <si>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</si>
  <si>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</si>
  <si>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</si>
  <si>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</si>
  <si>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</si>
  <si>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</si>
  <si>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</si>
  <si>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</si>
  <si>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</si>
  <si>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</si>
  <si>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</si>
  <si>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</si>
  <si>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</si>
  <si>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</si>
  <si>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</si>
  <si>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</si>
  <si>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</si>
  <si>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</si>
  <si>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</si>
  <si>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</si>
  <si>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</si>
  <si>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</si>
  <si>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</si>
  <si>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</si>
  <si>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</si>
  <si>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</si>
  <si>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</si>
  <si>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</si>
  <si>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</si>
  <si>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</si>
  <si>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</si>
  <si>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</si>
  <si>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</si>
  <si>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</si>
  <si>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</si>
  <si>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</si>
  <si>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</si>
  <si>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</si>
  <si>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</si>
  <si>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</si>
  <si>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</si>
  <si>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</si>
  <si>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</si>
  <si>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</si>
  <si>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</si>
  <si>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</si>
  <si>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</si>
  <si>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</si>
  <si>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</si>
  <si>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</si>
  <si>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</si>
  <si>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</si>
  <si>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</si>
  <si>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</si>
  <si>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</si>
  <si>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</si>
  <si>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</si>
  <si>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</si>
  <si>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</si>
  <si>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</si>
  <si>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</si>
  <si>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</si>
  <si>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</si>
  <si>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</si>
  <si>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</si>
  <si>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</si>
  <si>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</si>
  <si>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</si>
  <si>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</si>
  <si>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</si>
  <si>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</si>
  <si>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</si>
  <si>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</si>
  <si>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</si>
  <si>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</si>
  <si>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</si>
  <si>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</si>
  <si>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</si>
  <si>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</si>
  <si>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</si>
  <si>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</si>
  <si>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</si>
  <si>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</si>
  <si>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</si>
  <si>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</si>
  <si>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</si>
  <si>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</si>
  <si>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</si>
  <si>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</si>
  <si>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</si>
  <si>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</si>
  <si>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</si>
  <si>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</si>
  <si>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</si>
  <si>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</si>
  <si>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</si>
  <si>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</si>
  <si>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</si>
  <si>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</si>
  <si>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</si>
  <si>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</si>
  <si>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</si>
  <si>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</si>
  <si>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</si>
  <si>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</si>
  <si>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</si>
  <si>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</si>
  <si>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</si>
  <si>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</si>
  <si>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</si>
  <si>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</si>
  <si>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</si>
  <si>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</si>
  <si>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</si>
  <si>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</si>
  <si>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</si>
  <si>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</si>
  <si>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</si>
  <si>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</si>
  <si>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</si>
  <si>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</si>
  <si>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</si>
  <si>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</si>
  <si>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</si>
  <si>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</si>
  <si>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</si>
  <si>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</si>
  <si>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</si>
  <si>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</si>
  <si>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</si>
  <si>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</si>
  <si>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</si>
  <si>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</si>
  <si>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</si>
  <si>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</si>
  <si>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</si>
  <si>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</si>
  <si>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</si>
  <si>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</si>
  <si>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</si>
  <si>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</si>
  <si>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</si>
  <si>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</si>
  <si>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</si>
  <si>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</si>
  <si>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</si>
  <si>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</si>
  <si>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</si>
  <si>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</si>
  <si>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</si>
  <si>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</si>
  <si>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</si>
  <si>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</si>
  <si>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</si>
  <si>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</si>
  <si>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</si>
  <si>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</si>
  <si>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</si>
  <si>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</si>
  <si>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</si>
  <si>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</si>
  <si>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</si>
  <si>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</si>
  <si>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</si>
  <si>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</si>
  <si>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</si>
  <si>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</si>
  <si>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</si>
  <si>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</si>
  <si>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</si>
  <si>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</si>
  <si>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</si>
  <si>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</si>
  <si>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</si>
  <si>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</si>
  <si>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</si>
  <si>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</si>
  <si>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</si>
  <si>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</si>
  <si>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</si>
  <si>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</si>
  <si>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</si>
  <si>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</si>
  <si>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</si>
  <si>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</si>
  <si>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</si>
  <si>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</si>
  <si>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</si>
  <si>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</si>
  <si>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</si>
  <si>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</si>
  <si>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</si>
  <si>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</si>
  <si>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</si>
  <si>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</si>
  <si>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</si>
  <si>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</si>
  <si>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</si>
  <si>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</si>
  <si>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</si>
  <si>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</si>
  <si>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</si>
  <si>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</si>
  <si>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</si>
  <si>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</si>
  <si>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</si>
  <si>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</si>
  <si>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</si>
  <si>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</si>
  <si>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</si>
  <si>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</si>
  <si>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</si>
  <si>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</si>
  <si>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</si>
  <si>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</si>
  <si>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</si>
  <si>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</si>
  <si>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</si>
  <si>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</si>
  <si>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</si>
  <si>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</si>
  <si>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</si>
  <si>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</si>
  <si>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</si>
  <si>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</si>
  <si>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</si>
  <si>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</si>
  <si>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</si>
  <si>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</si>
  <si>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</si>
  <si>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</si>
  <si>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</si>
  <si>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</si>
  <si>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</si>
  <si>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</si>
  <si>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</si>
  <si>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</si>
  <si>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</si>
  <si>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</si>
  <si>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</si>
  <si>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</si>
  <si>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</si>
  <si>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</si>
  <si>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</si>
  <si>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</si>
  <si>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</si>
  <si>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</si>
  <si>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</si>
  <si>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</si>
  <si>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</si>
  <si>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</si>
  <si>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</si>
  <si>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</si>
  <si>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</si>
  <si>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</si>
  <si>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</si>
  <si>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</si>
  <si>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</si>
  <si>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</si>
  <si>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</si>
  <si>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</si>
  <si>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</si>
  <si>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</si>
  <si>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</si>
  <si>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</si>
  <si>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</si>
  <si>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</si>
  <si>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</si>
  <si>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</si>
  <si>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</si>
  <si>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</si>
  <si>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</si>
  <si>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</si>
  <si>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</si>
  <si>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</si>
  <si>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</si>
  <si>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</si>
  <si>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</si>
  <si>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</si>
  <si>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</si>
  <si>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</si>
  <si>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</si>
  <si>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</si>
  <si>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</si>
  <si>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</si>
  <si>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</si>
  <si>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</si>
  <si>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</si>
  <si>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</si>
  <si>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</si>
  <si>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</si>
  <si>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</si>
  <si>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</si>
  <si>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</si>
  <si>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</si>
  <si>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</si>
  <si>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</si>
  <si>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</si>
  <si>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</si>
  <si>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</si>
  <si>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</si>
  <si>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</si>
  <si>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</si>
  <si>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</si>
  <si>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</si>
  <si>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</si>
  <si>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</si>
  <si>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</si>
  <si>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</si>
  <si>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</si>
  <si>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</si>
  <si>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</si>
  <si>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</si>
  <si>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</si>
  <si>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</si>
  <si>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</si>
  <si>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</si>
  <si>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</si>
  <si>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</si>
  <si>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</si>
  <si>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</si>
  <si>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</si>
  <si>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</si>
  <si>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</si>
  <si>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</si>
  <si>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</si>
  <si>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</si>
  <si>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</si>
  <si>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</si>
  <si>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</si>
  <si>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</si>
  <si>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</si>
  <si>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</si>
  <si>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</si>
  <si>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</si>
  <si>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</si>
  <si>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</si>
  <si>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</si>
  <si>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</si>
  <si>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</si>
  <si>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</si>
  <si>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</si>
  <si>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</si>
  <si>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</si>
  <si>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</si>
  <si>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</si>
  <si>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</si>
  <si>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</si>
  <si>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</si>
  <si>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</si>
  <si>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</si>
  <si>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</si>
  <si>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</si>
  <si>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</si>
  <si>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</si>
  <si>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</si>
  <si>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</si>
  <si>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</si>
  <si>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</si>
  <si>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</si>
  <si>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</si>
  <si>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</si>
  <si>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</si>
  <si>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</si>
  <si>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</si>
  <si>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</si>
  <si>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</si>
  <si>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</si>
  <si>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</si>
  <si>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</si>
  <si>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</si>
  <si>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</si>
  <si>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</si>
  <si>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</si>
  <si>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</si>
  <si>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</si>
  <si>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</si>
  <si>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</si>
  <si>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</si>
  <si>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</si>
  <si>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</si>
  <si>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</si>
  <si>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</si>
  <si>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</si>
  <si>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</si>
  <si>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</si>
  <si>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</si>
  <si>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</si>
  <si>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</si>
  <si>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</si>
  <si>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</si>
  <si>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</si>
  <si>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</si>
  <si>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</si>
  <si>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</si>
  <si>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</si>
  <si>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</si>
  <si>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</si>
  <si>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</si>
  <si>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</si>
  <si>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</si>
  <si>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</si>
  <si>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</si>
  <si>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</si>
  <si>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</si>
  <si>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</si>
  <si>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</si>
  <si>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</si>
  <si>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</si>
  <si>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</si>
  <si>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</si>
  <si>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</si>
  <si>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</si>
  <si>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</si>
  <si>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</si>
  <si>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</si>
  <si>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</si>
  <si>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</si>
  <si>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</si>
  <si>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</si>
  <si>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</si>
  <si>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</si>
  <si>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</si>
  <si>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</si>
  <si>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</si>
  <si>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</si>
  <si>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</si>
  <si>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</si>
  <si>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</si>
  <si>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</si>
  <si>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</si>
  <si>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</si>
  <si>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</si>
  <si>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</si>
  <si>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</si>
  <si>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</si>
  <si>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</si>
  <si>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</si>
  <si>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</si>
  <si>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</si>
  <si>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</si>
  <si>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</si>
  <si>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</si>
  <si>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</si>
  <si>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</si>
  <si>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</si>
  <si>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</si>
  <si>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</si>
  <si>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</si>
  <si>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</si>
  <si>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</si>
  <si>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</si>
  <si>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</si>
  <si>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</si>
  <si>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</si>
  <si>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</si>
  <si>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</si>
  <si>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</si>
  <si>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</si>
  <si>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</si>
  <si>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</si>
  <si>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</si>
  <si>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</si>
  <si>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</si>
  <si>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</si>
  <si>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</si>
  <si>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</si>
  <si>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</si>
  <si>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</si>
  <si>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</si>
  <si>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</si>
  <si>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</si>
  <si>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</si>
  <si>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</si>
  <si>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</si>
  <si>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</si>
  <si>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</si>
  <si>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</si>
  <si>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</si>
  <si>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</si>
  <si>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</si>
  <si>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</si>
  <si>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</si>
  <si>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</si>
  <si>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</si>
  <si>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</si>
  <si>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</si>
  <si>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</si>
  <si>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</si>
  <si>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</si>
  <si>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</si>
  <si>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</si>
  <si>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</si>
  <si>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</si>
  <si>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</si>
  <si>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</si>
  <si>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</si>
  <si>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</si>
  <si>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</si>
  <si>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</si>
  <si>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</si>
  <si>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</si>
  <si>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</si>
  <si>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</si>
  <si>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</si>
  <si>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</si>
  <si>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</si>
  <si>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</si>
  <si>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</si>
  <si>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</si>
  <si>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</si>
  <si>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</si>
  <si>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</si>
  <si>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</si>
  <si>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</si>
  <si>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</si>
  <si>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</si>
  <si>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</si>
  <si>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</si>
  <si>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</si>
  <si>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</si>
  <si>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</si>
  <si>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</si>
  <si>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</si>
  <si>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</si>
  <si>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</si>
  <si>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</si>
  <si>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</si>
  <si>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</si>
  <si>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</si>
  <si>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</si>
  <si>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</si>
  <si>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</si>
  <si>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</si>
  <si>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</si>
  <si>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</si>
  <si>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</si>
  <si>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</si>
  <si>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</si>
  <si>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</si>
  <si>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</si>
  <si>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</si>
  <si>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</si>
  <si>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</si>
  <si>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</si>
  <si>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</si>
  <si>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</si>
  <si>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</si>
  <si>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</si>
  <si>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</si>
  <si>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</si>
  <si>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</si>
  <si>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</si>
  <si>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</si>
  <si>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</si>
  <si>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</si>
  <si>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</si>
  <si>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</si>
  <si>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</si>
  <si>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</si>
  <si>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</si>
  <si>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</si>
  <si>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</si>
  <si>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</si>
  <si>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</si>
  <si>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</si>
  <si>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</si>
  <si>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</si>
  <si>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</si>
  <si>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</si>
  <si>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</si>
  <si>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</si>
  <si>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</si>
  <si>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</si>
  <si>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</si>
  <si>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</si>
  <si>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</si>
  <si>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</si>
  <si>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</si>
  <si>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</si>
  <si>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</si>
  <si>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</si>
  <si>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</si>
  <si>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</si>
  <si>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</si>
  <si>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</si>
  <si>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</si>
  <si>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</si>
  <si>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</si>
  <si>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</si>
  <si>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</si>
  <si>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</si>
  <si>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</si>
  <si>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</si>
  <si>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</si>
  <si>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</si>
  <si>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</si>
  <si>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</si>
  <si>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</si>
  <si>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</si>
  <si>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</si>
  <si>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</si>
  <si>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</si>
  <si>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</si>
  <si>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</si>
  <si>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</si>
  <si>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</si>
  <si>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</si>
  <si>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</si>
  <si>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</si>
  <si>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</si>
  <si>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</si>
  <si>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</si>
  <si>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</si>
  <si>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</si>
  <si>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</si>
  <si>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</si>
  <si>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</si>
  <si>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</si>
  <si>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</si>
  <si>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</si>
  <si>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</si>
  <si>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</si>
  <si>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</si>
  <si>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</si>
  <si>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</si>
  <si>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</si>
  <si>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</si>
  <si>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</si>
  <si>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</si>
  <si>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</si>
  <si>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</si>
  <si>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</si>
  <si>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</si>
  <si>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</si>
  <si>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</si>
  <si>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</si>
  <si>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</si>
  <si>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</si>
  <si>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</si>
  <si>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</si>
  <si>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</si>
  <si>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</si>
  <si>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</si>
  <si>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</si>
  <si>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</si>
  <si>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</si>
  <si>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</si>
  <si>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</si>
  <si>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</si>
  <si>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</si>
  <si>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</si>
  <si>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</si>
  <si>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</si>
  <si>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</si>
  <si>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</si>
  <si>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</si>
  <si>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</si>
  <si>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</si>
  <si>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</si>
  <si>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</si>
  <si>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</si>
  <si>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</si>
  <si>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</si>
  <si>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</si>
  <si>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</si>
  <si>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</si>
  <si>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</si>
  <si>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</si>
  <si>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</si>
  <si>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</si>
  <si>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</si>
  <si>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</si>
  <si>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</si>
  <si>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</si>
  <si>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</si>
  <si>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</si>
  <si>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</si>
  <si>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</si>
  <si>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</si>
  <si>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</si>
  <si>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</si>
  <si>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</si>
  <si>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</si>
  <si>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</si>
  <si>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</si>
  <si>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</si>
  <si>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</si>
  <si>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</si>
  <si>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</si>
  <si>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</si>
  <si>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</si>
  <si>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</si>
  <si>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</si>
  <si>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</si>
  <si>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</si>
  <si>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</si>
  <si>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</si>
  <si>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</si>
  <si>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</si>
  <si>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</si>
  <si>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</si>
  <si>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</si>
  <si>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</si>
  <si>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</si>
  <si>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</si>
  <si>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</si>
  <si>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</si>
  <si>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</si>
  <si>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</si>
  <si>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</si>
  <si>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</si>
  <si>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</si>
  <si>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</si>
  <si>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</si>
  <si>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</si>
  <si>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</si>
  <si>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</si>
  <si>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</si>
  <si>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</si>
  <si>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</si>
  <si>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</si>
  <si>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</si>
  <si>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</si>
  <si>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</si>
  <si>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</si>
  <si>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</si>
  <si>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</si>
  <si>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</si>
  <si>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</si>
  <si>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</si>
  <si>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</si>
  <si>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</si>
  <si>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</si>
  <si>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</si>
  <si>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</si>
  <si>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</si>
  <si>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</si>
  <si>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</si>
  <si>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</si>
  <si>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</si>
  <si>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</si>
  <si>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</si>
  <si>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</si>
  <si>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</si>
  <si>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</si>
  <si>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</si>
  <si>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</si>
  <si>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</si>
  <si>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</si>
  <si>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</si>
  <si>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</si>
  <si>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</si>
  <si>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</si>
  <si>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</si>
  <si>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</si>
  <si>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</si>
  <si>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</si>
  <si>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</si>
  <si>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</si>
  <si>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</si>
  <si>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</si>
  <si>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</si>
  <si>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</si>
  <si>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</si>
  <si>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</si>
  <si>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</si>
  <si>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</si>
  <si>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</si>
  <si>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</si>
  <si>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</si>
  <si>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</si>
  <si>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</si>
  <si>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</si>
  <si>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</si>
  <si>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</si>
  <si>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</si>
  <si>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</si>
  <si>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</si>
  <si>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</si>
  <si>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</si>
  <si>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</si>
  <si>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</si>
  <si>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</si>
  <si>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</si>
  <si>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</si>
  <si>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</si>
  <si>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</si>
  <si>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</si>
  <si>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</si>
  <si>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</si>
  <si>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</si>
  <si>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</si>
  <si>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</si>
  <si>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</si>
  <si>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</si>
  <si>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</si>
  <si>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</si>
  <si>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</si>
  <si>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</si>
  <si>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</si>
  <si>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</si>
  <si>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</si>
  <si>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</si>
  <si>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</si>
  <si>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</si>
  <si>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</si>
  <si>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</si>
  <si>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</si>
  <si>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</si>
  <si>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</si>
  <si>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</si>
  <si>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</si>
  <si>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</si>
  <si>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</si>
  <si>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</si>
  <si>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</si>
  <si>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</si>
  <si>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</si>
  <si>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</si>
  <si>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</si>
  <si>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</si>
  <si>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</si>
  <si>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</si>
  <si>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</si>
  <si>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</si>
  <si>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</si>
  <si>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</si>
  <si>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</si>
  <si>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</si>
  <si>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</si>
  <si>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</si>
  <si>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</si>
  <si>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</si>
  <si>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</si>
  <si>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</si>
  <si>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</si>
  <si>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</si>
  <si>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</si>
  <si>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</si>
  <si>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</si>
  <si>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</si>
  <si>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</si>
  <si>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</si>
  <si>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</si>
  <si>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</si>
  <si>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</si>
  <si>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</si>
  <si>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</si>
  <si>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</si>
  <si>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</si>
  <si>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</si>
  <si>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</si>
  <si>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</si>
  <si>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</si>
  <si>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</si>
  <si>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</si>
  <si>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</si>
  <si>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</si>
  <si>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</si>
  <si>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</si>
  <si>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</si>
  <si>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</si>
  <si>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</si>
  <si>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</si>
  <si>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</si>
  <si>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</si>
  <si>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</si>
  <si>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</si>
  <si>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</si>
  <si>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</si>
  <si>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</si>
  <si>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</si>
  <si>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</si>
  <si>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</si>
  <si>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</si>
  <si>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</si>
  <si>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</si>
  <si>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</si>
  <si>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</si>
  <si>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</si>
  <si>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</si>
  <si>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</si>
  <si>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</si>
  <si>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</si>
  <si>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</si>
  <si>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</si>
  <si>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</si>
  <si>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</si>
  <si>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</si>
  <si>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</si>
  <si>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</si>
  <si>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</si>
  <si>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</si>
  <si>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</si>
  <si>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</si>
  <si>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</si>
  <si>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</si>
  <si>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</si>
  <si>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</si>
  <si>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</si>
  <si>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</si>
  <si>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</si>
  <si>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</si>
  <si>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</si>
  <si>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</si>
  <si>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</si>
  <si>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</si>
  <si>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</si>
  <si>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New Castle does not require a calcuation for an indirect cost rate</t>
  </si>
  <si>
    <t>New Castle does not have a food service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</si>
</sst>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G617" sqref="G61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1290</v>
      </c>
      <c r="B2">
        <f>INDEX('School Tables'!$AH$3:$AH$213,MATCH('DOE25'!A2,'School Tables'!$AJ$3:$AJ$213,0))</f>
        <v>381</v>
      </c>
      <c r="C2">
        <f>INDEX('School Tables'!$AI$3:$AI$213,MATCH('DOE25'!A2,'School Tables'!$AJ$3:$AJ$213,0))</f>
        <v>381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376593.51</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v>4247.78</v>
      </c>
      <c r="I12" s="18"/>
      <c r="J12" s="13">
        <f>SUM(I442)</f>
        <v>379216.96</v>
      </c>
      <c r="K12" s="23" t="s">
        <v>288</v>
      </c>
      <c r="L12" s="23" t="s">
        <v>288</v>
      </c>
      <c r="M12" s="8"/>
      <c r="N12" s="164"/>
    </row>
    <row r="13" spans="1:14" s="3" customFormat="1" ht="12.2" customHeight="1" x14ac:dyDescent="0.15">
      <c r="A13" s="1" t="s">
        <v>604</v>
      </c>
      <c r="B13" s="2" t="s">
        <v>289</v>
      </c>
      <c r="C13" s="6">
        <v>5</v>
      </c>
      <c r="D13" s="2" t="s">
        <v>428</v>
      </c>
      <c r="E13" s="6">
        <v>140</v>
      </c>
      <c r="F13" s="18">
        <v>2600</v>
      </c>
      <c r="G13" s="18"/>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379193.51</v>
      </c>
      <c r="G19" s="38">
        <f>SUM(G9:G18)</f>
        <v>0</v>
      </c>
      <c r="H19" s="38">
        <f>SUM(H9:H18)</f>
        <v>4247.78</v>
      </c>
      <c r="I19" s="38">
        <f>SUM(I9:I18)</f>
        <v>0</v>
      </c>
      <c r="J19" s="38">
        <f>SUM(J9:J18)</f>
        <v>379216.96</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-4247.78</v>
      </c>
      <c r="G22" s="18"/>
      <c r="H22" s="18">
        <v>4247.78</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f>10035.65+51767.59</f>
        <v>61803.24</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f>-1480.08+80.02+22.79-56.08</f>
        <v>-1433.35</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4550</v>
      </c>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60672.11</v>
      </c>
      <c r="G32" s="38">
        <f>SUM(G22:G31)</f>
        <v>0</v>
      </c>
      <c r="H32" s="38">
        <f>SUM(H22:H31)</f>
        <v>4247.78</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40000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47280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379216.96</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186589.11+44652.29</f>
        <v>231241.4</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318521.40000000002</v>
      </c>
      <c r="G51" s="38">
        <f>SUM(G35:G50)</f>
        <v>0</v>
      </c>
      <c r="H51" s="38">
        <f>SUM(H35:H50)</f>
        <v>0</v>
      </c>
      <c r="I51" s="38">
        <f>SUM(I35:I50)</f>
        <v>0</v>
      </c>
      <c r="J51" s="38">
        <f>SUM(J35:J50)</f>
        <v>379216.96</v>
      </c>
      <c r="K51" s="42" t="s">
        <v>288</v>
      </c>
      <c r="L51" s="42" t="s">
        <v>288</v>
      </c>
      <c r="N51" s="130"/>
    </row>
    <row r="52" spans="1:14" s="3" customFormat="1" ht="12.2" customHeight="1" thickTop="1" x14ac:dyDescent="0.15">
      <c r="A52" s="35" t="s">
        <v>455</v>
      </c>
      <c r="B52" s="36" t="s">
        <v>289</v>
      </c>
      <c r="C52" s="6">
        <v>37</v>
      </c>
      <c r="D52" s="36" t="s">
        <v>653</v>
      </c>
      <c r="E52" s="36"/>
      <c r="F52" s="38">
        <f>F51+F32</f>
        <v>379193.51</v>
      </c>
      <c r="G52" s="38">
        <f>G51+G32</f>
        <v>0</v>
      </c>
      <c r="H52" s="38">
        <f>H51+H32</f>
        <v>4247.78</v>
      </c>
      <c r="I52" s="38">
        <f>I51+I32</f>
        <v>0</v>
      </c>
      <c r="J52" s="38">
        <f>J51+J32</f>
        <v>379216.96</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286319</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286319</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51282.79</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51282.79</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21081.09</v>
      </c>
      <c r="G96" s="18"/>
      <c r="H96" s="18"/>
      <c r="I96" s="18"/>
      <c r="J96" s="18">
        <v>18348.599999999999</v>
      </c>
      <c r="K96" s="23" t="s">
        <v>288</v>
      </c>
      <c r="L96" s="23" t="s">
        <v>288</v>
      </c>
      <c r="M96" s="8"/>
      <c r="N96" s="164"/>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14110</v>
      </c>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172.78</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203.77</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35567.639999999992</v>
      </c>
      <c r="G111" s="38">
        <f>SUM(G96:G110)</f>
        <v>0</v>
      </c>
      <c r="H111" s="38">
        <f>SUM(H96:H110)</f>
        <v>0</v>
      </c>
      <c r="I111" s="38">
        <f>SUM(I96:I110)</f>
        <v>0</v>
      </c>
      <c r="J111" s="38">
        <f>SUM(J96:J110)</f>
        <v>18348.599999999999</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373169.43</v>
      </c>
      <c r="G112" s="38">
        <f>G60+G111</f>
        <v>0</v>
      </c>
      <c r="H112" s="38">
        <f>H60+H79+H94+H111</f>
        <v>0</v>
      </c>
      <c r="I112" s="38">
        <f>I60+I111</f>
        <v>0</v>
      </c>
      <c r="J112" s="38">
        <f>J60+J111</f>
        <v>18348.599999999999</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1604891</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1604891</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1182.93</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1182.93</v>
      </c>
      <c r="G136" s="38">
        <f>SUM(G123:G135)</f>
        <v>0</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1606073.93</v>
      </c>
      <c r="G140" s="38">
        <f>G121+SUM(G136:G137)</f>
        <v>0</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7529.14+1561+1764</f>
        <v>10854.14</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1870.22+4690.29+5805.35+167.79</f>
        <v>12533.650000000001</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0</v>
      </c>
      <c r="H163" s="38">
        <f>SUM(H150:H162)</f>
        <v>23387.79</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0</v>
      </c>
      <c r="G170" s="38">
        <f>G147+G163+SUM(G164:G169)</f>
        <v>0</v>
      </c>
      <c r="H170" s="38">
        <f>H147+H163+SUM(H164:H169)</f>
        <v>23387.79</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40000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40000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40000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1979243.3599999999</v>
      </c>
      <c r="G194" s="38">
        <f>G112+G140+G170+G193</f>
        <v>0</v>
      </c>
      <c r="H194" s="38">
        <f>H112+H140+H170+H193</f>
        <v>23387.79</v>
      </c>
      <c r="I194" s="38">
        <f>I112+I140+I170+I193</f>
        <v>0</v>
      </c>
      <c r="J194" s="38">
        <f>J112+J140+J193</f>
        <v>58348.6</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318729.67</v>
      </c>
      <c r="G198" s="18">
        <v>136423.57999999999</v>
      </c>
      <c r="H198" s="18">
        <v>10735.35</v>
      </c>
      <c r="I198" s="18">
        <v>14240.32</v>
      </c>
      <c r="J198" s="18">
        <v>2343.17</v>
      </c>
      <c r="K198" s="18"/>
      <c r="L198" s="13">
        <f>SUM(F198:K198)</f>
        <v>482472.08999999997</v>
      </c>
      <c r="M198" s="8"/>
      <c r="N198" s="164"/>
    </row>
    <row r="199" spans="1:14" s="3" customFormat="1" ht="12.2" customHeight="1" x14ac:dyDescent="0.15">
      <c r="A199" s="1" t="s">
        <v>439</v>
      </c>
      <c r="B199" s="2" t="s">
        <v>341</v>
      </c>
      <c r="C199" s="2" t="s">
        <v>291</v>
      </c>
      <c r="D199" s="2" t="s">
        <v>431</v>
      </c>
      <c r="E199" s="6">
        <v>1200</v>
      </c>
      <c r="F199" s="18"/>
      <c r="G199" s="18"/>
      <c r="H199" s="18">
        <v>9751.31</v>
      </c>
      <c r="I199" s="18">
        <v>294.08999999999997</v>
      </c>
      <c r="J199" s="18"/>
      <c r="K199" s="18"/>
      <c r="L199" s="13">
        <f>SUM(F199:K199)</f>
        <v>10045.4</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14315</v>
      </c>
      <c r="G201" s="18">
        <v>3361.73</v>
      </c>
      <c r="H201" s="18">
        <v>10820.66</v>
      </c>
      <c r="I201" s="18">
        <v>278.49</v>
      </c>
      <c r="J201" s="18"/>
      <c r="K201" s="18"/>
      <c r="L201" s="13">
        <f>SUM(F201:K201)</f>
        <v>28775.88</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45984</v>
      </c>
      <c r="G203" s="18">
        <v>8932.7999999999993</v>
      </c>
      <c r="H203" s="18">
        <v>22930</v>
      </c>
      <c r="I203" s="18">
        <v>2756.49</v>
      </c>
      <c r="J203" s="18">
        <v>288.88</v>
      </c>
      <c r="K203" s="18"/>
      <c r="L203" s="13">
        <f t="shared" ref="L203:L209" si="0">SUM(F203:K203)</f>
        <v>80892.170000000013</v>
      </c>
      <c r="M203" s="8"/>
      <c r="N203" s="164"/>
    </row>
    <row r="204" spans="1:14" s="3" customFormat="1" ht="12.2" customHeight="1" x14ac:dyDescent="0.15">
      <c r="A204" s="1" t="s">
        <v>443</v>
      </c>
      <c r="B204" s="2" t="s">
        <v>341</v>
      </c>
      <c r="C204" s="2" t="s">
        <v>295</v>
      </c>
      <c r="D204" s="2" t="s">
        <v>431</v>
      </c>
      <c r="E204" s="6">
        <v>2200</v>
      </c>
      <c r="F204" s="18">
        <v>2880</v>
      </c>
      <c r="G204" s="18">
        <v>3953.11</v>
      </c>
      <c r="H204" s="18">
        <v>16620.689999999999</v>
      </c>
      <c r="I204" s="18">
        <v>8537.14</v>
      </c>
      <c r="J204" s="18">
        <v>21707.15</v>
      </c>
      <c r="K204" s="18"/>
      <c r="L204" s="13">
        <f t="shared" si="0"/>
        <v>53698.09</v>
      </c>
      <c r="M204" s="8"/>
      <c r="N204" s="164"/>
    </row>
    <row r="205" spans="1:14" s="3" customFormat="1" ht="12.2" customHeight="1" x14ac:dyDescent="0.15">
      <c r="A205" s="1" t="s">
        <v>444</v>
      </c>
      <c r="B205" s="2" t="s">
        <v>341</v>
      </c>
      <c r="C205" s="2" t="s">
        <v>296</v>
      </c>
      <c r="D205" s="2" t="s">
        <v>431</v>
      </c>
      <c r="E205" s="6">
        <v>2300</v>
      </c>
      <c r="F205" s="18">
        <v>6475</v>
      </c>
      <c r="G205" s="18">
        <v>495.36</v>
      </c>
      <c r="H205" s="18">
        <v>210861.74</v>
      </c>
      <c r="I205" s="18"/>
      <c r="J205" s="18"/>
      <c r="K205" s="18">
        <v>3115.61</v>
      </c>
      <c r="L205" s="13">
        <f t="shared" si="0"/>
        <v>220947.70999999996</v>
      </c>
      <c r="M205" s="8"/>
      <c r="N205" s="164"/>
    </row>
    <row r="206" spans="1:14" s="3" customFormat="1" ht="12.2" customHeight="1" x14ac:dyDescent="0.15">
      <c r="A206" s="1" t="s">
        <v>445</v>
      </c>
      <c r="B206" s="2" t="s">
        <v>341</v>
      </c>
      <c r="C206" s="2" t="s">
        <v>297</v>
      </c>
      <c r="D206" s="2" t="s">
        <v>431</v>
      </c>
      <c r="E206" s="6">
        <v>2400</v>
      </c>
      <c r="F206" s="18">
        <v>133216.9</v>
      </c>
      <c r="G206" s="18">
        <v>41103.22</v>
      </c>
      <c r="H206" s="18">
        <v>8627.2999999999993</v>
      </c>
      <c r="I206" s="18">
        <v>5394.28</v>
      </c>
      <c r="J206" s="18"/>
      <c r="K206" s="18">
        <v>560</v>
      </c>
      <c r="L206" s="13">
        <f t="shared" si="0"/>
        <v>188901.69999999998</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22512.86</v>
      </c>
      <c r="G208" s="18">
        <v>1722.31</v>
      </c>
      <c r="H208" s="18">
        <v>53634.59</v>
      </c>
      <c r="I208" s="18">
        <v>27270.01</v>
      </c>
      <c r="J208" s="18">
        <v>4561.34</v>
      </c>
      <c r="K208" s="18"/>
      <c r="L208" s="13">
        <f t="shared" si="0"/>
        <v>109701.10999999999</v>
      </c>
      <c r="M208" s="8"/>
      <c r="N208" s="164"/>
    </row>
    <row r="209" spans="1:14" s="3" customFormat="1" ht="12.2" customHeight="1" x14ac:dyDescent="0.15">
      <c r="A209" s="1" t="s">
        <v>448</v>
      </c>
      <c r="B209" s="2" t="s">
        <v>341</v>
      </c>
      <c r="C209" s="2" t="s">
        <v>300</v>
      </c>
      <c r="D209" s="2" t="s">
        <v>431</v>
      </c>
      <c r="E209" s="6">
        <v>2700</v>
      </c>
      <c r="F209" s="18"/>
      <c r="G209" s="18"/>
      <c r="H209" s="18">
        <v>4927.66</v>
      </c>
      <c r="I209" s="18"/>
      <c r="J209" s="18"/>
      <c r="K209" s="18"/>
      <c r="L209" s="13">
        <f t="shared" si="0"/>
        <v>4927.66</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544113.42999999993</v>
      </c>
      <c r="G212" s="38">
        <f t="shared" si="1"/>
        <v>195992.10999999996</v>
      </c>
      <c r="H212" s="38">
        <f t="shared" si="1"/>
        <v>348909.3</v>
      </c>
      <c r="I212" s="38">
        <f t="shared" si="1"/>
        <v>58770.819999999992</v>
      </c>
      <c r="J212" s="38">
        <f t="shared" si="1"/>
        <v>28900.54</v>
      </c>
      <c r="K212" s="38">
        <f t="shared" si="1"/>
        <v>3675.61</v>
      </c>
      <c r="L212" s="38">
        <f t="shared" si="1"/>
        <v>1180361.8099999998</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v>114270</v>
      </c>
      <c r="I216" s="18"/>
      <c r="J216" s="18"/>
      <c r="K216" s="18"/>
      <c r="L216" s="13">
        <f>SUM(F216:K216)</f>
        <v>114270</v>
      </c>
      <c r="M216" s="8"/>
      <c r="N216" s="164"/>
    </row>
    <row r="217" spans="1:14" s="3" customFormat="1" ht="12.2" customHeight="1" x14ac:dyDescent="0.15">
      <c r="A217" s="1" t="s">
        <v>439</v>
      </c>
      <c r="B217" s="2" t="s">
        <v>346</v>
      </c>
      <c r="C217" s="2" t="s">
        <v>291</v>
      </c>
      <c r="D217" s="2" t="s">
        <v>431</v>
      </c>
      <c r="E217" s="6">
        <v>1200</v>
      </c>
      <c r="F217" s="18"/>
      <c r="G217" s="18"/>
      <c r="H217" s="18">
        <v>61309.279999999999</v>
      </c>
      <c r="I217" s="18"/>
      <c r="J217" s="18"/>
      <c r="K217" s="18"/>
      <c r="L217" s="13">
        <f>SUM(F217:K217)</f>
        <v>61309.279999999999</v>
      </c>
      <c r="M217" s="8"/>
      <c r="N217" s="164"/>
    </row>
    <row r="218" spans="1:14" s="3" customFormat="1" ht="12.2" customHeight="1" x14ac:dyDescent="0.15">
      <c r="A218" s="1" t="s">
        <v>440</v>
      </c>
      <c r="B218" s="2" t="s">
        <v>346</v>
      </c>
      <c r="C218" s="2" t="s">
        <v>292</v>
      </c>
      <c r="D218" s="2" t="s">
        <v>431</v>
      </c>
      <c r="E218" s="6">
        <v>1300</v>
      </c>
      <c r="F218" s="18"/>
      <c r="G218" s="18"/>
      <c r="H218" s="18">
        <v>3581.92</v>
      </c>
      <c r="I218" s="18"/>
      <c r="J218" s="18"/>
      <c r="K218" s="18"/>
      <c r="L218" s="13">
        <f>SUM(F218:K218)</f>
        <v>3581.92</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v>13305.21</v>
      </c>
      <c r="I221" s="18"/>
      <c r="J221" s="18"/>
      <c r="K221" s="18"/>
      <c r="L221" s="13">
        <f t="shared" ref="L221:L227" si="2">SUM(F221:K221)</f>
        <v>13305.21</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192466.41</v>
      </c>
      <c r="I230" s="38">
        <f>SUM(I216:I229)</f>
        <v>0</v>
      </c>
      <c r="J230" s="38">
        <f>SUM(J216:J229)</f>
        <v>0</v>
      </c>
      <c r="K230" s="38">
        <f t="shared" si="3"/>
        <v>0</v>
      </c>
      <c r="L230" s="38">
        <f t="shared" si="3"/>
        <v>192466.41</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375652</v>
      </c>
      <c r="I234" s="18"/>
      <c r="J234" s="18"/>
      <c r="K234" s="18"/>
      <c r="L234" s="13">
        <f>SUM(F234:K234)</f>
        <v>375652</v>
      </c>
      <c r="M234" s="8"/>
      <c r="N234" s="164"/>
    </row>
    <row r="235" spans="1:14" s="3" customFormat="1" ht="12.2" customHeight="1" x14ac:dyDescent="0.15">
      <c r="A235" s="1" t="s">
        <v>439</v>
      </c>
      <c r="B235" s="2" t="s">
        <v>350</v>
      </c>
      <c r="C235" s="2" t="s">
        <v>291</v>
      </c>
      <c r="D235" s="2" t="s">
        <v>431</v>
      </c>
      <c r="E235" s="6">
        <v>1200</v>
      </c>
      <c r="F235" s="18"/>
      <c r="G235" s="18"/>
      <c r="H235" s="18">
        <v>499.2</v>
      </c>
      <c r="I235" s="18"/>
      <c r="J235" s="18"/>
      <c r="K235" s="18"/>
      <c r="L235" s="13">
        <f>SUM(F235:K235)</f>
        <v>499.2</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v>39482.300000000003</v>
      </c>
      <c r="I245" s="18"/>
      <c r="J245" s="18"/>
      <c r="K245" s="18"/>
      <c r="L245" s="13">
        <f t="shared" si="4"/>
        <v>39482.300000000003</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415633.5</v>
      </c>
      <c r="I248" s="38">
        <f t="shared" si="5"/>
        <v>0</v>
      </c>
      <c r="J248" s="38">
        <f t="shared" si="5"/>
        <v>0</v>
      </c>
      <c r="K248" s="38">
        <f t="shared" si="5"/>
        <v>0</v>
      </c>
      <c r="L248" s="38">
        <f t="shared" si="5"/>
        <v>415633.5</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544113.42999999993</v>
      </c>
      <c r="G258" s="38">
        <f t="shared" si="8"/>
        <v>195992.10999999996</v>
      </c>
      <c r="H258" s="38">
        <f t="shared" si="8"/>
        <v>957009.21</v>
      </c>
      <c r="I258" s="38">
        <f t="shared" si="8"/>
        <v>58770.819999999992</v>
      </c>
      <c r="J258" s="38">
        <f t="shared" si="8"/>
        <v>28900.54</v>
      </c>
      <c r="K258" s="38">
        <f t="shared" si="8"/>
        <v>3675.61</v>
      </c>
      <c r="L258" s="38">
        <f t="shared" si="8"/>
        <v>1788461.7199999997</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100000</v>
      </c>
      <c r="L261" s="13">
        <f>SUM(F261:K261)</f>
        <v>100000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6129.35</v>
      </c>
      <c r="L262" s="13">
        <f>SUM(F262:K262)</f>
        <v>6129.35</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40000</v>
      </c>
      <c r="L267" s="13">
        <f t="shared" si="9"/>
        <v>40000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146129.35</v>
      </c>
      <c r="L271" s="38">
        <f t="shared" si="9"/>
        <v>146129.35</v>
      </c>
      <c r="M271" s="8"/>
      <c r="N271" s="164"/>
    </row>
    <row r="272" spans="1:14" s="33" customFormat="1" ht="12.2" customHeight="1" thickTop="1" x14ac:dyDescent="0.2">
      <c r="A272" s="40" t="s">
        <v>464</v>
      </c>
      <c r="B272" s="37">
        <v>10</v>
      </c>
      <c r="C272" s="37">
        <v>18</v>
      </c>
      <c r="D272" s="36" t="s">
        <v>431</v>
      </c>
      <c r="E272" s="37"/>
      <c r="F272" s="39">
        <f t="shared" ref="F272:L272" si="11">F258+F271</f>
        <v>544113.42999999993</v>
      </c>
      <c r="G272" s="39">
        <f t="shared" si="11"/>
        <v>195992.10999999996</v>
      </c>
      <c r="H272" s="39">
        <f t="shared" si="11"/>
        <v>957009.21</v>
      </c>
      <c r="I272" s="39">
        <f t="shared" si="11"/>
        <v>58770.819999999992</v>
      </c>
      <c r="J272" s="39">
        <f t="shared" si="11"/>
        <v>28900.54</v>
      </c>
      <c r="K272" s="39">
        <f t="shared" si="11"/>
        <v>149804.96</v>
      </c>
      <c r="L272" s="39">
        <f t="shared" si="11"/>
        <v>1934591.0699999998</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4"/>
    </row>
    <row r="278" spans="1:14" s="3" customFormat="1" ht="12.2" customHeight="1" x14ac:dyDescent="0.15">
      <c r="A278" s="1" t="s">
        <v>439</v>
      </c>
      <c r="B278" s="2" t="s">
        <v>357</v>
      </c>
      <c r="C278" s="2" t="s">
        <v>291</v>
      </c>
      <c r="D278" s="2" t="s">
        <v>431</v>
      </c>
      <c r="E278" s="6">
        <v>1200</v>
      </c>
      <c r="F278" s="18">
        <v>4741.3</v>
      </c>
      <c r="G278" s="18">
        <v>2554.2199999999998</v>
      </c>
      <c r="H278" s="18">
        <v>167.79</v>
      </c>
      <c r="I278" s="18">
        <v>34.369999999999997</v>
      </c>
      <c r="J278" s="18">
        <v>1870.22</v>
      </c>
      <c r="K278" s="18"/>
      <c r="L278" s="13">
        <f>SUM(F278:K278)</f>
        <v>9367.9</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1611.67</v>
      </c>
      <c r="G282" s="18">
        <v>567.61</v>
      </c>
      <c r="H282" s="18"/>
      <c r="I282" s="18"/>
      <c r="J282" s="18"/>
      <c r="K282" s="18"/>
      <c r="L282" s="13">
        <f t="shared" ref="L282:L288" si="12">SUM(F282:K282)</f>
        <v>2179.2800000000002</v>
      </c>
      <c r="M282" s="8"/>
      <c r="N282" s="164"/>
    </row>
    <row r="283" spans="1:14" s="3" customFormat="1" ht="12.2" customHeight="1" x14ac:dyDescent="0.15">
      <c r="A283" s="1" t="s">
        <v>443</v>
      </c>
      <c r="B283" s="2" t="s">
        <v>357</v>
      </c>
      <c r="C283" s="2" t="s">
        <v>295</v>
      </c>
      <c r="D283" s="2" t="s">
        <v>431</v>
      </c>
      <c r="E283" s="6">
        <v>2200</v>
      </c>
      <c r="F283" s="18">
        <v>180</v>
      </c>
      <c r="G283" s="18">
        <v>49.14</v>
      </c>
      <c r="H283" s="18">
        <v>7800</v>
      </c>
      <c r="I283" s="18"/>
      <c r="J283" s="18"/>
      <c r="K283" s="18"/>
      <c r="L283" s="13">
        <f t="shared" si="12"/>
        <v>8029.14</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v>2825</v>
      </c>
      <c r="I289" s="18"/>
      <c r="J289" s="18"/>
      <c r="K289" s="18"/>
      <c r="L289" s="13">
        <f>SUM(F289:K289)</f>
        <v>2825</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6532.97</v>
      </c>
      <c r="G291" s="39">
        <f t="shared" si="13"/>
        <v>3170.97</v>
      </c>
      <c r="H291" s="39">
        <f t="shared" si="13"/>
        <v>10792.79</v>
      </c>
      <c r="I291" s="39">
        <f t="shared" si="13"/>
        <v>34.369999999999997</v>
      </c>
      <c r="J291" s="39">
        <f t="shared" si="13"/>
        <v>1870.22</v>
      </c>
      <c r="K291" s="39">
        <f t="shared" si="13"/>
        <v>0</v>
      </c>
      <c r="L291" s="38">
        <f t="shared" si="13"/>
        <v>22401.32</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v>986.47</v>
      </c>
      <c r="I316" s="18"/>
      <c r="J316" s="18"/>
      <c r="K316" s="18"/>
      <c r="L316" s="13">
        <f>SUM(F316:K316)</f>
        <v>986.47</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986.47</v>
      </c>
      <c r="I329" s="39">
        <f t="shared" si="17"/>
        <v>0</v>
      </c>
      <c r="J329" s="39">
        <f t="shared" si="17"/>
        <v>0</v>
      </c>
      <c r="K329" s="39">
        <f t="shared" si="17"/>
        <v>0</v>
      </c>
      <c r="L329" s="38">
        <f t="shared" si="17"/>
        <v>986.47</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6532.97</v>
      </c>
      <c r="G339" s="38">
        <f t="shared" si="20"/>
        <v>3170.97</v>
      </c>
      <c r="H339" s="38">
        <f t="shared" si="20"/>
        <v>11779.26</v>
      </c>
      <c r="I339" s="38">
        <f t="shared" si="20"/>
        <v>34.369999999999997</v>
      </c>
      <c r="J339" s="38">
        <f t="shared" si="20"/>
        <v>1870.22</v>
      </c>
      <c r="K339" s="38">
        <f t="shared" si="20"/>
        <v>0</v>
      </c>
      <c r="L339" s="38">
        <f t="shared" si="20"/>
        <v>23387.79</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6532.97</v>
      </c>
      <c r="G353" s="38">
        <f>G339</f>
        <v>3170.97</v>
      </c>
      <c r="H353" s="38">
        <f>H339</f>
        <v>11779.26</v>
      </c>
      <c r="I353" s="38">
        <f>I339</f>
        <v>34.369999999999997</v>
      </c>
      <c r="J353" s="38">
        <f>J339</f>
        <v>1870.22</v>
      </c>
      <c r="K353" s="38">
        <f>K339+K352</f>
        <v>0</v>
      </c>
      <c r="L353" s="38">
        <f>L339+L352</f>
        <v>23387.79</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10000</v>
      </c>
      <c r="H397" s="18">
        <v>1512.48</v>
      </c>
      <c r="I397" s="18"/>
      <c r="J397" s="23" t="s">
        <v>288</v>
      </c>
      <c r="K397" s="23" t="s">
        <v>288</v>
      </c>
      <c r="L397" s="13">
        <f t="shared" si="26"/>
        <v>11512.48</v>
      </c>
      <c r="M397" s="8"/>
      <c r="N397" s="164"/>
    </row>
    <row r="398" spans="1:14" s="3" customFormat="1" ht="12.2" customHeight="1" x14ac:dyDescent="0.15">
      <c r="A398" s="62" t="s">
        <v>515</v>
      </c>
      <c r="B398" s="2" t="s">
        <v>381</v>
      </c>
      <c r="C398" s="6">
        <v>10</v>
      </c>
      <c r="D398" s="2" t="s">
        <v>432</v>
      </c>
      <c r="E398" s="6"/>
      <c r="F398" s="18"/>
      <c r="G398" s="18">
        <v>30000</v>
      </c>
      <c r="H398" s="18">
        <v>8249.39</v>
      </c>
      <c r="I398" s="18"/>
      <c r="J398" s="23" t="s">
        <v>288</v>
      </c>
      <c r="K398" s="23" t="s">
        <v>288</v>
      </c>
      <c r="L398" s="13">
        <f t="shared" si="26"/>
        <v>38249.39</v>
      </c>
      <c r="M398" s="8"/>
      <c r="N398" s="164"/>
    </row>
    <row r="399" spans="1:14" s="3" customFormat="1" ht="12.2" customHeight="1" x14ac:dyDescent="0.15">
      <c r="A399" s="62" t="s">
        <v>558</v>
      </c>
      <c r="B399" s="2" t="s">
        <v>381</v>
      </c>
      <c r="C399" s="6">
        <v>11</v>
      </c>
      <c r="D399" s="2" t="s">
        <v>432</v>
      </c>
      <c r="E399" s="6"/>
      <c r="F399" s="18"/>
      <c r="G399" s="18"/>
      <c r="H399" s="18">
        <v>8586.73</v>
      </c>
      <c r="I399" s="18"/>
      <c r="J399" s="23" t="s">
        <v>288</v>
      </c>
      <c r="K399" s="23" t="s">
        <v>288</v>
      </c>
      <c r="L399" s="13">
        <f t="shared" si="26"/>
        <v>8586.73</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40000</v>
      </c>
      <c r="H402" s="38">
        <f>SUM(H396:H401)</f>
        <v>18348.599999999999</v>
      </c>
      <c r="I402" s="38">
        <f>SUM(I396:I401)</f>
        <v>0</v>
      </c>
      <c r="J402" s="42" t="s">
        <v>288</v>
      </c>
      <c r="K402" s="42" t="s">
        <v>288</v>
      </c>
      <c r="L402" s="38">
        <f>SUM(L396:L401)</f>
        <v>58348.599999999991</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40000</v>
      </c>
      <c r="H409" s="38">
        <f>H394+H402+H408</f>
        <v>18348.599999999999</v>
      </c>
      <c r="I409" s="38">
        <f>I394+I402+I408</f>
        <v>0</v>
      </c>
      <c r="J409" s="23" t="s">
        <v>288</v>
      </c>
      <c r="K409" s="23" t="s">
        <v>288</v>
      </c>
      <c r="L409" s="38">
        <f>L394+L402+L408</f>
        <v>58348.599999999991</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v>379216.96</v>
      </c>
      <c r="H442" s="18" t="s">
        <v>286</v>
      </c>
      <c r="I442" s="13">
        <f t="shared" si="33"/>
        <v>379216.96</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379216.96</v>
      </c>
      <c r="H447" s="13">
        <f>SUM(H440:H446)</f>
        <v>0</v>
      </c>
      <c r="I447" s="13">
        <f>SUM(I440:I446)</f>
        <v>379216.96</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379216.96</v>
      </c>
      <c r="H460" s="18" t="s">
        <v>286</v>
      </c>
      <c r="I460" s="13">
        <f t="shared" si="34"/>
        <v>379216.96</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379216.96</v>
      </c>
      <c r="H461" s="65">
        <f>SUM(H455:H460)</f>
        <v>0</v>
      </c>
      <c r="I461" s="65">
        <f>SUM(I455:I460)</f>
        <v>379216.96</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379216.96</v>
      </c>
      <c r="H462" s="39">
        <f>H453+H461</f>
        <v>0</v>
      </c>
      <c r="I462" s="39">
        <f>I453+I461</f>
        <v>379216.96</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273869.11</v>
      </c>
      <c r="G466" s="18">
        <v>0</v>
      </c>
      <c r="H466" s="18">
        <v>0</v>
      </c>
      <c r="I466" s="18"/>
      <c r="J466" s="18">
        <v>320868.36</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1979243.36</v>
      </c>
      <c r="G469" s="18"/>
      <c r="H469" s="18">
        <v>23387.79</v>
      </c>
      <c r="I469" s="18"/>
      <c r="J469" s="18">
        <v>58348.6</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1979243.36</v>
      </c>
      <c r="G471" s="19">
        <f>SUM(G469:G470)</f>
        <v>0</v>
      </c>
      <c r="H471" s="19">
        <f>SUM(H469:H470)</f>
        <v>23387.79</v>
      </c>
      <c r="I471" s="19">
        <f>SUM(I469:I470)</f>
        <v>0</v>
      </c>
      <c r="J471" s="19">
        <f>SUM(J469:J470)</f>
        <v>58348.6</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1934591.07</v>
      </c>
      <c r="G473" s="18"/>
      <c r="H473" s="18">
        <v>23387.79</v>
      </c>
      <c r="I473" s="18"/>
      <c r="J473" s="18"/>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1934591.07</v>
      </c>
      <c r="G475" s="19">
        <f>SUM(G473:G474)</f>
        <v>0</v>
      </c>
      <c r="H475" s="19">
        <f>SUM(H473:H474)</f>
        <v>23387.79</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318521.40000000014</v>
      </c>
      <c r="G477" s="19">
        <f>(G466+G471)- G475</f>
        <v>0</v>
      </c>
      <c r="H477" s="19">
        <f>(H466+H471)- H475</f>
        <v>0</v>
      </c>
      <c r="I477" s="19">
        <f>(I466+I471)- I475</f>
        <v>0</v>
      </c>
      <c r="J477" s="19">
        <f>(J466+J471)- J475</f>
        <v>379216.95999999996</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v>998000</v>
      </c>
      <c r="G494" s="18"/>
      <c r="H494" s="18"/>
      <c r="I494" s="18"/>
      <c r="J494" s="18"/>
      <c r="K494" s="23" t="s">
        <v>288</v>
      </c>
      <c r="L494" s="23" t="s">
        <v>288</v>
      </c>
      <c r="N494" s="130"/>
    </row>
    <row r="495" spans="1:14" ht="12.2" customHeight="1" x14ac:dyDescent="0.2">
      <c r="A495" s="21" t="s">
        <v>618</v>
      </c>
      <c r="B495" s="22">
        <v>20</v>
      </c>
      <c r="C495" s="22">
        <v>5</v>
      </c>
      <c r="D495" s="2" t="s">
        <v>432</v>
      </c>
      <c r="E495" s="22"/>
      <c r="F495" s="18">
        <v>2.4700000000000002</v>
      </c>
      <c r="G495" s="18"/>
      <c r="H495" s="18"/>
      <c r="I495" s="18"/>
      <c r="J495" s="18"/>
      <c r="K495" s="23" t="s">
        <v>288</v>
      </c>
      <c r="L495" s="23" t="s">
        <v>288</v>
      </c>
      <c r="N495" s="130"/>
    </row>
    <row r="496" spans="1:14" ht="12.2" customHeight="1" x14ac:dyDescent="0.2">
      <c r="A496" s="21" t="s">
        <v>619</v>
      </c>
      <c r="B496" s="22">
        <v>20</v>
      </c>
      <c r="C496" s="22">
        <v>6</v>
      </c>
      <c r="D496" s="2" t="s">
        <v>432</v>
      </c>
      <c r="E496" s="22"/>
      <c r="F496" s="18">
        <v>300000</v>
      </c>
      <c r="G496" s="18"/>
      <c r="H496" s="18"/>
      <c r="I496" s="18"/>
      <c r="J496" s="18"/>
      <c r="K496" s="19">
        <f>SUM(F496:J496)</f>
        <v>300000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100000</v>
      </c>
      <c r="G498" s="18"/>
      <c r="H498" s="18"/>
      <c r="I498" s="18"/>
      <c r="J498" s="18"/>
      <c r="K498" s="19">
        <f t="shared" si="35"/>
        <v>100000</v>
      </c>
      <c r="L498" s="23" t="s">
        <v>288</v>
      </c>
      <c r="N498" s="130"/>
    </row>
    <row r="499" spans="1:14" ht="12.2" customHeight="1" x14ac:dyDescent="0.2">
      <c r="A499" s="143" t="s">
        <v>622</v>
      </c>
      <c r="B499" s="144">
        <v>20</v>
      </c>
      <c r="C499" s="144">
        <v>9</v>
      </c>
      <c r="D499" s="145" t="s">
        <v>432</v>
      </c>
      <c r="E499" s="144"/>
      <c r="F499" s="146">
        <v>200000</v>
      </c>
      <c r="G499" s="146"/>
      <c r="H499" s="146"/>
      <c r="I499" s="146"/>
      <c r="J499" s="146"/>
      <c r="K499" s="147">
        <f t="shared" si="35"/>
        <v>200000</v>
      </c>
      <c r="L499" s="148" t="s">
        <v>288</v>
      </c>
      <c r="N499" s="130"/>
    </row>
    <row r="500" spans="1:14" ht="12.2" customHeight="1" thickBot="1" x14ac:dyDescent="0.25">
      <c r="A500" s="21" t="s">
        <v>623</v>
      </c>
      <c r="B500" s="22">
        <v>20</v>
      </c>
      <c r="C500" s="22">
        <v>10</v>
      </c>
      <c r="D500" s="2" t="s">
        <v>432</v>
      </c>
      <c r="E500" s="22"/>
      <c r="F500" s="18">
        <v>4960.3</v>
      </c>
      <c r="G500" s="18"/>
      <c r="H500" s="18"/>
      <c r="I500" s="18"/>
      <c r="J500" s="18"/>
      <c r="K500" s="19">
        <f t="shared" si="35"/>
        <v>4960.3</v>
      </c>
      <c r="L500" s="23" t="s">
        <v>288</v>
      </c>
      <c r="N500" s="130"/>
    </row>
    <row r="501" spans="1:14" ht="12.2" customHeight="1" thickTop="1" x14ac:dyDescent="0.2">
      <c r="A501" s="97" t="s">
        <v>624</v>
      </c>
      <c r="B501" s="41">
        <v>20</v>
      </c>
      <c r="C501" s="41">
        <v>11</v>
      </c>
      <c r="D501" s="36" t="s">
        <v>432</v>
      </c>
      <c r="E501" s="41"/>
      <c r="F501" s="39">
        <f>SUM(F499:F500)</f>
        <v>204960.3</v>
      </c>
      <c r="G501" s="39">
        <f>SUM(G499:G500)</f>
        <v>0</v>
      </c>
      <c r="H501" s="39">
        <f>SUM(H499:H500)</f>
        <v>0</v>
      </c>
      <c r="I501" s="39">
        <f>SUM(I499:I500)</f>
        <v>0</v>
      </c>
      <c r="J501" s="39">
        <f>SUM(J499:J500)</f>
        <v>0</v>
      </c>
      <c r="K501" s="39">
        <f t="shared" si="35"/>
        <v>204960.3</v>
      </c>
      <c r="L501" s="42" t="s">
        <v>288</v>
      </c>
      <c r="N501" s="130"/>
    </row>
    <row r="502" spans="1:14" ht="12.2" customHeight="1" x14ac:dyDescent="0.2">
      <c r="A502" s="143" t="s">
        <v>651</v>
      </c>
      <c r="B502" s="144">
        <v>20</v>
      </c>
      <c r="C502" s="144">
        <v>12</v>
      </c>
      <c r="D502" s="145" t="s">
        <v>432</v>
      </c>
      <c r="E502" s="144"/>
      <c r="F502" s="146">
        <v>100000</v>
      </c>
      <c r="G502" s="146"/>
      <c r="H502" s="146"/>
      <c r="I502" s="146"/>
      <c r="J502" s="146"/>
      <c r="K502" s="147">
        <f t="shared" si="35"/>
        <v>100000</v>
      </c>
      <c r="L502" s="148" t="s">
        <v>288</v>
      </c>
      <c r="N502" s="130"/>
    </row>
    <row r="503" spans="1:14" ht="12.2" customHeight="1" thickBot="1" x14ac:dyDescent="0.25">
      <c r="A503" s="21" t="s">
        <v>625</v>
      </c>
      <c r="B503" s="22">
        <v>20</v>
      </c>
      <c r="C503" s="22">
        <v>13</v>
      </c>
      <c r="D503" s="2" t="s">
        <v>432</v>
      </c>
      <c r="E503" s="22"/>
      <c r="F503" s="18">
        <v>3735.45</v>
      </c>
      <c r="G503" s="18"/>
      <c r="H503" s="18"/>
      <c r="I503" s="18"/>
      <c r="J503" s="18"/>
      <c r="K503" s="19">
        <f t="shared" si="35"/>
        <v>3735.45</v>
      </c>
      <c r="L503" s="23" t="s">
        <v>288</v>
      </c>
      <c r="N503" s="130"/>
    </row>
    <row r="504" spans="1:14" ht="12.2" customHeight="1" thickTop="1" x14ac:dyDescent="0.2">
      <c r="A504" s="97" t="s">
        <v>626</v>
      </c>
      <c r="B504" s="41">
        <v>20</v>
      </c>
      <c r="C504" s="41">
        <v>14</v>
      </c>
      <c r="D504" s="36" t="s">
        <v>432</v>
      </c>
      <c r="E504" s="41"/>
      <c r="F504" s="39">
        <f>SUM(F502:F503)</f>
        <v>103735.45</v>
      </c>
      <c r="G504" s="39">
        <f>SUM(G502:G503)</f>
        <v>0</v>
      </c>
      <c r="H504" s="39">
        <f>SUM(H502:H503)</f>
        <v>0</v>
      </c>
      <c r="I504" s="39">
        <f>SUM(I502:I503)</f>
        <v>0</v>
      </c>
      <c r="J504" s="39">
        <f>SUM(J502:J503)</f>
        <v>0</v>
      </c>
      <c r="K504" s="39">
        <f t="shared" si="35"/>
        <v>103735.45</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4741.3</v>
      </c>
      <c r="G522" s="18">
        <v>2554.2199999999998</v>
      </c>
      <c r="H522" s="18">
        <f>9751.31+167.79</f>
        <v>9919.1</v>
      </c>
      <c r="I522" s="18">
        <f>294.09+34.37</f>
        <v>328.46</v>
      </c>
      <c r="J522" s="18">
        <v>1870.22</v>
      </c>
      <c r="K522" s="18"/>
      <c r="L522" s="69">
        <f>SUM(F522:K522)</f>
        <v>19413.300000000003</v>
      </c>
      <c r="N522" s="130"/>
    </row>
    <row r="523" spans="1:14" ht="12.2" customHeight="1" x14ac:dyDescent="0.2">
      <c r="A523" s="21" t="s">
        <v>634</v>
      </c>
      <c r="B523" s="22">
        <v>21</v>
      </c>
      <c r="C523" s="22">
        <v>2</v>
      </c>
      <c r="D523" s="2" t="s">
        <v>432</v>
      </c>
      <c r="E523" s="22"/>
      <c r="F523" s="18"/>
      <c r="G523" s="18"/>
      <c r="H523" s="18">
        <v>61239.6</v>
      </c>
      <c r="I523" s="18" t="s">
        <v>286</v>
      </c>
      <c r="J523" s="18"/>
      <c r="K523" s="18"/>
      <c r="L523" s="69">
        <f>SUM(F523:K523)</f>
        <v>61239.6</v>
      </c>
      <c r="N523" s="130"/>
    </row>
    <row r="524" spans="1:14" ht="12.2" customHeight="1" thickBot="1" x14ac:dyDescent="0.25">
      <c r="A524" s="21" t="s">
        <v>635</v>
      </c>
      <c r="B524" s="22">
        <v>21</v>
      </c>
      <c r="C524" s="22">
        <v>3</v>
      </c>
      <c r="D524" s="2" t="s">
        <v>432</v>
      </c>
      <c r="E524" s="22"/>
      <c r="F524" s="18"/>
      <c r="G524" s="18"/>
      <c r="H524" s="18">
        <v>986.47</v>
      </c>
      <c r="I524" s="18"/>
      <c r="J524" s="18"/>
      <c r="K524" s="18"/>
      <c r="L524" s="69">
        <f>SUM(F524:K524)</f>
        <v>986.47</v>
      </c>
      <c r="N524" s="130"/>
    </row>
    <row r="525" spans="1:14" ht="12.2" customHeight="1" thickTop="1" x14ac:dyDescent="0.2">
      <c r="A525" s="97" t="s">
        <v>63</v>
      </c>
      <c r="B525" s="41">
        <v>21</v>
      </c>
      <c r="C525" s="41">
        <v>4</v>
      </c>
      <c r="D525" s="115" t="s">
        <v>432</v>
      </c>
      <c r="E525" s="41"/>
      <c r="F525" s="81">
        <f>SUM(F522:F524)</f>
        <v>4741.3</v>
      </c>
      <c r="G525" s="81">
        <f t="shared" ref="G525:L525" si="36">SUM(G522:G524)</f>
        <v>2554.2199999999998</v>
      </c>
      <c r="H525" s="81">
        <f t="shared" si="36"/>
        <v>72145.17</v>
      </c>
      <c r="I525" s="81">
        <f t="shared" si="36"/>
        <v>328.46</v>
      </c>
      <c r="J525" s="81">
        <f t="shared" si="36"/>
        <v>1870.22</v>
      </c>
      <c r="K525" s="81">
        <f t="shared" si="36"/>
        <v>0</v>
      </c>
      <c r="L525" s="70">
        <f t="shared" si="36"/>
        <v>81639.37</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45984+1611.67</f>
        <v>47595.67</v>
      </c>
      <c r="G527" s="18">
        <f>8932.8+567.61</f>
        <v>9500.41</v>
      </c>
      <c r="H527" s="18">
        <v>22930</v>
      </c>
      <c r="I527" s="18">
        <v>2756.49</v>
      </c>
      <c r="J527" s="18">
        <v>288.88</v>
      </c>
      <c r="K527" s="18"/>
      <c r="L527" s="69">
        <f>SUM(F527:K527)</f>
        <v>83071.450000000012</v>
      </c>
      <c r="M527" s="8"/>
      <c r="N527" s="164"/>
    </row>
    <row r="528" spans="1:14" s="3" customFormat="1" ht="12.2" customHeight="1" x14ac:dyDescent="0.15">
      <c r="A528" s="21" t="s">
        <v>634</v>
      </c>
      <c r="B528" s="22">
        <v>21</v>
      </c>
      <c r="C528" s="22">
        <v>6</v>
      </c>
      <c r="D528" s="2" t="s">
        <v>432</v>
      </c>
      <c r="E528" s="22"/>
      <c r="F528" s="18"/>
      <c r="G528" s="18"/>
      <c r="H528" s="18">
        <v>13305.21</v>
      </c>
      <c r="I528" s="18"/>
      <c r="J528" s="18"/>
      <c r="K528" s="18"/>
      <c r="L528" s="69">
        <f>SUM(F528:K528)</f>
        <v>13305.21</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47595.67</v>
      </c>
      <c r="G530" s="70">
        <f t="shared" ref="G530:L530" si="37">SUM(G527:G529)</f>
        <v>9500.41</v>
      </c>
      <c r="H530" s="70">
        <f t="shared" si="37"/>
        <v>36235.21</v>
      </c>
      <c r="I530" s="70">
        <f t="shared" si="37"/>
        <v>2756.49</v>
      </c>
      <c r="J530" s="70">
        <f t="shared" si="37"/>
        <v>288.88</v>
      </c>
      <c r="K530" s="70">
        <f t="shared" si="37"/>
        <v>0</v>
      </c>
      <c r="L530" s="70">
        <f t="shared" si="37"/>
        <v>96376.66</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v>69.680000000000007</v>
      </c>
      <c r="I538" s="18"/>
      <c r="J538" s="18"/>
      <c r="K538" s="18"/>
      <c r="L538" s="69">
        <f>SUM(F538:K538)</f>
        <v>69.680000000000007</v>
      </c>
      <c r="M538" s="8"/>
      <c r="N538" s="164"/>
    </row>
    <row r="539" spans="1:14" s="3" customFormat="1" ht="12.2" customHeight="1" thickBot="1" x14ac:dyDescent="0.2">
      <c r="A539" s="21" t="s">
        <v>635</v>
      </c>
      <c r="B539" s="22">
        <v>21</v>
      </c>
      <c r="C539" s="22">
        <v>15</v>
      </c>
      <c r="D539" s="2" t="s">
        <v>432</v>
      </c>
      <c r="E539" s="22"/>
      <c r="F539" s="18"/>
      <c r="G539" s="18"/>
      <c r="H539" s="18">
        <v>499.2</v>
      </c>
      <c r="I539" s="18"/>
      <c r="J539" s="18"/>
      <c r="K539" s="18"/>
      <c r="L539" s="69">
        <f>SUM(F539:K539)</f>
        <v>499.2</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568.88</v>
      </c>
      <c r="I540" s="70">
        <f t="shared" si="39"/>
        <v>0</v>
      </c>
      <c r="J540" s="70">
        <f t="shared" si="39"/>
        <v>0</v>
      </c>
      <c r="K540" s="70">
        <f t="shared" si="39"/>
        <v>0</v>
      </c>
      <c r="L540" s="70">
        <f t="shared" si="39"/>
        <v>568.88</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0</v>
      </c>
      <c r="I545" s="140">
        <f t="shared" si="40"/>
        <v>0</v>
      </c>
      <c r="J545" s="140">
        <f t="shared" si="40"/>
        <v>0</v>
      </c>
      <c r="K545" s="140">
        <f t="shared" si="40"/>
        <v>0</v>
      </c>
      <c r="L545" s="140">
        <f t="shared" si="40"/>
        <v>0</v>
      </c>
      <c r="M545" s="8"/>
      <c r="N545" s="164"/>
    </row>
    <row r="546" spans="1:14" s="3" customFormat="1" ht="12.2" customHeight="1" thickTop="1" x14ac:dyDescent="0.15">
      <c r="A546" s="75" t="s">
        <v>72</v>
      </c>
      <c r="B546" s="41">
        <v>21</v>
      </c>
      <c r="C546" s="41">
        <v>21</v>
      </c>
      <c r="D546" s="115" t="s">
        <v>432</v>
      </c>
      <c r="E546" s="41"/>
      <c r="F546" s="70">
        <f>F525+F530+F535+F540+F545</f>
        <v>52336.97</v>
      </c>
      <c r="G546" s="70">
        <f t="shared" ref="G546:L546" si="41">G525+G530+G535+G540+G545</f>
        <v>12054.63</v>
      </c>
      <c r="H546" s="70">
        <f t="shared" si="41"/>
        <v>108949.26000000001</v>
      </c>
      <c r="I546" s="70">
        <f t="shared" si="41"/>
        <v>3084.95</v>
      </c>
      <c r="J546" s="70">
        <f t="shared" si="41"/>
        <v>2159.1</v>
      </c>
      <c r="K546" s="70">
        <f t="shared" si="41"/>
        <v>0</v>
      </c>
      <c r="L546" s="70">
        <f t="shared" si="41"/>
        <v>178584.91</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19413.300000000003</v>
      </c>
      <c r="G550" s="69">
        <f>L527</f>
        <v>83071.450000000012</v>
      </c>
      <c r="H550" s="69">
        <f>L532</f>
        <v>0</v>
      </c>
      <c r="I550" s="69">
        <f>L537</f>
        <v>0</v>
      </c>
      <c r="J550" s="69">
        <f>L542</f>
        <v>0</v>
      </c>
      <c r="K550" s="69">
        <f>SUM(F550:J550)</f>
        <v>102484.75000000001</v>
      </c>
      <c r="L550" s="23" t="s">
        <v>288</v>
      </c>
      <c r="M550" s="8"/>
      <c r="N550" s="164"/>
    </row>
    <row r="551" spans="1:14" s="3" customFormat="1" ht="12.2" customHeight="1" x14ac:dyDescent="0.15">
      <c r="A551" s="21" t="s">
        <v>634</v>
      </c>
      <c r="B551" s="22">
        <v>21</v>
      </c>
      <c r="C551" s="22">
        <v>23</v>
      </c>
      <c r="D551" s="2" t="s">
        <v>432</v>
      </c>
      <c r="E551" s="22"/>
      <c r="F551" s="69">
        <f>L523</f>
        <v>61239.6</v>
      </c>
      <c r="G551" s="69">
        <f>L528</f>
        <v>13305.21</v>
      </c>
      <c r="H551" s="69">
        <f>L533</f>
        <v>0</v>
      </c>
      <c r="I551" s="69">
        <f>L538</f>
        <v>69.680000000000007</v>
      </c>
      <c r="J551" s="69">
        <f>L543</f>
        <v>0</v>
      </c>
      <c r="K551" s="69">
        <f>SUM(F551:J551)</f>
        <v>74614.489999999991</v>
      </c>
      <c r="L551" s="23" t="s">
        <v>288</v>
      </c>
      <c r="M551" s="8"/>
      <c r="N551" s="164"/>
    </row>
    <row r="552" spans="1:14" s="3" customFormat="1" ht="12.2" customHeight="1" thickBot="1" x14ac:dyDescent="0.2">
      <c r="A552" s="21" t="s">
        <v>635</v>
      </c>
      <c r="B552" s="22">
        <v>21</v>
      </c>
      <c r="C552" s="22">
        <v>24</v>
      </c>
      <c r="D552" s="2" t="s">
        <v>432</v>
      </c>
      <c r="E552" s="22"/>
      <c r="F552" s="69">
        <f>L524</f>
        <v>986.47</v>
      </c>
      <c r="G552" s="69">
        <f>L529</f>
        <v>0</v>
      </c>
      <c r="H552" s="69">
        <f>L534</f>
        <v>0</v>
      </c>
      <c r="I552" s="69">
        <f>L539</f>
        <v>499.2</v>
      </c>
      <c r="J552" s="69">
        <f>L544</f>
        <v>0</v>
      </c>
      <c r="K552" s="69">
        <f>SUM(F552:J552)</f>
        <v>1485.67</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81639.37</v>
      </c>
      <c r="G553" s="70">
        <f t="shared" si="42"/>
        <v>96376.66</v>
      </c>
      <c r="H553" s="70">
        <f t="shared" si="42"/>
        <v>0</v>
      </c>
      <c r="I553" s="70">
        <f t="shared" si="42"/>
        <v>568.88</v>
      </c>
      <c r="J553" s="70">
        <f t="shared" si="42"/>
        <v>0</v>
      </c>
      <c r="K553" s="70">
        <f t="shared" si="42"/>
        <v>178584.91</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v>114270</v>
      </c>
      <c r="H576" s="18">
        <v>375652</v>
      </c>
      <c r="I576" s="69">
        <f>SUM(F576:H576)</f>
        <v>489922</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t="s">
        <v>286</v>
      </c>
      <c r="H579" s="18" t="s">
        <v>286</v>
      </c>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v>64821.52</v>
      </c>
      <c r="H583" s="18"/>
      <c r="I583" s="69">
        <f t="shared" si="47"/>
        <v>64821.52</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179091.52</v>
      </c>
      <c r="H589" s="79">
        <f t="shared" si="48"/>
        <v>375652</v>
      </c>
      <c r="I589" s="79">
        <f t="shared" si="48"/>
        <v>554743.52</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c r="I592" s="18"/>
      <c r="J592" s="18">
        <v>39482.300000000003</v>
      </c>
      <c r="K592" s="80">
        <f t="shared" ref="K592:K598" si="49">SUM(H592:J592)</f>
        <v>39482.300000000003</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c r="K593" s="80">
        <f t="shared" si="49"/>
        <v>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4927.66</v>
      </c>
      <c r="I596" s="18"/>
      <c r="J596" s="18"/>
      <c r="K596" s="80">
        <f t="shared" si="49"/>
        <v>4927.66</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4927.66</v>
      </c>
      <c r="I599" s="81">
        <f>SUM(I592:I598)</f>
        <v>0</v>
      </c>
      <c r="J599" s="81">
        <f>SUM(J592:J598)</f>
        <v>39482.300000000003</v>
      </c>
      <c r="K599" s="81">
        <f>SUM(K592:K598)</f>
        <v>44409.960000000006</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30770.76</v>
      </c>
      <c r="I605" s="18"/>
      <c r="J605" s="18"/>
      <c r="K605" s="80">
        <f>SUM(H605:J605)</f>
        <v>30770.76</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30770.76</v>
      </c>
      <c r="I606" s="81">
        <f>SUM(I603:I605)</f>
        <v>0</v>
      </c>
      <c r="J606" s="81">
        <f>SUM(J603:J605)</f>
        <v>0</v>
      </c>
      <c r="K606" s="81">
        <f>SUM(K603:K605)</f>
        <v>30770.76</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379193.51</v>
      </c>
      <c r="H618" s="80">
        <f>SUM(F52)</f>
        <v>379193.51</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872</v>
      </c>
      <c r="J619" s="80">
        <f>G619-H619</f>
        <v>0</v>
      </c>
      <c r="K619" s="80"/>
      <c r="L619" s="80"/>
      <c r="M619" s="8"/>
    </row>
    <row r="620" spans="1:14" s="3" customFormat="1" ht="12.2" customHeight="1" x14ac:dyDescent="0.15">
      <c r="A620" s="74"/>
      <c r="B620" s="22"/>
      <c r="C620" s="22"/>
      <c r="D620" s="22"/>
      <c r="E620" s="22"/>
      <c r="F620" s="87" t="s">
        <v>685</v>
      </c>
      <c r="G620" s="80">
        <f>SUM(H19)</f>
        <v>4247.78</v>
      </c>
      <c r="H620" s="80">
        <f>SUM(H52)</f>
        <v>4247.78</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379216.96</v>
      </c>
      <c r="H622" s="80">
        <f>SUM(J52)</f>
        <v>379216.96</v>
      </c>
      <c r="I622" s="87" t="s">
        <v>875</v>
      </c>
      <c r="J622" s="80">
        <f>G622-H622</f>
        <v>0</v>
      </c>
      <c r="K622" s="80"/>
      <c r="L622" s="80"/>
      <c r="M622" s="8"/>
    </row>
    <row r="623" spans="1:14" s="3" customFormat="1" ht="12.2" customHeight="1" x14ac:dyDescent="0.15">
      <c r="A623" s="74"/>
      <c r="B623" s="22"/>
      <c r="C623" s="22"/>
      <c r="D623" s="22"/>
      <c r="E623" s="22"/>
      <c r="F623" s="87" t="s">
        <v>861</v>
      </c>
      <c r="G623" s="80">
        <f>F51</f>
        <v>318521.40000000002</v>
      </c>
      <c r="H623" s="80">
        <f>F477</f>
        <v>318521.40000000014</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379216.96</v>
      </c>
      <c r="H627" s="80">
        <f>J477</f>
        <v>379216.95999999996</v>
      </c>
      <c r="I627" s="87" t="s">
        <v>105</v>
      </c>
      <c r="J627" s="80">
        <f t="shared" si="51"/>
        <v>0</v>
      </c>
      <c r="K627" s="67"/>
      <c r="L627" s="69"/>
      <c r="M627" s="8"/>
    </row>
    <row r="628" spans="1:13" s="3" customFormat="1" ht="12.2" customHeight="1" x14ac:dyDescent="0.15">
      <c r="A628" s="21"/>
      <c r="B628" s="22"/>
      <c r="C628" s="22"/>
      <c r="D628" s="22"/>
      <c r="E628" s="22"/>
      <c r="F628" s="86" t="s">
        <v>658</v>
      </c>
      <c r="G628" s="80">
        <f>F194</f>
        <v>1979243.3599999999</v>
      </c>
      <c r="H628" s="80">
        <f>SUM(F469)</f>
        <v>1979243.36</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23387.79</v>
      </c>
      <c r="H630" s="80">
        <f>SUM(H469)</f>
        <v>23387.79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58348.6</v>
      </c>
      <c r="H632" s="80">
        <f>SUM(J469)</f>
        <v>58348.6</v>
      </c>
      <c r="I632" s="87" t="s">
        <v>110</v>
      </c>
      <c r="J632" s="80">
        <f>G632-H632</f>
        <v>0</v>
      </c>
      <c r="K632" s="67"/>
      <c r="L632" s="69"/>
      <c r="M632" s="8"/>
    </row>
    <row r="633" spans="1:13" s="3" customFormat="1" ht="12.2" customHeight="1" x14ac:dyDescent="0.15">
      <c r="A633" s="21"/>
      <c r="B633" s="22"/>
      <c r="C633" s="22"/>
      <c r="D633" s="22"/>
      <c r="E633" s="22"/>
      <c r="F633" s="86" t="s">
        <v>394</v>
      </c>
      <c r="G633" s="80">
        <f>SUM(L272)</f>
        <v>1934591.0699999998</v>
      </c>
      <c r="H633" s="80">
        <f>SUM(F473)</f>
        <v>1934591.07</v>
      </c>
      <c r="I633" s="87" t="s">
        <v>111</v>
      </c>
      <c r="J633" s="80">
        <f t="shared" si="51"/>
        <v>0</v>
      </c>
      <c r="K633" s="67"/>
      <c r="L633" s="69"/>
      <c r="M633" s="8"/>
    </row>
    <row r="634" spans="1:13" s="3" customFormat="1" ht="12.2" customHeight="1" x14ac:dyDescent="0.15">
      <c r="A634" s="21"/>
      <c r="B634" s="22"/>
      <c r="C634" s="22"/>
      <c r="D634" s="22"/>
      <c r="E634" s="22"/>
      <c r="F634" s="86" t="s">
        <v>395</v>
      </c>
      <c r="G634" s="80">
        <f>SUM(L353)</f>
        <v>23387.79</v>
      </c>
      <c r="H634" s="80">
        <f>SUM(H473)</f>
        <v>23387.79</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58348.599999999991</v>
      </c>
      <c r="H638" s="108">
        <f>SUM(J469)</f>
        <v>58348.6</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379216.96</v>
      </c>
      <c r="H641" s="80">
        <f>SUM(G462)</f>
        <v>379216.96</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379216.96</v>
      </c>
      <c r="H643" s="80">
        <f>SUM(I462)</f>
        <v>379216.96</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18348.599999999999</v>
      </c>
      <c r="H645" s="80">
        <f>H409</f>
        <v>18348.599999999999</v>
      </c>
      <c r="I645" s="87" t="s">
        <v>480</v>
      </c>
      <c r="J645" s="80">
        <f t="shared" si="51"/>
        <v>0</v>
      </c>
      <c r="K645" s="67"/>
      <c r="L645" s="69"/>
      <c r="M645" s="8"/>
    </row>
    <row r="646" spans="1:13" s="3" customFormat="1" ht="12.2" customHeight="1" x14ac:dyDescent="0.15">
      <c r="A646" s="21"/>
      <c r="B646" s="22"/>
      <c r="C646" s="22"/>
      <c r="D646" s="22"/>
      <c r="E646" s="22"/>
      <c r="F646" s="86" t="s">
        <v>664</v>
      </c>
      <c r="G646" s="80">
        <f>J184</f>
        <v>40000</v>
      </c>
      <c r="H646" s="80">
        <f>G409</f>
        <v>40000</v>
      </c>
      <c r="I646" s="87" t="s">
        <v>481</v>
      </c>
      <c r="J646" s="80">
        <f t="shared" si="51"/>
        <v>0</v>
      </c>
      <c r="K646" s="67"/>
      <c r="L646" s="69"/>
      <c r="M646" s="8"/>
    </row>
    <row r="647" spans="1:13" s="3" customFormat="1" ht="12.2" customHeight="1" x14ac:dyDescent="0.15">
      <c r="A647" s="21"/>
      <c r="B647" s="22"/>
      <c r="C647" s="22"/>
      <c r="D647" s="22"/>
      <c r="E647" s="22"/>
      <c r="F647" s="86" t="s">
        <v>662</v>
      </c>
      <c r="G647" s="80">
        <f>J194</f>
        <v>58348.6</v>
      </c>
      <c r="H647" s="80">
        <f>L409</f>
        <v>58348.599999999991</v>
      </c>
      <c r="I647" s="87" t="s">
        <v>477</v>
      </c>
      <c r="J647" s="80">
        <f t="shared" si="51"/>
        <v>0</v>
      </c>
      <c r="K647" s="67"/>
      <c r="L647" s="69"/>
      <c r="M647" s="8"/>
    </row>
    <row r="648" spans="1:13" s="3" customFormat="1" ht="12.2" customHeight="1" x14ac:dyDescent="0.15">
      <c r="A648" s="21"/>
      <c r="B648" s="22"/>
      <c r="C648" s="22"/>
      <c r="D648" s="22"/>
      <c r="E648" s="22"/>
      <c r="F648" s="86" t="s">
        <v>51</v>
      </c>
      <c r="G648" s="80">
        <f>K599</f>
        <v>44409.960000000006</v>
      </c>
      <c r="H648" s="80">
        <f>L209+L227+L245</f>
        <v>44409.960000000006</v>
      </c>
      <c r="I648" s="87" t="s">
        <v>396</v>
      </c>
      <c r="J648" s="80">
        <f t="shared" si="51"/>
        <v>0</v>
      </c>
      <c r="K648" s="67"/>
      <c r="L648" s="69"/>
      <c r="M648" s="8"/>
    </row>
    <row r="649" spans="1:13" s="3" customFormat="1" ht="12.2" customHeight="1" x14ac:dyDescent="0.15">
      <c r="A649" s="21"/>
      <c r="B649" s="22"/>
      <c r="C649" s="22"/>
      <c r="D649" s="22"/>
      <c r="E649" s="22"/>
      <c r="F649" s="86" t="s">
        <v>52</v>
      </c>
      <c r="G649" s="80">
        <f>K606</f>
        <v>30770.76</v>
      </c>
      <c r="H649" s="80">
        <f>(J258+J339)-(J256+J337)</f>
        <v>30770.760000000002</v>
      </c>
      <c r="I649" s="87" t="s">
        <v>699</v>
      </c>
      <c r="J649" s="80">
        <f t="shared" si="51"/>
        <v>0</v>
      </c>
      <c r="K649" s="67"/>
      <c r="L649" s="69"/>
      <c r="M649" s="8"/>
    </row>
    <row r="650" spans="1:13" s="3" customFormat="1" ht="12.2" customHeight="1" x14ac:dyDescent="0.15">
      <c r="A650" s="21"/>
      <c r="B650" s="22"/>
      <c r="C650" s="22"/>
      <c r="D650" s="22"/>
      <c r="E650" s="22"/>
      <c r="F650" s="86" t="s">
        <v>387</v>
      </c>
      <c r="G650" s="80">
        <f>L209</f>
        <v>4927.66</v>
      </c>
      <c r="H650" s="80">
        <f>H599</f>
        <v>4927.66</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39482.300000000003</v>
      </c>
      <c r="H652" s="80">
        <f>J599</f>
        <v>39482.300000000003</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40000</v>
      </c>
      <c r="H656" s="80">
        <f>K267+K348</f>
        <v>40000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1202763.1299999999</v>
      </c>
      <c r="G661" s="13">
        <f>(L230+L310+L360)</f>
        <v>192466.41</v>
      </c>
      <c r="H661" s="13">
        <f>(L248+L329+L361)</f>
        <v>416619.97</v>
      </c>
      <c r="I661" s="13">
        <f>SUM(F661:H661)</f>
        <v>1811849.5099999998</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4927.66</v>
      </c>
      <c r="G663" s="13">
        <f>(L227+L307)-(J227+J307)</f>
        <v>0</v>
      </c>
      <c r="H663" s="13">
        <f>(L245+L326)-(J245+J326)</f>
        <v>39482.300000000003</v>
      </c>
      <c r="I663" s="13">
        <f>SUM(F663:H663)</f>
        <v>44409.960000000006</v>
      </c>
      <c r="J663"/>
      <c r="K663" s="13"/>
      <c r="L663" s="13"/>
      <c r="M663" s="9"/>
    </row>
    <row r="664" spans="1:13" s="3" customFormat="1" ht="12.2" customHeight="1" x14ac:dyDescent="0.15">
      <c r="A664" s="141" t="s">
        <v>129</v>
      </c>
      <c r="B664" s="124"/>
      <c r="C664" s="124"/>
      <c r="D664" s="124"/>
      <c r="E664" s="124"/>
      <c r="F664" s="142">
        <f>SUM(F576:F588)+SUM(H603:H605)+SUM(L612)</f>
        <v>30770.76</v>
      </c>
      <c r="G664" s="142">
        <f>SUM(G576:G588)+SUM(I603:I605)+L613</f>
        <v>179091.52</v>
      </c>
      <c r="H664" s="142">
        <f>SUM(H576:H588)+SUM(J603:J605)+L614</f>
        <v>375652</v>
      </c>
      <c r="I664" s="13">
        <f>SUM(F664:H664)</f>
        <v>585514.28</v>
      </c>
      <c r="J664" s="13"/>
      <c r="K664" s="13"/>
      <c r="L664" s="13"/>
      <c r="M664" s="9"/>
    </row>
    <row r="665" spans="1:13" s="3" customFormat="1" ht="12.2" customHeight="1" x14ac:dyDescent="0.15">
      <c r="A665" s="1" t="s">
        <v>130</v>
      </c>
      <c r="F665" s="13">
        <f>F661-SUM(F662:F664)</f>
        <v>1167064.71</v>
      </c>
      <c r="G665" s="13">
        <f>G661-SUM(G662:G664)</f>
        <v>13374.890000000014</v>
      </c>
      <c r="H665" s="13">
        <f>H661-SUM(H662:H664)</f>
        <v>1485.6699999999837</v>
      </c>
      <c r="I665" s="13">
        <f>I661-SUM(I662:I664)</f>
        <v>1181925.2699999998</v>
      </c>
      <c r="J665" s="13"/>
      <c r="K665" s="13"/>
      <c r="L665" s="13"/>
      <c r="M665" s="8"/>
    </row>
    <row r="666" spans="1:13" s="3" customFormat="1" ht="12.2" customHeight="1" x14ac:dyDescent="0.2">
      <c r="A666" s="1" t="s">
        <v>131</v>
      </c>
      <c r="F666" s="182">
        <v>26.3</v>
      </c>
      <c r="G666" s="183">
        <v>0</v>
      </c>
      <c r="H666" s="183">
        <v>0</v>
      </c>
      <c r="I666" s="13">
        <f>SUM(F666:H666)</f>
        <v>26.3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44375.08</v>
      </c>
      <c r="G668" s="13" t="e">
        <f>ROUND(G665/G666,2)</f>
        <v>#DIV/0!</v>
      </c>
      <c r="H668" s="13" t="e">
        <f>ROUND(H665/H666,2)</f>
        <v>#DIV/0!</v>
      </c>
      <c r="I668" s="13">
        <f>ROUND(I665/I666,2)</f>
        <v>44940.12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f t="shared" si="52"/>
        <v>-13374.890000000014</v>
      </c>
      <c r="H670" s="73">
        <f t="shared" si="52"/>
        <v>-1485.6699999999837</v>
      </c>
      <c r="I670" s="13">
        <f>SUM(F670:H670)</f>
        <v>-14860.559999999998</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44375.08</v>
      </c>
      <c r="G673" s="13" t="e">
        <f>ROUND((G665+G670)/(G666+G671),2)</f>
        <v>#DIV/0!</v>
      </c>
      <c r="H673" s="13" t="e">
        <f>ROUND((H665+H670)/(H666+H671),2)</f>
        <v>#DIV/0!</v>
      </c>
      <c r="I673" s="13">
        <f>ROUND((I665+I670)/(I666+I671),2)</f>
        <v>44375.08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0"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10854.14</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1561</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7529.14+1764</f>
        <v>9293.14</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c r="C3" s="242"/>
      <c r="D3" s="242"/>
      <c r="E3" s="242"/>
      <c r="F3" s="242"/>
      <c r="G3" s="242"/>
      <c r="H3" s="242"/>
      <c r="I3" t="s">
        <v>1593</v>
      </c>
    </row>
    <row r="4" spans="1:9" x14ac:dyDescent="0.2">
      <c r="I4" t="s">
        <v>1594</v>
      </c>
    </row>
    <row r="5" spans="1:9" ht="15.75" x14ac:dyDescent="0.25">
      <c r="A5" s="238" t="s">
        <v>897</v>
      </c>
      <c r="B5" s="320" t="str">
        <f>'DOE25'!A2</f>
        <v>New Castle</v>
      </c>
      <c r="C5" s="321"/>
      <c r="D5" s="321"/>
      <c r="E5" s="321"/>
      <c r="F5" s="321"/>
    </row>
    <row r="8" spans="1:9" ht="18" x14ac:dyDescent="0.25">
      <c r="A8" s="239" t="s">
        <v>1548</v>
      </c>
      <c r="F8" s="246" t="s">
        <v>1566</v>
      </c>
    </row>
    <row r="9" spans="1:9" ht="15" x14ac:dyDescent="0.2">
      <c r="A9" s="237" t="s">
        <v>1549</v>
      </c>
      <c r="B9" s="240">
        <f>'DOE25'!G97</f>
        <v>0</v>
      </c>
      <c r="F9" s="237" t="s">
        <v>1562</v>
      </c>
    </row>
    <row r="10" spans="1:9" ht="15" x14ac:dyDescent="0.2">
      <c r="A10" s="237" t="s">
        <v>1550</v>
      </c>
      <c r="B10" s="240">
        <f>'DOE25'!G112-'DOE25'!G97</f>
        <v>0</v>
      </c>
      <c r="F10" s="237" t="s">
        <v>1563</v>
      </c>
    </row>
    <row r="11" spans="1:9" ht="15" x14ac:dyDescent="0.2">
      <c r="A11" s="237" t="s">
        <v>1551</v>
      </c>
      <c r="B11" s="240">
        <f>'DOE25'!G140</f>
        <v>0</v>
      </c>
      <c r="F11" s="237" t="s">
        <v>1564</v>
      </c>
    </row>
    <row r="12" spans="1:9" ht="15" x14ac:dyDescent="0.2">
      <c r="A12" s="237" t="s">
        <v>1552</v>
      </c>
      <c r="B12" s="240">
        <f>'DOE25'!G170</f>
        <v>0</v>
      </c>
      <c r="F12" s="237" t="s">
        <v>1565</v>
      </c>
    </row>
    <row r="13" spans="1:9" ht="15" x14ac:dyDescent="0.2">
      <c r="A13" s="237" t="s">
        <v>1553</v>
      </c>
      <c r="B13" s="240">
        <f>'DOE25'!G193-'DOE25'!G180</f>
        <v>0</v>
      </c>
      <c r="F13" s="237" t="s">
        <v>1575</v>
      </c>
    </row>
    <row r="14" spans="1:9" ht="18" x14ac:dyDescent="0.25">
      <c r="A14" s="239" t="s">
        <v>732</v>
      </c>
      <c r="B14" s="241">
        <f>SUM(B9:B13)</f>
        <v>0</v>
      </c>
    </row>
    <row r="16" spans="1:9" ht="18" x14ac:dyDescent="0.25">
      <c r="A16" s="239" t="s">
        <v>783</v>
      </c>
      <c r="F16" s="246" t="s">
        <v>1567</v>
      </c>
    </row>
    <row r="17" spans="1:6" ht="15" x14ac:dyDescent="0.2">
      <c r="A17" s="237" t="s">
        <v>1554</v>
      </c>
      <c r="B17" s="240">
        <f>'DOE25'!L363-'DOE25'!L362</f>
        <v>0</v>
      </c>
      <c r="F17" s="237" t="s">
        <v>1568</v>
      </c>
    </row>
    <row r="18" spans="1:6" ht="15" x14ac:dyDescent="0.2">
      <c r="A18" s="237" t="s">
        <v>1555</v>
      </c>
      <c r="B18" s="250"/>
      <c r="F18" s="246" t="s">
        <v>1592</v>
      </c>
    </row>
    <row r="19" spans="1:6" ht="18" x14ac:dyDescent="0.25">
      <c r="A19" s="239" t="s">
        <v>725</v>
      </c>
      <c r="B19" s="241">
        <f>SUM(B17:B18)</f>
        <v>0</v>
      </c>
    </row>
    <row r="21" spans="1:6" ht="18.75" thickBot="1" x14ac:dyDescent="0.3">
      <c r="A21" s="239" t="s">
        <v>1556</v>
      </c>
    </row>
    <row r="22" spans="1:6" ht="18.75" thickTop="1" x14ac:dyDescent="0.25">
      <c r="A22" s="239" t="s">
        <v>1557</v>
      </c>
      <c r="B22" s="245">
        <f>B14-B19</f>
        <v>0</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M3" sqref="M3"/>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New Castle</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318729.67</v>
      </c>
      <c r="C9" s="166">
        <f>'DOE25'!G198+'DOE25'!G216+'DOE25'!G234+'DOE25'!G277+'DOE25'!G296+'DOE25'!G315</f>
        <v>136423.57999999999</v>
      </c>
    </row>
    <row r="10" spans="1:3" x14ac:dyDescent="0.2">
      <c r="A10" t="s">
        <v>772</v>
      </c>
      <c r="B10" s="176">
        <v>310393.67</v>
      </c>
      <c r="C10" s="176">
        <v>135785.89000000001</v>
      </c>
    </row>
    <row r="11" spans="1:3" x14ac:dyDescent="0.2">
      <c r="A11" t="s">
        <v>773</v>
      </c>
      <c r="B11" s="176">
        <v>6750</v>
      </c>
      <c r="C11" s="176">
        <v>516.37</v>
      </c>
    </row>
    <row r="12" spans="1:3" x14ac:dyDescent="0.2">
      <c r="A12" t="s">
        <v>774</v>
      </c>
      <c r="B12" s="176">
        <v>1586</v>
      </c>
      <c r="C12" s="176">
        <v>121.32</v>
      </c>
    </row>
    <row r="13" spans="1:3" x14ac:dyDescent="0.2">
      <c r="A13" t="str">
        <f>IF(B9=B13,IF(C9=C13,"Check Total OK","Check Total Error"),"Check Total Error")</f>
        <v>Check Total OK</v>
      </c>
      <c r="B13" s="168">
        <f>SUM(B10:B12)</f>
        <v>318729.67</v>
      </c>
      <c r="C13" s="168">
        <f>SUM(C10:C12)</f>
        <v>136423.58000000002</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4741.3</v>
      </c>
      <c r="C18" s="166">
        <f>'DOE25'!G199+'DOE25'!G217+'DOE25'!G235+'DOE25'!G278+'DOE25'!G297+'DOE25'!G316</f>
        <v>2554.2199999999998</v>
      </c>
    </row>
    <row r="19" spans="1:3" x14ac:dyDescent="0.2">
      <c r="A19" t="s">
        <v>772</v>
      </c>
      <c r="B19" s="176">
        <v>2849.54</v>
      </c>
      <c r="C19" s="176">
        <f>590.22+14.78+10.27+4.51+204.35+559.64</f>
        <v>1383.77</v>
      </c>
    </row>
    <row r="20" spans="1:3" x14ac:dyDescent="0.2">
      <c r="A20" t="s">
        <v>773</v>
      </c>
      <c r="B20" s="176">
        <f>780.17+579.96</f>
        <v>1360.13</v>
      </c>
      <c r="C20" s="176">
        <f>619.78+180.77+1.6+9.96+3.42+1.66+1.5+0.73+48.1+41.06</f>
        <v>908.57999999999993</v>
      </c>
    </row>
    <row r="21" spans="1:3" x14ac:dyDescent="0.2">
      <c r="A21" t="s">
        <v>774</v>
      </c>
      <c r="B21" s="176">
        <f>332.77+198.86</f>
        <v>531.63</v>
      </c>
      <c r="C21" s="176">
        <f>11.35+139.61+0.2+4.27+0.57+0.87+0.4+0.38+26.34+12.52+65.36</f>
        <v>261.87</v>
      </c>
    </row>
    <row r="22" spans="1:3" x14ac:dyDescent="0.2">
      <c r="A22" t="str">
        <f>IF(B18=B22,IF(C18=C22,"Check Total OK","Check Total Error"),"Check Total Error")</f>
        <v>Check Total OK</v>
      </c>
      <c r="B22" s="168">
        <f>SUM(B19:B21)</f>
        <v>4741.3</v>
      </c>
      <c r="C22" s="168">
        <f>SUM(C19:C21)</f>
        <v>2554.2199999999998</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14315</v>
      </c>
      <c r="C36" s="172">
        <f>'DOE25'!G201+'DOE25'!G219+'DOE25'!G237+'DOE25'!G280+'DOE25'!G299+'DOE25'!G318</f>
        <v>3361.73</v>
      </c>
    </row>
    <row r="37" spans="1:3" x14ac:dyDescent="0.2">
      <c r="A37" t="s">
        <v>772</v>
      </c>
      <c r="B37" s="176" t="s">
        <v>286</v>
      </c>
      <c r="C37" s="176" t="s">
        <v>286</v>
      </c>
    </row>
    <row r="38" spans="1:3" x14ac:dyDescent="0.2">
      <c r="A38" t="s">
        <v>773</v>
      </c>
      <c r="B38" s="176"/>
      <c r="C38" s="176"/>
    </row>
    <row r="39" spans="1:3" x14ac:dyDescent="0.2">
      <c r="A39" t="s">
        <v>774</v>
      </c>
      <c r="B39" s="176">
        <v>14315</v>
      </c>
      <c r="C39" s="176">
        <v>3361.73</v>
      </c>
    </row>
    <row r="40" spans="1:3" x14ac:dyDescent="0.2">
      <c r="A40" t="str">
        <f>IF(B36=B40,IF(C36=C40,"Check Total OK","Check Total Error"),"Check Total Error")</f>
        <v>Check Total OK</v>
      </c>
      <c r="B40" s="168">
        <f>SUM(B37:B39)</f>
        <v>14315</v>
      </c>
      <c r="C40" s="168">
        <f>SUM(C37:C39)</f>
        <v>3361.73</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I16" sqref="I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New Castle</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1076605.77</v>
      </c>
      <c r="D5" s="19">
        <f>SUM('DOE25'!L198:L201)+SUM('DOE25'!L216:L219)+SUM('DOE25'!L234:L237)-F5-G5-H5</f>
        <v>1074262.6000000001</v>
      </c>
      <c r="E5" s="179"/>
      <c r="F5" s="180"/>
      <c r="G5" s="19">
        <f>SUM('DOE25'!J198:J201)+SUM('DOE25'!J216:J219)+SUM('DOE25'!J234:J237)</f>
        <v>2343.17</v>
      </c>
      <c r="H5" s="19">
        <f>SUM('DOE25'!K198:K201)+SUM('DOE25'!K216:K219)+SUM('DOE25'!K234:K237)</f>
        <v>0</v>
      </c>
      <c r="I5" s="191"/>
    </row>
    <row r="6" spans="1:9" x14ac:dyDescent="0.2">
      <c r="A6" s="31">
        <v>2100</v>
      </c>
      <c r="B6" t="s">
        <v>793</v>
      </c>
      <c r="C6" s="205">
        <f t="shared" si="0"/>
        <v>94197.38</v>
      </c>
      <c r="D6" s="19">
        <f>'DOE25'!L203+'DOE25'!L221+'DOE25'!L239-F6-G6-H6</f>
        <v>93908.5</v>
      </c>
      <c r="E6" s="179"/>
      <c r="F6" s="180"/>
      <c r="G6" s="19">
        <f>'DOE25'!J203+'DOE25'!J221+'DOE25'!J239</f>
        <v>288.88</v>
      </c>
      <c r="H6" s="19">
        <f>'DOE25'!K203+'DOE25'!K221+'DOE25'!K239</f>
        <v>0</v>
      </c>
      <c r="I6" s="191"/>
    </row>
    <row r="7" spans="1:9" x14ac:dyDescent="0.2">
      <c r="A7" s="31">
        <v>2200</v>
      </c>
      <c r="B7" t="s">
        <v>817</v>
      </c>
      <c r="C7" s="205">
        <f t="shared" si="0"/>
        <v>53698.09</v>
      </c>
      <c r="D7" s="19">
        <f>'DOE25'!L204+'DOE25'!L222+'DOE25'!L240-F7-G7-H7</f>
        <v>31990.939999999995</v>
      </c>
      <c r="E7" s="179"/>
      <c r="F7" s="180"/>
      <c r="G7" s="19">
        <f>'DOE25'!J204+'DOE25'!J222+'DOE25'!J240</f>
        <v>21707.15</v>
      </c>
      <c r="H7" s="19">
        <f>'DOE25'!K204+'DOE25'!K222+'DOE25'!K240</f>
        <v>0</v>
      </c>
      <c r="I7" s="191"/>
    </row>
    <row r="8" spans="1:9" x14ac:dyDescent="0.2">
      <c r="A8" s="31">
        <v>2300</v>
      </c>
      <c r="B8" t="s">
        <v>794</v>
      </c>
      <c r="C8" s="205">
        <f t="shared" si="0"/>
        <v>220947.70999999996</v>
      </c>
      <c r="D8" s="179"/>
      <c r="E8" s="19">
        <f>'DOE25'!L205+'DOE25'!L223+'DOE25'!L241-F8-G8-H8-D9-D11</f>
        <v>217832.09999999998</v>
      </c>
      <c r="F8" s="180"/>
      <c r="G8" s="19">
        <f>'DOE25'!J205+'DOE25'!J223+'DOE25'!J241</f>
        <v>0</v>
      </c>
      <c r="H8" s="19">
        <f>'DOE25'!K205+'DOE25'!K223+'DOE25'!K241</f>
        <v>3115.61</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188901.69999999998</v>
      </c>
      <c r="D12" s="19">
        <f>'DOE25'!L206+'DOE25'!L224+'DOE25'!L242-F12-G12-H12</f>
        <v>188341.69999999998</v>
      </c>
      <c r="E12" s="179"/>
      <c r="F12" s="180"/>
      <c r="G12" s="19">
        <f>'DOE25'!J206+'DOE25'!J224+'DOE25'!J242</f>
        <v>0</v>
      </c>
      <c r="H12" s="19">
        <f>'DOE25'!K206+'DOE25'!K224+'DOE25'!K242</f>
        <v>560</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109701.10999999999</v>
      </c>
      <c r="D14" s="19">
        <f>'DOE25'!L208+'DOE25'!L226+'DOE25'!L244-F14-G14-H14</f>
        <v>105139.76999999999</v>
      </c>
      <c r="E14" s="179"/>
      <c r="F14" s="180"/>
      <c r="G14" s="19">
        <f>'DOE25'!J208+'DOE25'!J226+'DOE25'!J244</f>
        <v>4561.34</v>
      </c>
      <c r="H14" s="19">
        <f>'DOE25'!K208+'DOE25'!K226+'DOE25'!K244</f>
        <v>0</v>
      </c>
      <c r="I14" s="191"/>
    </row>
    <row r="15" spans="1:9" x14ac:dyDescent="0.2">
      <c r="A15" s="31">
        <v>2700</v>
      </c>
      <c r="B15" t="s">
        <v>796</v>
      </c>
      <c r="C15" s="205">
        <f t="shared" si="0"/>
        <v>44409.960000000006</v>
      </c>
      <c r="D15" s="19">
        <f>'DOE25'!L209+'DOE25'!L227+'DOE25'!L245-F15-G15-H15</f>
        <v>44409.960000000006</v>
      </c>
      <c r="E15" s="179"/>
      <c r="F15" s="180"/>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106129.35</v>
      </c>
      <c r="D25" s="179"/>
      <c r="E25" s="179"/>
      <c r="F25" s="190"/>
      <c r="G25" s="179"/>
      <c r="H25" s="179"/>
      <c r="I25" s="189">
        <f>'DOE25'!L261+'DOE25'!L262+'DOE25'!L342+'DOE25'!L343</f>
        <v>106129.35</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0</v>
      </c>
      <c r="D29" s="211">
        <f>'DOE25'!L359+'DOE25'!L360+'DOE25'!L361-'DOE25'!I368-F29-G29-H29-F39</f>
        <v>0</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23387.79</v>
      </c>
      <c r="D31" s="19">
        <f>'DOE25'!L291+'DOE25'!L310+'DOE25'!L329+'DOE25'!L334+'DOE25'!L335+'DOE25'!L336-F31-G31-H31</f>
        <v>21517.57</v>
      </c>
      <c r="E31" s="179"/>
      <c r="F31" s="180"/>
      <c r="G31" s="19">
        <f>'DOE25'!J291+'DOE25'!J310+'DOE25'!J329+'DOE25'!J334+'DOE25'!J335+'DOE25'!J336</f>
        <v>1870.22</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1559571.04</v>
      </c>
      <c r="E33" s="181">
        <f t="shared" si="1"/>
        <v>217832.09999999998</v>
      </c>
      <c r="F33" s="181">
        <f t="shared" si="1"/>
        <v>0</v>
      </c>
      <c r="G33" s="181">
        <f t="shared" si="1"/>
        <v>30770.760000000002</v>
      </c>
      <c r="H33" s="181">
        <f t="shared" si="1"/>
        <v>3675.61</v>
      </c>
      <c r="I33" s="181">
        <f t="shared" si="1"/>
        <v>106129.35</v>
      </c>
    </row>
    <row r="34" spans="1:9" ht="12" thickBot="1" x14ac:dyDescent="0.25"/>
    <row r="35" spans="1:9" ht="12" thickBot="1" x14ac:dyDescent="0.25">
      <c r="B35" s="187" t="s">
        <v>827</v>
      </c>
      <c r="D35" s="188">
        <f>E33</f>
        <v>217832.09999999998</v>
      </c>
      <c r="E35" s="184"/>
      <c r="F35" s="294" t="s">
        <v>1596</v>
      </c>
      <c r="G35" s="295"/>
      <c r="H35" s="295"/>
      <c r="I35" s="296"/>
    </row>
    <row r="36" spans="1:9" ht="12" thickTop="1" x14ac:dyDescent="0.2">
      <c r="B36" t="s">
        <v>807</v>
      </c>
      <c r="D36" s="19">
        <f>D33</f>
        <v>1559571.04</v>
      </c>
      <c r="F36" s="297"/>
      <c r="G36" s="254" t="str">
        <f>IF(F36=0,"&lt;&lt;&lt;&lt;&lt; YOU HAVE NOT CHOSEN IF YOU WANT AN INDIRECT COST RATE!!","")</f>
        <v>&lt;&lt;&lt;&lt;&lt; YOU HAVE NOT CHOSEN IF YOU WANT AN INDIRECT COST RATE!!</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c r="G42" s="304" t="str">
        <f>IF(F42=0,"&lt;&lt;&lt;&lt;&lt; YOU HAVE NOT ENTERED YOUR CAPITALIZATION THRESHOLD!!","")</f>
        <v>&lt;&lt;&lt;&lt;&lt; YOU HAVE NOT ENTERED YOUR CAPITALIZATION THRESHOLD!!</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B25" zoomScale="75" zoomScaleNormal="75" workbookViewId="0">
      <selection activeCell="E36" sqref="E36"/>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New Castle</v>
      </c>
      <c r="B2">
        <f>'DOE25'!B2</f>
        <v>381</v>
      </c>
      <c r="J2" s="223" t="s">
        <v>1799</v>
      </c>
      <c r="K2" s="308">
        <f>SUM('DOE25'!L198:L201)+SUM('DOE25'!L277:L280)</f>
        <v>530661.27</v>
      </c>
      <c r="L2" s="308">
        <f>'DOE25'!L203+'DOE25'!L282</f>
        <v>83071.450000000012</v>
      </c>
      <c r="M2" s="308">
        <f>'DOE25'!L204+'DOE25'!L283</f>
        <v>61727.229999999996</v>
      </c>
      <c r="N2" s="308">
        <f>'DOE25'!L206+'DOE25'!L285</f>
        <v>188901.69999999998</v>
      </c>
      <c r="O2" s="316" t="e">
        <f>'Salaries-Benefits'!B10+'Salaries-Benefits'!B12+'Salaries-Benefits'!B19+'Salaries-Benefits'!B21+'Salaries-Benefits'!B28+'Salaries-Benefits'!B30+'Salaries-Benefits'!B37+'Salaries-Benefits'!B39</f>
        <v>#VALUE!</v>
      </c>
      <c r="P2" s="316">
        <f>'Salaries-Benefits'!B11+'Salaries-Benefits'!B20+'Salaries-Benefits'!B29+'Salaries-Benefits'!B38</f>
        <v>8110.13</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t="e">
        <f t="shared" ref="O3:P3" si="1">O21+O34+O45-O2</f>
        <v>#VALUE!</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1202763.1299999999</v>
      </c>
      <c r="G4" s="228">
        <f>'DOE25'!L212+'DOE25'!L291</f>
        <v>1202763.1299999999</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4927.66</v>
      </c>
      <c r="E5" s="219"/>
      <c r="F5" s="231">
        <f>D5+E5</f>
        <v>4927.66</v>
      </c>
      <c r="G5" s="222"/>
      <c r="H5" s="222"/>
      <c r="J5" s="71" t="s">
        <v>1840</v>
      </c>
      <c r="K5" s="20"/>
      <c r="L5" s="20"/>
      <c r="M5" s="20"/>
      <c r="N5" s="20"/>
      <c r="O5" s="20"/>
      <c r="P5" s="20"/>
      <c r="Q5" s="20"/>
    </row>
    <row r="6" spans="1:22" x14ac:dyDescent="0.2">
      <c r="A6" t="str" cm="1">
        <f t="array" ref="A6">IFERROR(INDEX('School Tables'!$A$4:$G$365,'School Tables'!$J4,3),"")</f>
        <v>Maude H. Trefethen School</v>
      </c>
      <c r="B6" s="229">
        <f>IFERROR(VLOOKUP(A6,'School Tables'!$C$3:$D$365,2,FALSE),"")</f>
        <v>22455</v>
      </c>
      <c r="C6" s="222" t="str">
        <f>IFERROR(INDEX('School Tables'!$B$3:$B$365,MATCH('School Level Expenditures'!B6,'School Tables'!$D$3:$D$365,0)),"")</f>
        <v>New Castle</v>
      </c>
      <c r="D6" s="219">
        <v>1175434.1499999999</v>
      </c>
      <c r="E6" s="219">
        <v>22401.32</v>
      </c>
      <c r="F6" s="231">
        <f t="shared" ref="F6:F20" si="2">D6+E6</f>
        <v>1197835.47</v>
      </c>
      <c r="G6" s="222"/>
      <c r="H6" s="222"/>
      <c r="J6" t="str">
        <f t="shared" ref="J6:J20" si="3">A6</f>
        <v>Maude H. Trefethen School</v>
      </c>
      <c r="K6" s="20">
        <v>530661.27</v>
      </c>
      <c r="L6" s="20">
        <v>83071.45</v>
      </c>
      <c r="M6" s="307">
        <v>61727.23</v>
      </c>
      <c r="N6" s="20">
        <v>188901.7</v>
      </c>
      <c r="O6" s="20">
        <v>329675.84000000003</v>
      </c>
      <c r="P6" s="20">
        <v>8110.13</v>
      </c>
      <c r="Q6" s="20"/>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1180361.8099999998</v>
      </c>
      <c r="E21" s="261">
        <f>SUM(E5:E20)</f>
        <v>22401.32</v>
      </c>
      <c r="F21" s="216"/>
      <c r="G21" s="216"/>
      <c r="H21" s="216"/>
      <c r="K21" s="262">
        <f t="shared" ref="K21:Q21" si="4">SUM(K5:K20)</f>
        <v>530661.27</v>
      </c>
      <c r="L21" s="262">
        <f t="shared" si="4"/>
        <v>83071.45</v>
      </c>
      <c r="M21" s="262">
        <f t="shared" si="4"/>
        <v>61727.23</v>
      </c>
      <c r="N21" s="262">
        <f t="shared" si="4"/>
        <v>188901.7</v>
      </c>
      <c r="O21" s="262">
        <f t="shared" si="4"/>
        <v>329675.84000000003</v>
      </c>
      <c r="P21" s="262">
        <f t="shared" si="4"/>
        <v>8110.13</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179161.2</v>
      </c>
      <c r="L23" s="19">
        <f>'DOE25'!L221+'DOE25'!L301</f>
        <v>13305.21</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192466.41</v>
      </c>
      <c r="G25" s="228">
        <f>'DOE25'!L230+'DOE25'!L310</f>
        <v>192466.41</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192466.41</v>
      </c>
      <c r="E26" s="219"/>
      <c r="F26" s="231">
        <f>D26+E26</f>
        <v>192466.41</v>
      </c>
      <c r="G26" s="222"/>
      <c r="H26" s="222"/>
      <c r="J26" s="71" t="s">
        <v>1840</v>
      </c>
      <c r="K26" s="315">
        <v>179161.2</v>
      </c>
      <c r="L26" s="315">
        <v>13305.21</v>
      </c>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192466.41</v>
      </c>
      <c r="E34" s="261">
        <f>SUM(E26:E33)</f>
        <v>0</v>
      </c>
      <c r="F34" s="216"/>
      <c r="G34" s="216"/>
      <c r="H34" s="216"/>
      <c r="K34" s="262">
        <f t="shared" ref="K34:Q34" si="8">SUM(K26:K33)</f>
        <v>179161.2</v>
      </c>
      <c r="L34" s="262">
        <f t="shared" si="8"/>
        <v>13305.21</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377137.67</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416619.97</v>
      </c>
      <c r="G38" s="228">
        <f>'DOE25'!L248+'DOE25'!L329</f>
        <v>416619.97</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415633.5</v>
      </c>
      <c r="E39" s="219">
        <v>986.47</v>
      </c>
      <c r="F39" s="231">
        <f t="shared" ref="F39:F44" si="10">D39+E39</f>
        <v>416619.97</v>
      </c>
      <c r="G39" s="222"/>
      <c r="H39" s="222"/>
      <c r="J39" s="71" t="s">
        <v>1840</v>
      </c>
      <c r="K39" s="315">
        <v>377137.67</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415633.5</v>
      </c>
      <c r="E45" s="262">
        <f>SUM(E39:E44)</f>
        <v>986.47</v>
      </c>
      <c r="K45" s="262">
        <f t="shared" ref="K45:Q45" si="11">SUM(K39:K44)</f>
        <v>377137.67</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0"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New Castle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376593.51</v>
      </c>
      <c r="D8" s="73">
        <f>'DOE25'!G9</f>
        <v>0</v>
      </c>
      <c r="E8" s="73">
        <f>'DOE25'!H9</f>
        <v>0</v>
      </c>
      <c r="F8" s="73">
        <f>'DOE25'!I9</f>
        <v>0</v>
      </c>
      <c r="G8" s="73">
        <f>'DOE25'!J9</f>
        <v>0</v>
      </c>
      <c r="H8" s="13">
        <f>SUM(C8:G8)</f>
        <v>376593.51</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4247.78</v>
      </c>
      <c r="F11" s="73">
        <f>'DOE25'!I12</f>
        <v>0</v>
      </c>
      <c r="G11" s="73">
        <f>'DOE25'!J12</f>
        <v>379216.96</v>
      </c>
      <c r="H11" s="13">
        <f t="shared" si="0"/>
        <v>383464.74000000005</v>
      </c>
      <c r="I11" s="90"/>
    </row>
    <row r="12" spans="1:9" x14ac:dyDescent="0.2">
      <c r="A12" s="1" t="s">
        <v>143</v>
      </c>
      <c r="B12" s="6">
        <v>140</v>
      </c>
      <c r="C12" s="73">
        <f>'DOE25'!F13</f>
        <v>2600</v>
      </c>
      <c r="D12" s="73">
        <f>'DOE25'!G13</f>
        <v>0</v>
      </c>
      <c r="E12" s="73">
        <f>'DOE25'!H13</f>
        <v>0</v>
      </c>
      <c r="F12" s="73">
        <f>'DOE25'!I13</f>
        <v>0</v>
      </c>
      <c r="G12" s="73">
        <f>'DOE25'!J13</f>
        <v>0</v>
      </c>
      <c r="H12" s="13">
        <f t="shared" si="0"/>
        <v>2600</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379193.51</v>
      </c>
      <c r="D18" s="38">
        <f>SUM(D8:D17)</f>
        <v>0</v>
      </c>
      <c r="E18" s="38">
        <f>SUM(E8:E17)</f>
        <v>4247.78</v>
      </c>
      <c r="F18" s="38">
        <f>SUM(F8:F17)</f>
        <v>0</v>
      </c>
      <c r="G18" s="38">
        <f>SUM(G8:G17)</f>
        <v>379216.96</v>
      </c>
      <c r="H18" s="38">
        <f t="shared" si="0"/>
        <v>762658.25</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-4247.78</v>
      </c>
      <c r="D21" s="73">
        <f>'DOE25'!G22</f>
        <v>0</v>
      </c>
      <c r="E21" s="73">
        <f>'DOE25'!H22</f>
        <v>4247.78</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61803.24</v>
      </c>
      <c r="D27" s="73">
        <f>'DOE25'!G28</f>
        <v>0</v>
      </c>
      <c r="E27" s="73">
        <f>'DOE25'!H28</f>
        <v>0</v>
      </c>
      <c r="F27" s="73">
        <f>'DOE25'!I28</f>
        <v>0</v>
      </c>
      <c r="G27" s="23" t="s">
        <v>288</v>
      </c>
      <c r="H27" s="13">
        <f t="shared" si="1"/>
        <v>61803.24</v>
      </c>
      <c r="I27" s="90"/>
    </row>
    <row r="28" spans="1:9" x14ac:dyDescent="0.2">
      <c r="A28" s="1" t="s">
        <v>157</v>
      </c>
      <c r="B28" s="6">
        <v>470</v>
      </c>
      <c r="C28" s="73">
        <f>'DOE25'!F29</f>
        <v>-1433.35</v>
      </c>
      <c r="D28" s="73">
        <f>'DOE25'!G29</f>
        <v>0</v>
      </c>
      <c r="E28" s="73">
        <f>'DOE25'!H29</f>
        <v>0</v>
      </c>
      <c r="F28" s="73">
        <f>'DOE25'!I29</f>
        <v>0</v>
      </c>
      <c r="G28" s="23" t="s">
        <v>288</v>
      </c>
      <c r="H28" s="13">
        <f t="shared" si="1"/>
        <v>-1433.35</v>
      </c>
      <c r="I28" s="90"/>
    </row>
    <row r="29" spans="1:9" x14ac:dyDescent="0.2">
      <c r="A29" s="1" t="s">
        <v>158</v>
      </c>
      <c r="B29" s="6">
        <v>480</v>
      </c>
      <c r="C29" s="73">
        <f>'DOE25'!F30</f>
        <v>4550</v>
      </c>
      <c r="D29" s="73">
        <f>'DOE25'!G30</f>
        <v>0</v>
      </c>
      <c r="E29" s="73">
        <f>'DOE25'!H30</f>
        <v>0</v>
      </c>
      <c r="F29" s="73">
        <f>'DOE25'!I30</f>
        <v>0</v>
      </c>
      <c r="G29" s="23" t="s">
        <v>288</v>
      </c>
      <c r="H29" s="13">
        <f t="shared" si="1"/>
        <v>4550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60672.11</v>
      </c>
      <c r="D31" s="38">
        <f>SUM(D21:D30)</f>
        <v>0</v>
      </c>
      <c r="E31" s="38">
        <f>SUM(E21:E30)</f>
        <v>4247.78</v>
      </c>
      <c r="F31" s="38">
        <f>SUM(F21:F30)</f>
        <v>0</v>
      </c>
      <c r="G31" s="38">
        <f>SUM(G21:G30)</f>
        <v>0</v>
      </c>
      <c r="H31" s="38">
        <f t="shared" si="1"/>
        <v>64919.89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40000</v>
      </c>
      <c r="D43" s="73">
        <f>'DOE25'!G44</f>
        <v>0</v>
      </c>
      <c r="E43" s="73">
        <f>'DOE25'!H44</f>
        <v>0</v>
      </c>
      <c r="F43" s="73">
        <f>'DOE25'!I44</f>
        <v>0</v>
      </c>
      <c r="G43" s="23" t="s">
        <v>288</v>
      </c>
      <c r="H43" s="13">
        <f t="shared" si="2"/>
        <v>40000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47280</v>
      </c>
      <c r="D45" s="23" t="s">
        <v>288</v>
      </c>
      <c r="E45" s="23" t="s">
        <v>288</v>
      </c>
      <c r="F45" s="23" t="s">
        <v>288</v>
      </c>
      <c r="G45" s="23" t="s">
        <v>288</v>
      </c>
      <c r="H45" s="13">
        <f t="shared" si="2"/>
        <v>47280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379216.96</v>
      </c>
      <c r="H47" s="13">
        <f t="shared" si="2"/>
        <v>379216.96</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231241.4</v>
      </c>
      <c r="D49" s="23" t="s">
        <v>288</v>
      </c>
      <c r="E49" s="23" t="s">
        <v>288</v>
      </c>
      <c r="F49" s="23" t="s">
        <v>288</v>
      </c>
      <c r="G49" s="23" t="s">
        <v>288</v>
      </c>
      <c r="H49" s="13">
        <f t="shared" si="2"/>
        <v>231241.4</v>
      </c>
      <c r="I49" s="90"/>
    </row>
    <row r="50" spans="1:9" ht="12.75" thickTop="1" thickBot="1" x14ac:dyDescent="0.25">
      <c r="A50" s="35" t="s">
        <v>880</v>
      </c>
      <c r="B50" s="44"/>
      <c r="C50" s="38">
        <f>SUM(C34:C49)</f>
        <v>318521.40000000002</v>
      </c>
      <c r="D50" s="38">
        <f>SUM(D34:D49)</f>
        <v>0</v>
      </c>
      <c r="E50" s="38">
        <f>SUM(E34:E49)</f>
        <v>0</v>
      </c>
      <c r="F50" s="38">
        <f>SUM(F34:F49)</f>
        <v>0</v>
      </c>
      <c r="G50" s="38">
        <f>SUM(G34:G49)</f>
        <v>379216.96</v>
      </c>
      <c r="H50" s="38">
        <f t="shared" si="2"/>
        <v>697738.3600000001</v>
      </c>
      <c r="I50" s="90"/>
    </row>
    <row r="51" spans="1:9" ht="12" thickTop="1" x14ac:dyDescent="0.2">
      <c r="A51" s="35" t="s">
        <v>881</v>
      </c>
      <c r="B51" s="2"/>
      <c r="C51" s="38">
        <f>C50+C31</f>
        <v>379193.51</v>
      </c>
      <c r="D51" s="38">
        <f>D50+D31</f>
        <v>0</v>
      </c>
      <c r="E51" s="38">
        <f>E50+E31</f>
        <v>4247.78</v>
      </c>
      <c r="F51" s="38">
        <f>F50+F31</f>
        <v>0</v>
      </c>
      <c r="G51" s="38">
        <f>G50+G31</f>
        <v>379216.96</v>
      </c>
      <c r="H51" s="38">
        <f t="shared" si="2"/>
        <v>762658.25</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286319</v>
      </c>
      <c r="D56" s="73">
        <f>'DOE25'!G60</f>
        <v>0</v>
      </c>
      <c r="E56" s="73">
        <f>'DOE25'!H60</f>
        <v>0</v>
      </c>
      <c r="F56" s="73">
        <f>'DOE25'!I60</f>
        <v>0</v>
      </c>
      <c r="G56" s="73">
        <f>'DOE25'!J60</f>
        <v>0</v>
      </c>
      <c r="H56" s="13">
        <f t="shared" ref="H56:H63" si="3">SUM(C56:G56)</f>
        <v>286319</v>
      </c>
      <c r="I56"/>
    </row>
    <row r="57" spans="1:9" x14ac:dyDescent="0.2">
      <c r="A57" s="1" t="s">
        <v>164</v>
      </c>
      <c r="B57" s="6" t="s">
        <v>165</v>
      </c>
      <c r="C57" s="73">
        <f>'DOE25'!F79</f>
        <v>51282.79</v>
      </c>
      <c r="D57" s="23" t="s">
        <v>288</v>
      </c>
      <c r="E57" s="73">
        <f>'DOE25'!H79</f>
        <v>0</v>
      </c>
      <c r="F57" s="23" t="s">
        <v>288</v>
      </c>
      <c r="G57" s="23" t="s">
        <v>288</v>
      </c>
      <c r="H57" s="13">
        <f t="shared" si="3"/>
        <v>51282.79</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21081.09</v>
      </c>
      <c r="D59" s="73">
        <f>'DOE25'!G96</f>
        <v>0</v>
      </c>
      <c r="E59" s="73">
        <f>'DOE25'!H96</f>
        <v>0</v>
      </c>
      <c r="F59" s="73">
        <f>'DOE25'!I96</f>
        <v>0</v>
      </c>
      <c r="G59" s="73">
        <f>'DOE25'!J96</f>
        <v>18348.599999999999</v>
      </c>
      <c r="H59" s="13">
        <f t="shared" si="3"/>
        <v>39429.69</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14486.550000000001</v>
      </c>
      <c r="D61" s="73">
        <f>SUM('DOE25'!G98:G110)</f>
        <v>0</v>
      </c>
      <c r="E61" s="73">
        <f>SUM('DOE25'!H98:H110)</f>
        <v>0</v>
      </c>
      <c r="F61" s="73">
        <f>SUM('DOE25'!I98:I110)</f>
        <v>0</v>
      </c>
      <c r="G61" s="73">
        <f>SUM('DOE25'!J98:J110)</f>
        <v>0</v>
      </c>
      <c r="H61" s="13">
        <f t="shared" si="3"/>
        <v>14486.550000000001</v>
      </c>
      <c r="I61"/>
    </row>
    <row r="62" spans="1:9" ht="12.75" thickTop="1" thickBot="1" x14ac:dyDescent="0.25">
      <c r="A62" s="28" t="s">
        <v>174</v>
      </c>
      <c r="B62" s="6"/>
      <c r="C62" s="93">
        <f>SUM(C57:C61)</f>
        <v>86850.430000000008</v>
      </c>
      <c r="D62" s="93">
        <f>SUM(D57:D61)</f>
        <v>0</v>
      </c>
      <c r="E62" s="93">
        <f>SUM(E57:E61)</f>
        <v>0</v>
      </c>
      <c r="F62" s="93">
        <f>SUM(F57:F61)</f>
        <v>0</v>
      </c>
      <c r="G62" s="93">
        <f>SUM(G57:G61)</f>
        <v>18348.599999999999</v>
      </c>
      <c r="H62" s="13">
        <f t="shared" si="3"/>
        <v>105199.03</v>
      </c>
      <c r="I62"/>
    </row>
    <row r="63" spans="1:9" ht="12" thickTop="1" x14ac:dyDescent="0.2">
      <c r="A63" s="28" t="s">
        <v>175</v>
      </c>
      <c r="B63" s="6"/>
      <c r="C63" s="21">
        <f>C56+C62</f>
        <v>373169.43</v>
      </c>
      <c r="D63" s="21">
        <f>D56+D62</f>
        <v>0</v>
      </c>
      <c r="E63" s="21">
        <f>E56+E62</f>
        <v>0</v>
      </c>
      <c r="F63" s="21">
        <f>F56+F62</f>
        <v>0</v>
      </c>
      <c r="G63" s="21">
        <f>G56+G62</f>
        <v>18348.599999999999</v>
      </c>
      <c r="H63" s="13">
        <f t="shared" si="3"/>
        <v>391518.02999999997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0</v>
      </c>
      <c r="D66" s="23" t="s">
        <v>288</v>
      </c>
      <c r="E66" s="23" t="s">
        <v>288</v>
      </c>
      <c r="F66" s="23" t="s">
        <v>288</v>
      </c>
      <c r="G66" s="23" t="s">
        <v>288</v>
      </c>
      <c r="H66" s="13">
        <f t="shared" ref="H66:H81" si="4">SUM(C66:G66)</f>
        <v>0</v>
      </c>
      <c r="I66"/>
    </row>
    <row r="67" spans="1:9" x14ac:dyDescent="0.2">
      <c r="A67" s="1" t="s">
        <v>767</v>
      </c>
      <c r="B67" s="6">
        <v>3112</v>
      </c>
      <c r="C67" s="73">
        <f>'DOE25'!F118</f>
        <v>1604891</v>
      </c>
      <c r="D67" s="23"/>
      <c r="E67" s="23"/>
      <c r="F67" s="23"/>
      <c r="G67" s="23"/>
      <c r="H67" s="13">
        <f t="shared" si="4"/>
        <v>1604891</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1604891</v>
      </c>
      <c r="D70" s="97">
        <f>D69</f>
        <v>0</v>
      </c>
      <c r="E70" s="97">
        <f>E69</f>
        <v>0</v>
      </c>
      <c r="F70" s="97">
        <f>F69</f>
        <v>0</v>
      </c>
      <c r="G70" s="97">
        <f>G69</f>
        <v>0</v>
      </c>
      <c r="H70" s="13">
        <f t="shared" si="4"/>
        <v>1604891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1182.93</v>
      </c>
      <c r="D75" s="23" t="s">
        <v>288</v>
      </c>
      <c r="E75" s="23" t="s">
        <v>288</v>
      </c>
      <c r="F75" s="23" t="s">
        <v>288</v>
      </c>
      <c r="G75" s="23" t="s">
        <v>288</v>
      </c>
      <c r="H75" s="13">
        <f t="shared" si="4"/>
        <v>1182.93</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1182.93</v>
      </c>
      <c r="D78" s="93">
        <f>SUM(D72:D77)</f>
        <v>0</v>
      </c>
      <c r="E78" s="93">
        <f>SUM(E72:E77)</f>
        <v>0</v>
      </c>
      <c r="F78" s="93">
        <f>SUM(F72:F77)</f>
        <v>0</v>
      </c>
      <c r="G78" s="93">
        <f>SUM(G72:G77)</f>
        <v>0</v>
      </c>
      <c r="H78" s="13">
        <f t="shared" si="4"/>
        <v>1182.93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1606073.93</v>
      </c>
      <c r="D81" s="93">
        <f>SUM(D79:D80)+D78+D70</f>
        <v>0</v>
      </c>
      <c r="E81" s="93">
        <f>SUM(E79:E80)+E78+E70</f>
        <v>0</v>
      </c>
      <c r="F81" s="93">
        <f>SUM(F79:F80)+F78+F70</f>
        <v>0</v>
      </c>
      <c r="G81" s="93">
        <f>SUM(G79:G80)+G78+G70</f>
        <v>0</v>
      </c>
      <c r="H81" s="93">
        <f t="shared" si="4"/>
        <v>1606073.93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0</v>
      </c>
      <c r="D88" s="252">
        <f>SUM('DOE25'!G153:G162)</f>
        <v>0</v>
      </c>
      <c r="E88" s="252">
        <f>SUM('DOE25'!H153:H162)</f>
        <v>23387.79</v>
      </c>
      <c r="F88" s="252">
        <f>SUM('DOE25'!I153:I162)</f>
        <v>0</v>
      </c>
      <c r="G88" s="23" t="s">
        <v>288</v>
      </c>
      <c r="H88" s="13">
        <f t="shared" si="5"/>
        <v>23387.79</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0</v>
      </c>
      <c r="D91" s="94">
        <f>SUM(D85:D90)</f>
        <v>0</v>
      </c>
      <c r="E91" s="94">
        <f>SUM(E85:E90)</f>
        <v>23387.79</v>
      </c>
      <c r="F91" s="94">
        <f>SUM(F85:F90)</f>
        <v>0</v>
      </c>
      <c r="G91" s="23" t="s">
        <v>288</v>
      </c>
      <c r="H91" s="13">
        <f t="shared" si="5"/>
        <v>23387.79</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40000</v>
      </c>
      <c r="H96" s="13">
        <f t="shared" si="5"/>
        <v>40000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40000</v>
      </c>
      <c r="H103" s="68">
        <f t="shared" si="5"/>
        <v>40000</v>
      </c>
    </row>
    <row r="104" spans="1:8" ht="12.75" thickTop="1" thickBot="1" x14ac:dyDescent="0.25">
      <c r="A104" s="32" t="s">
        <v>758</v>
      </c>
      <c r="C104" s="68">
        <f>C63+C81+C91+C103</f>
        <v>1979243.3599999999</v>
      </c>
      <c r="D104" s="68">
        <f>D63+D81+D91+D103</f>
        <v>0</v>
      </c>
      <c r="E104" s="68">
        <f>E63+E81+E91+E103</f>
        <v>23387.79</v>
      </c>
      <c r="F104" s="68">
        <f>F63+F81+F91+F103</f>
        <v>0</v>
      </c>
      <c r="G104" s="68">
        <f>G63+G81+G103</f>
        <v>58348.6</v>
      </c>
      <c r="H104" s="68">
        <f t="shared" si="5"/>
        <v>2060979.75</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972394.09</v>
      </c>
      <c r="D109" s="23" t="s">
        <v>288</v>
      </c>
      <c r="E109" s="73">
        <f>('DOE25'!L277)+('DOE25'!L296)+('DOE25'!L315)</f>
        <v>0</v>
      </c>
      <c r="F109" s="23" t="s">
        <v>288</v>
      </c>
      <c r="G109" s="23" t="s">
        <v>288</v>
      </c>
      <c r="H109" s="13">
        <f t="shared" ref="H109:H115" si="6">SUM(C109:G109)</f>
        <v>972394.09</v>
      </c>
    </row>
    <row r="110" spans="1:8" x14ac:dyDescent="0.2">
      <c r="A110" t="s">
        <v>198</v>
      </c>
      <c r="B110" s="31" t="s">
        <v>199</v>
      </c>
      <c r="C110" s="73">
        <f>('DOE25'!L199)+('DOE25'!L217)+('DOE25'!L235)</f>
        <v>71853.87999999999</v>
      </c>
      <c r="D110" s="23" t="s">
        <v>288</v>
      </c>
      <c r="E110" s="73">
        <f>('DOE25'!L278)+('DOE25'!L297)+('DOE25'!L316)</f>
        <v>10354.369999999999</v>
      </c>
      <c r="F110" s="23" t="s">
        <v>288</v>
      </c>
      <c r="G110" s="23" t="s">
        <v>288</v>
      </c>
      <c r="H110" s="13">
        <f t="shared" si="6"/>
        <v>82208.249999999985</v>
      </c>
    </row>
    <row r="111" spans="1:8" x14ac:dyDescent="0.2">
      <c r="A111" t="s">
        <v>200</v>
      </c>
      <c r="B111" s="31" t="s">
        <v>165</v>
      </c>
      <c r="C111" s="73">
        <f>('DOE25'!L200)+('DOE25'!L218)+('DOE25'!L236)</f>
        <v>3581.92</v>
      </c>
      <c r="D111" s="23" t="s">
        <v>288</v>
      </c>
      <c r="E111" s="73">
        <f>('DOE25'!L279)+('DOE25'!L298)+('DOE25'!L317)</f>
        <v>0</v>
      </c>
      <c r="F111" s="23" t="s">
        <v>288</v>
      </c>
      <c r="G111" s="23" t="s">
        <v>288</v>
      </c>
      <c r="H111" s="13">
        <f t="shared" si="6"/>
        <v>3581.92</v>
      </c>
    </row>
    <row r="112" spans="1:8" x14ac:dyDescent="0.2">
      <c r="A112" t="s">
        <v>201</v>
      </c>
      <c r="B112" s="31" t="s">
        <v>167</v>
      </c>
      <c r="C112" s="73">
        <f>('DOE25'!L201)+('DOE25'!L219)+('DOE25'!L237)</f>
        <v>28775.88</v>
      </c>
      <c r="D112" s="23" t="s">
        <v>288</v>
      </c>
      <c r="E112" s="73">
        <f>+('DOE25'!L280)+('DOE25'!L299)+('DOE25'!L318)</f>
        <v>0</v>
      </c>
      <c r="F112" s="23" t="s">
        <v>288</v>
      </c>
      <c r="G112" s="23" t="s">
        <v>288</v>
      </c>
      <c r="H112" s="13">
        <f t="shared" si="6"/>
        <v>28775.88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1076605.77</v>
      </c>
      <c r="D115" s="68">
        <f>SUM(D109:D114)</f>
        <v>0</v>
      </c>
      <c r="E115" s="68">
        <f>SUM(E109:E114)</f>
        <v>10354.369999999999</v>
      </c>
      <c r="F115" s="68">
        <f>SUM(F109:F114)</f>
        <v>0</v>
      </c>
      <c r="G115" s="68">
        <f>SUM(G109:G114)</f>
        <v>0</v>
      </c>
      <c r="H115" s="68">
        <f t="shared" si="6"/>
        <v>1086960.1400000001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94197.38</v>
      </c>
      <c r="D118" s="23" t="s">
        <v>288</v>
      </c>
      <c r="E118" s="73">
        <f>+('DOE25'!L282)+('DOE25'!L301)+('DOE25'!L320)</f>
        <v>2179.2800000000002</v>
      </c>
      <c r="F118" s="23" t="s">
        <v>288</v>
      </c>
      <c r="G118" s="23" t="s">
        <v>288</v>
      </c>
      <c r="H118" s="13">
        <f t="shared" ref="H118:H145" si="7">SUM(C118:G118)</f>
        <v>96376.66</v>
      </c>
    </row>
    <row r="119" spans="1:8" x14ac:dyDescent="0.2">
      <c r="A119" t="s">
        <v>208</v>
      </c>
      <c r="B119" s="31" t="s">
        <v>209</v>
      </c>
      <c r="C119" s="73">
        <f>('DOE25'!L204)+('DOE25'!L222)+('DOE25'!L240)</f>
        <v>53698.09</v>
      </c>
      <c r="D119" s="23" t="s">
        <v>288</v>
      </c>
      <c r="E119" s="73">
        <f>+('DOE25'!L283)+('DOE25'!L302)+('DOE25'!L321)</f>
        <v>8029.14</v>
      </c>
      <c r="F119" s="23" t="s">
        <v>288</v>
      </c>
      <c r="G119" s="23" t="s">
        <v>288</v>
      </c>
      <c r="H119" s="13">
        <f t="shared" si="7"/>
        <v>61727.229999999996</v>
      </c>
    </row>
    <row r="120" spans="1:8" x14ac:dyDescent="0.2">
      <c r="A120" t="s">
        <v>210</v>
      </c>
      <c r="B120" s="31" t="s">
        <v>211</v>
      </c>
      <c r="C120" s="73">
        <f>('DOE25'!L205)+('DOE25'!L223)+('DOE25'!L241)</f>
        <v>220947.70999999996</v>
      </c>
      <c r="D120" s="23" t="s">
        <v>288</v>
      </c>
      <c r="E120" s="73">
        <f>+('DOE25'!L284)+('DOE25'!L303)+('DOE25'!L322)</f>
        <v>0</v>
      </c>
      <c r="F120" s="23" t="s">
        <v>288</v>
      </c>
      <c r="G120" s="23" t="s">
        <v>288</v>
      </c>
      <c r="H120" s="13">
        <f t="shared" si="7"/>
        <v>220947.70999999996</v>
      </c>
    </row>
    <row r="121" spans="1:8" x14ac:dyDescent="0.2">
      <c r="A121" t="s">
        <v>212</v>
      </c>
      <c r="B121" s="31" t="s">
        <v>213</v>
      </c>
      <c r="C121" s="73">
        <f>('DOE25'!L206)+('DOE25'!L224)+('DOE25'!L242)</f>
        <v>188901.69999999998</v>
      </c>
      <c r="D121" s="23" t="s">
        <v>288</v>
      </c>
      <c r="E121" s="73">
        <f>+('DOE25'!L285)+('DOE25'!L304)+('DOE25'!L323)</f>
        <v>0</v>
      </c>
      <c r="F121" s="23" t="s">
        <v>288</v>
      </c>
      <c r="G121" s="23" t="s">
        <v>288</v>
      </c>
      <c r="H121" s="13">
        <f t="shared" si="7"/>
        <v>188901.69999999998</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109701.10999999999</v>
      </c>
      <c r="D123" s="23" t="s">
        <v>288</v>
      </c>
      <c r="E123" s="73">
        <f>+('DOE25'!L287)+('DOE25'!L306)+('DOE25'!L325)</f>
        <v>0</v>
      </c>
      <c r="F123" s="23" t="s">
        <v>288</v>
      </c>
      <c r="G123" s="23" t="s">
        <v>288</v>
      </c>
      <c r="H123" s="13">
        <f t="shared" si="7"/>
        <v>109701.10999999999</v>
      </c>
    </row>
    <row r="124" spans="1:8" x14ac:dyDescent="0.2">
      <c r="A124" t="s">
        <v>218</v>
      </c>
      <c r="B124" s="31" t="s">
        <v>219</v>
      </c>
      <c r="C124" s="73">
        <f>('DOE25'!L209)+('DOE25'!L227)+('DOE25'!L245+'DOE25'!L255)</f>
        <v>44409.960000000006</v>
      </c>
      <c r="D124" s="23" t="s">
        <v>288</v>
      </c>
      <c r="E124" s="73">
        <f>+('DOE25'!L288)+('DOE25'!L307)+('DOE25'!L326)</f>
        <v>0</v>
      </c>
      <c r="F124" s="23" t="s">
        <v>288</v>
      </c>
      <c r="G124" s="23" t="s">
        <v>288</v>
      </c>
      <c r="H124" s="13">
        <f t="shared" si="7"/>
        <v>44409.960000000006</v>
      </c>
    </row>
    <row r="125" spans="1:8" x14ac:dyDescent="0.2">
      <c r="A125" t="s">
        <v>220</v>
      </c>
      <c r="B125" s="31" t="s">
        <v>221</v>
      </c>
      <c r="C125" s="73">
        <f>('DOE25'!L210)+('DOE25'!L228)+('DOE25'!L246)</f>
        <v>0</v>
      </c>
      <c r="D125" s="23" t="s">
        <v>288</v>
      </c>
      <c r="E125" s="73">
        <f>+('DOE25'!L289)+('DOE25'!L308)+('DOE25'!L327)</f>
        <v>2825</v>
      </c>
      <c r="F125" s="23" t="s">
        <v>288</v>
      </c>
      <c r="G125" s="23" t="s">
        <v>288</v>
      </c>
      <c r="H125" s="13">
        <f t="shared" si="7"/>
        <v>2825</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13">
        <f t="shared" si="7"/>
        <v>0</v>
      </c>
    </row>
    <row r="128" spans="1:8" ht="12.75" thickTop="1" thickBot="1" x14ac:dyDescent="0.25">
      <c r="A128" s="32" t="s">
        <v>226</v>
      </c>
      <c r="C128" s="68">
        <f>SUM(C118:C127)</f>
        <v>711855.94999999984</v>
      </c>
      <c r="D128" s="68">
        <f>SUM(D118:D127)</f>
        <v>0</v>
      </c>
      <c r="E128" s="68">
        <f>SUM(E118:E127)</f>
        <v>13033.42</v>
      </c>
      <c r="F128" s="68">
        <f>SUM(F118:F127)</f>
        <v>0</v>
      </c>
      <c r="G128" s="68">
        <f>SUM(G118:G127)</f>
        <v>0</v>
      </c>
      <c r="H128" s="68">
        <f t="shared" si="7"/>
        <v>724889.36999999988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100000</v>
      </c>
      <c r="D131" s="23" t="s">
        <v>288</v>
      </c>
      <c r="E131" s="92">
        <f>'DOE25'!L342</f>
        <v>0</v>
      </c>
      <c r="F131" s="23" t="s">
        <v>288</v>
      </c>
      <c r="G131" s="23" t="s">
        <v>288</v>
      </c>
      <c r="H131" s="13">
        <f t="shared" si="7"/>
        <v>100000</v>
      </c>
    </row>
    <row r="132" spans="1:8" x14ac:dyDescent="0.2">
      <c r="A132" t="s">
        <v>230</v>
      </c>
      <c r="B132" s="31">
        <v>5120</v>
      </c>
      <c r="C132" s="73">
        <f>'DOE25'!L262</f>
        <v>6129.35</v>
      </c>
      <c r="D132" s="23" t="s">
        <v>288</v>
      </c>
      <c r="E132" s="92">
        <f>'DOE25'!L343</f>
        <v>0</v>
      </c>
      <c r="F132" s="23" t="s">
        <v>288</v>
      </c>
      <c r="G132" s="23" t="s">
        <v>288</v>
      </c>
      <c r="H132" s="13">
        <f t="shared" si="7"/>
        <v>6129.35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58348.599999999991</v>
      </c>
      <c r="D139" s="23" t="s">
        <v>288</v>
      </c>
      <c r="E139" s="23" t="s">
        <v>288</v>
      </c>
      <c r="F139" s="23" t="s">
        <v>288</v>
      </c>
      <c r="G139" s="23" t="s">
        <v>288</v>
      </c>
      <c r="H139" s="13">
        <f t="shared" si="7"/>
        <v>58348.599999999991</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-18348.599999999991</v>
      </c>
      <c r="D141" s="23" t="s">
        <v>288</v>
      </c>
      <c r="E141" s="23" t="s">
        <v>288</v>
      </c>
      <c r="F141" s="23" t="s">
        <v>288</v>
      </c>
      <c r="G141" s="23" t="s">
        <v>288</v>
      </c>
      <c r="H141" s="13">
        <f t="shared" si="7"/>
        <v>-18348.599999999991</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146129.35000000003</v>
      </c>
      <c r="D144" s="98">
        <f>SUM(D130:D143)</f>
        <v>0</v>
      </c>
      <c r="E144" s="98">
        <f>SUM(E130:E143)</f>
        <v>0</v>
      </c>
      <c r="F144" s="98">
        <f>SUM(F130:F143)</f>
        <v>0</v>
      </c>
      <c r="G144" s="98">
        <f>SUM(G130:G143)</f>
        <v>0</v>
      </c>
      <c r="H144" s="98">
        <f t="shared" si="7"/>
        <v>146129.35000000003</v>
      </c>
    </row>
    <row r="145" spans="1:9" ht="12.75" thickTop="1" thickBot="1" x14ac:dyDescent="0.25">
      <c r="A145" s="32" t="s">
        <v>244</v>
      </c>
      <c r="C145" s="68">
        <f>(C115+C128+C144)</f>
        <v>1934591.0699999998</v>
      </c>
      <c r="D145" s="68">
        <f>(D115+D128+D144)</f>
        <v>0</v>
      </c>
      <c r="E145" s="68">
        <f>(E115+E128+E144)</f>
        <v>23387.79</v>
      </c>
      <c r="F145" s="68">
        <f>(F115+F128+F144)</f>
        <v>0</v>
      </c>
      <c r="G145" s="68">
        <f>(G115+G128+G144)</f>
        <v>0</v>
      </c>
      <c r="H145" s="68">
        <f t="shared" si="7"/>
        <v>1957978.8599999999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998000</v>
      </c>
      <c r="C154" s="19">
        <f>'DOE25'!G494</f>
        <v>0</v>
      </c>
      <c r="D154" s="19">
        <f>'DOE25'!H494</f>
        <v>0</v>
      </c>
      <c r="E154" s="19">
        <f>'DOE25'!I494</f>
        <v>0</v>
      </c>
      <c r="F154" s="19">
        <f>'DOE25'!J494</f>
        <v>0</v>
      </c>
      <c r="G154" s="23" t="s">
        <v>288</v>
      </c>
    </row>
    <row r="155" spans="1:9" x14ac:dyDescent="0.2">
      <c r="A155" s="21" t="s">
        <v>31</v>
      </c>
      <c r="B155" s="19">
        <f>'DOE25'!F495</f>
        <v>2.4700000000000002</v>
      </c>
      <c r="C155" s="19">
        <f>'DOE25'!G495</f>
        <v>0</v>
      </c>
      <c r="D155" s="19">
        <f>'DOE25'!H495</f>
        <v>0</v>
      </c>
      <c r="E155" s="19">
        <f>'DOE25'!I495</f>
        <v>0</v>
      </c>
      <c r="F155" s="19">
        <f>'DOE25'!J495</f>
        <v>0</v>
      </c>
      <c r="G155" s="23" t="s">
        <v>288</v>
      </c>
    </row>
    <row r="156" spans="1:9" x14ac:dyDescent="0.2">
      <c r="A156" s="21" t="s">
        <v>32</v>
      </c>
      <c r="B156" s="19">
        <f>'DOE25'!F496</f>
        <v>300000</v>
      </c>
      <c r="C156" s="19">
        <f>'DOE25'!G496</f>
        <v>0</v>
      </c>
      <c r="D156" s="19">
        <f>'DOE25'!H496</f>
        <v>0</v>
      </c>
      <c r="E156" s="19">
        <f>'DOE25'!I496</f>
        <v>0</v>
      </c>
      <c r="F156" s="19">
        <f>'DOE25'!J496</f>
        <v>0</v>
      </c>
      <c r="G156" s="96">
        <f>SUM(B156:F156)</f>
        <v>300000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100000</v>
      </c>
      <c r="C158" s="19">
        <f>'DOE25'!G498</f>
        <v>0</v>
      </c>
      <c r="D158" s="19">
        <f>'DOE25'!H498</f>
        <v>0</v>
      </c>
      <c r="E158" s="19">
        <f>'DOE25'!I498</f>
        <v>0</v>
      </c>
      <c r="F158" s="19">
        <f>'DOE25'!J498</f>
        <v>0</v>
      </c>
      <c r="G158" s="96">
        <f t="shared" si="8"/>
        <v>100000</v>
      </c>
    </row>
    <row r="159" spans="1:9" x14ac:dyDescent="0.2">
      <c r="A159" s="21" t="s">
        <v>35</v>
      </c>
      <c r="B159" s="19">
        <f>'DOE25'!F499</f>
        <v>200000</v>
      </c>
      <c r="C159" s="19">
        <f>'DOE25'!G499</f>
        <v>0</v>
      </c>
      <c r="D159" s="19">
        <f>'DOE25'!H499</f>
        <v>0</v>
      </c>
      <c r="E159" s="19">
        <f>'DOE25'!I499</f>
        <v>0</v>
      </c>
      <c r="F159" s="19">
        <f>'DOE25'!J499</f>
        <v>0</v>
      </c>
      <c r="G159" s="96">
        <f t="shared" si="8"/>
        <v>200000</v>
      </c>
    </row>
    <row r="160" spans="1:9" x14ac:dyDescent="0.2">
      <c r="A160" s="21" t="s">
        <v>36</v>
      </c>
      <c r="B160" s="19">
        <f>'DOE25'!F500</f>
        <v>4960.3</v>
      </c>
      <c r="C160" s="19">
        <f>'DOE25'!G500</f>
        <v>0</v>
      </c>
      <c r="D160" s="19">
        <f>'DOE25'!H500</f>
        <v>0</v>
      </c>
      <c r="E160" s="19">
        <f>'DOE25'!I500</f>
        <v>0</v>
      </c>
      <c r="F160" s="19">
        <f>'DOE25'!J500</f>
        <v>0</v>
      </c>
      <c r="G160" s="96">
        <f t="shared" si="8"/>
        <v>4960.3</v>
      </c>
    </row>
    <row r="161" spans="1:7" x14ac:dyDescent="0.2">
      <c r="A161" s="21" t="s">
        <v>37</v>
      </c>
      <c r="B161" s="19">
        <f>'DOE25'!F501</f>
        <v>204960.3</v>
      </c>
      <c r="C161" s="19">
        <f>'DOE25'!G501</f>
        <v>0</v>
      </c>
      <c r="D161" s="19">
        <f>'DOE25'!H501</f>
        <v>0</v>
      </c>
      <c r="E161" s="19">
        <f>'DOE25'!I501</f>
        <v>0</v>
      </c>
      <c r="F161" s="19">
        <f>'DOE25'!J501</f>
        <v>0</v>
      </c>
      <c r="G161" s="96">
        <f t="shared" si="8"/>
        <v>204960.3</v>
      </c>
    </row>
    <row r="162" spans="1:7" x14ac:dyDescent="0.2">
      <c r="A162" s="21" t="s">
        <v>38</v>
      </c>
      <c r="B162" s="19">
        <f>'DOE25'!F502</f>
        <v>100000</v>
      </c>
      <c r="C162" s="19">
        <f>'DOE25'!G502</f>
        <v>0</v>
      </c>
      <c r="D162" s="19">
        <f>'DOE25'!H502</f>
        <v>0</v>
      </c>
      <c r="E162" s="19">
        <f>'DOE25'!I502</f>
        <v>0</v>
      </c>
      <c r="F162" s="19">
        <f>'DOE25'!J502</f>
        <v>0</v>
      </c>
      <c r="G162" s="96">
        <f t="shared" si="8"/>
        <v>100000</v>
      </c>
    </row>
    <row r="163" spans="1:7" x14ac:dyDescent="0.2">
      <c r="A163" s="21" t="s">
        <v>39</v>
      </c>
      <c r="B163" s="19">
        <f>'DOE25'!F503</f>
        <v>3735.45</v>
      </c>
      <c r="C163" s="19">
        <f>'DOE25'!G503</f>
        <v>0</v>
      </c>
      <c r="D163" s="19">
        <f>'DOE25'!H503</f>
        <v>0</v>
      </c>
      <c r="E163" s="19">
        <f>'DOE25'!I503</f>
        <v>0</v>
      </c>
      <c r="F163" s="19">
        <f>'DOE25'!J503</f>
        <v>0</v>
      </c>
      <c r="G163" s="96">
        <f t="shared" si="8"/>
        <v>3735.45</v>
      </c>
    </row>
    <row r="164" spans="1:7" x14ac:dyDescent="0.2">
      <c r="A164" s="21" t="s">
        <v>246</v>
      </c>
      <c r="B164" s="19">
        <f>'DOE25'!F504</f>
        <v>103735.45</v>
      </c>
      <c r="C164" s="19">
        <f>'DOE25'!G504</f>
        <v>0</v>
      </c>
      <c r="D164" s="19">
        <f>'DOE25'!H504</f>
        <v>0</v>
      </c>
      <c r="E164" s="19">
        <f>'DOE25'!I504</f>
        <v>0</v>
      </c>
      <c r="F164" s="19">
        <f>'DOE25'!J504</f>
        <v>0</v>
      </c>
      <c r="G164" s="96">
        <f t="shared" si="8"/>
        <v>103735.45</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New Castle</v>
      </c>
    </row>
    <row r="3" spans="1:4" x14ac:dyDescent="0.2">
      <c r="B3" s="136" t="s">
        <v>1792</v>
      </c>
    </row>
    <row r="4" spans="1:4" x14ac:dyDescent="0.2">
      <c r="B4" t="s">
        <v>61</v>
      </c>
      <c r="C4" s="128">
        <f>IF('DOE25'!F666+'DOE25'!F671=0,0,ROUND('DOE25'!F673,0))</f>
        <v>44375</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44375</v>
      </c>
    </row>
    <row r="9" spans="1:4" x14ac:dyDescent="0.2">
      <c r="A9" s="135" t="s">
        <v>94</v>
      </c>
      <c r="B9" s="136" t="s">
        <v>1793</v>
      </c>
      <c r="C9" s="130" t="s">
        <v>720</v>
      </c>
      <c r="D9" s="130" t="s">
        <v>721</v>
      </c>
    </row>
    <row r="10" spans="1:4" x14ac:dyDescent="0.2">
      <c r="A10">
        <v>1100</v>
      </c>
      <c r="B10" t="s">
        <v>702</v>
      </c>
      <c r="C10" s="128">
        <f>ROUND('DOE25'!L198+'DOE25'!L216+'DOE25'!L234+'DOE25'!L277+'DOE25'!L296+'DOE25'!L315,0)</f>
        <v>972394</v>
      </c>
      <c r="D10" s="131">
        <f>ROUND((C10/$C$28)*100,1)</f>
        <v>53.5</v>
      </c>
    </row>
    <row r="11" spans="1:4" x14ac:dyDescent="0.2">
      <c r="A11">
        <v>1200</v>
      </c>
      <c r="B11" t="s">
        <v>703</v>
      </c>
      <c r="C11" s="128">
        <f>ROUND('DOE25'!L199+'DOE25'!L217+'DOE25'!L235+'DOE25'!L278+'DOE25'!L297+'DOE25'!L316,0)</f>
        <v>82208</v>
      </c>
      <c r="D11" s="131">
        <f>ROUND((C11/$C$28)*100,1)</f>
        <v>4.5</v>
      </c>
    </row>
    <row r="12" spans="1:4" x14ac:dyDescent="0.2">
      <c r="A12">
        <v>1300</v>
      </c>
      <c r="B12" t="s">
        <v>704</v>
      </c>
      <c r="C12" s="128">
        <f>ROUND('DOE25'!L200+'DOE25'!L218+'DOE25'!L236+'DOE25'!L279+'DOE25'!L298+'DOE25'!L317,0)</f>
        <v>3582</v>
      </c>
      <c r="D12" s="131">
        <f>ROUND((C12/$C$28)*100,1)</f>
        <v>0.2</v>
      </c>
    </row>
    <row r="13" spans="1:4" x14ac:dyDescent="0.2">
      <c r="A13">
        <v>1400</v>
      </c>
      <c r="B13" t="s">
        <v>705</v>
      </c>
      <c r="C13" s="128">
        <f>ROUND('DOE25'!L201+'DOE25'!L219+'DOE25'!L237+'DOE25'!L280+'DOE25'!L299+'DOE25'!L318,0)</f>
        <v>28776</v>
      </c>
      <c r="D13" s="131">
        <f>ROUND((C13/$C$28)*100,1)</f>
        <v>1.6</v>
      </c>
    </row>
    <row r="14" spans="1:4" x14ac:dyDescent="0.2">
      <c r="D14" s="131"/>
    </row>
    <row r="15" spans="1:4" x14ac:dyDescent="0.2">
      <c r="A15">
        <v>2100</v>
      </c>
      <c r="B15" t="s">
        <v>706</v>
      </c>
      <c r="C15" s="128">
        <f>ROUND('DOE25'!L203+'DOE25'!L221+'DOE25'!L239+'DOE25'!L282+'DOE25'!L301+'DOE25'!L320,0)</f>
        <v>96377</v>
      </c>
      <c r="D15" s="131">
        <f t="shared" ref="D15:D27" si="0">ROUND((C15/$C$28)*100,1)</f>
        <v>5.3</v>
      </c>
    </row>
    <row r="16" spans="1:4" x14ac:dyDescent="0.2">
      <c r="A16">
        <v>2200</v>
      </c>
      <c r="B16" t="s">
        <v>707</v>
      </c>
      <c r="C16" s="128">
        <f>ROUND('DOE25'!L204+'DOE25'!L222+'DOE25'!L240+'DOE25'!L283+'DOE25'!L302+'DOE25'!L321,0)</f>
        <v>61727</v>
      </c>
      <c r="D16" s="131">
        <f t="shared" si="0"/>
        <v>3.4</v>
      </c>
    </row>
    <row r="17" spans="1:4" x14ac:dyDescent="0.2">
      <c r="A17" s="132" t="s">
        <v>723</v>
      </c>
      <c r="B17" t="s">
        <v>738</v>
      </c>
      <c r="C17" s="128">
        <f>ROUND('DOE25'!L205+'DOE25'!L210+'DOE25'!L223+'DOE25'!L228+'DOE25'!L241+'DOE25'!L246+'DOE25'!L284+'DOE25'!L289+'DOE25'!L303+'DOE25'!L308+'DOE25'!L322+'DOE25'!L327,0)</f>
        <v>223773</v>
      </c>
      <c r="D17" s="131">
        <f t="shared" si="0"/>
        <v>12.3</v>
      </c>
    </row>
    <row r="18" spans="1:4" x14ac:dyDescent="0.2">
      <c r="A18">
        <v>2400</v>
      </c>
      <c r="B18" t="s">
        <v>711</v>
      </c>
      <c r="C18" s="128">
        <f>ROUND('DOE25'!L206+'DOE25'!L224+'DOE25'!L242+'DOE25'!L285+'DOE25'!L304+'DOE25'!L323,0)</f>
        <v>188902</v>
      </c>
      <c r="D18" s="131">
        <f t="shared" si="0"/>
        <v>10.4</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109701</v>
      </c>
      <c r="D20" s="131">
        <f t="shared" si="0"/>
        <v>6</v>
      </c>
    </row>
    <row r="21" spans="1:4" x14ac:dyDescent="0.2">
      <c r="A21">
        <v>2700</v>
      </c>
      <c r="B21" t="s">
        <v>710</v>
      </c>
      <c r="C21" s="128">
        <f>ROUND('DOE25'!L209+'DOE25'!L227+'DOE25'!L245+'DOE25'!L288+'DOE25'!L307+'DOE25'!L326,0)</f>
        <v>44410</v>
      </c>
      <c r="D21" s="131">
        <f t="shared" si="0"/>
        <v>2.4</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6129</v>
      </c>
      <c r="D25" s="131">
        <f t="shared" si="0"/>
        <v>0.3</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0</v>
      </c>
      <c r="D27" s="131">
        <f t="shared" si="0"/>
        <v>0</v>
      </c>
    </row>
    <row r="28" spans="1:4" x14ac:dyDescent="0.2">
      <c r="B28" s="135" t="s">
        <v>719</v>
      </c>
      <c r="C28" s="129">
        <f>SUM(C10:C27)</f>
        <v>1817979</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1817979</v>
      </c>
    </row>
    <row r="31" spans="1:4" x14ac:dyDescent="0.2">
      <c r="B31" s="32"/>
      <c r="C31" s="129"/>
    </row>
    <row r="32" spans="1:4" x14ac:dyDescent="0.2">
      <c r="A32">
        <v>5100</v>
      </c>
      <c r="B32" s="32" t="s">
        <v>726</v>
      </c>
      <c r="C32" s="129">
        <f>ROUND('DOE25'!L261+'DOE25'!L342,0)</f>
        <v>100000</v>
      </c>
    </row>
    <row r="34" spans="1:4" x14ac:dyDescent="0.2">
      <c r="A34" s="135" t="s">
        <v>94</v>
      </c>
      <c r="B34" s="136" t="s">
        <v>1794</v>
      </c>
      <c r="C34" s="130" t="s">
        <v>720</v>
      </c>
      <c r="D34" s="130" t="s">
        <v>721</v>
      </c>
    </row>
    <row r="35" spans="1:4" x14ac:dyDescent="0.2">
      <c r="A35">
        <v>1100</v>
      </c>
      <c r="B35" s="71" t="s">
        <v>727</v>
      </c>
      <c r="C35" s="128">
        <f>ROUND('DOE25'!F60+'DOE25'!G60+'DOE25'!H60+'DOE25'!I60+'DOE25'!J60,0)</f>
        <v>286319</v>
      </c>
      <c r="D35" s="131">
        <f t="shared" ref="D35:D40" si="1">ROUND((C35/$C$41)*100,1)</f>
        <v>14.2</v>
      </c>
    </row>
    <row r="36" spans="1:4" x14ac:dyDescent="0.2">
      <c r="B36" s="71" t="s">
        <v>739</v>
      </c>
      <c r="C36" s="128">
        <f>SUM('DOE25'!F112:J112)-SUM('DOE25'!G97:G110)+('DOE25'!F175+'DOE25'!F176+'DOE25'!I175+'DOE25'!I176)-C35</f>
        <v>105199.02999999997</v>
      </c>
      <c r="D36" s="131">
        <f t="shared" si="1"/>
        <v>5.2</v>
      </c>
    </row>
    <row r="37" spans="1:4" x14ac:dyDescent="0.2">
      <c r="A37" s="132" t="s">
        <v>831</v>
      </c>
      <c r="B37" s="71" t="s">
        <v>728</v>
      </c>
      <c r="C37" s="128">
        <f>ROUND('DOE25'!F117+'DOE25'!F118,0)</f>
        <v>1604891</v>
      </c>
      <c r="D37" s="131">
        <f t="shared" si="1"/>
        <v>79.400000000000006</v>
      </c>
    </row>
    <row r="38" spans="1:4" x14ac:dyDescent="0.2">
      <c r="A38" s="132" t="s">
        <v>734</v>
      </c>
      <c r="B38" s="71" t="s">
        <v>729</v>
      </c>
      <c r="C38" s="128">
        <f>ROUND(SUM('DOE25'!F140:J140)-SUM('DOE25'!F117:F119),0)</f>
        <v>1183</v>
      </c>
      <c r="D38" s="131">
        <f t="shared" si="1"/>
        <v>0.1</v>
      </c>
    </row>
    <row r="39" spans="1:4" x14ac:dyDescent="0.2">
      <c r="A39">
        <v>4000</v>
      </c>
      <c r="B39" s="71" t="s">
        <v>730</v>
      </c>
      <c r="C39" s="128">
        <f>ROUND('DOE25'!F170+'DOE25'!G170+'DOE25'!H170+'DOE25'!I170,0)</f>
        <v>23388</v>
      </c>
      <c r="D39" s="131">
        <f t="shared" si="1"/>
        <v>1.2</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2020980.03</v>
      </c>
      <c r="D41" s="133">
        <f>SUM(D35:D40)</f>
        <v>100.10000000000001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5" sqref="C5:M5"/>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New Castle</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t="s">
        <v>1841</v>
      </c>
      <c r="D4" s="332"/>
      <c r="E4" s="332"/>
      <c r="F4" s="332"/>
      <c r="G4" s="332"/>
      <c r="H4" s="332"/>
      <c r="I4" s="332"/>
      <c r="J4" s="332"/>
      <c r="K4" s="332"/>
      <c r="L4" s="332"/>
      <c r="M4" s="334"/>
    </row>
    <row r="5" spans="1:13" x14ac:dyDescent="0.2">
      <c r="A5" s="158"/>
      <c r="B5" s="149"/>
      <c r="C5" s="332" t="s">
        <v>1842</v>
      </c>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188</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f>IF('School Level Expenditures'!$B$2=A191,'School Tables'!H191,"")</f>
        <v>188</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Manganiello, Mark</cp:lastModifiedBy>
  <cp:lastPrinted>2024-08-29T18:52:02Z</cp:lastPrinted>
  <dcterms:created xsi:type="dcterms:W3CDTF">1997-12-04T19:04:30Z</dcterms:created>
  <dcterms:modified xsi:type="dcterms:W3CDTF">2024-09-06T14:38:00Z</dcterms:modified>
</cp:coreProperties>
</file>