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95ED089A-09C8-4CB9-832E-6C025C9162FC}"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585" i="1" l="1"/>
  <c r="Q40" i="14"/>
  <c r="Q7" i="14"/>
  <c r="Q6" i="14"/>
  <c r="O40" i="14"/>
  <c r="O7" i="14"/>
  <c r="O6" i="14"/>
  <c r="M40" i="14" l="1"/>
  <c r="N6" i="14"/>
  <c r="M7" i="14"/>
  <c r="M6" i="14"/>
  <c r="L7" i="14"/>
  <c r="L6" i="14"/>
  <c r="K7" i="14"/>
  <c r="K6" i="14"/>
  <c r="C37" i="12" l="1"/>
  <c r="C20" i="12"/>
  <c r="F14" i="1" l="1"/>
  <c r="F50" i="1"/>
  <c r="F473" i="1"/>
  <c r="H48" i="1"/>
  <c r="H23" i="1"/>
  <c r="H473" i="1"/>
  <c r="H245" i="1"/>
  <c r="J469" i="1"/>
  <c r="J605" i="1"/>
  <c r="H605" i="1"/>
  <c r="J592" i="1"/>
  <c r="H592" i="1"/>
  <c r="K532" i="1"/>
  <c r="K529" i="1"/>
  <c r="I529" i="1"/>
  <c r="G529" i="1"/>
  <c r="F529" i="1"/>
  <c r="K527" i="1"/>
  <c r="I527" i="1"/>
  <c r="G527" i="1"/>
  <c r="H527" i="1"/>
  <c r="F527" i="1"/>
  <c r="I524" i="1" l="1"/>
  <c r="I522" i="1"/>
  <c r="H524" i="1"/>
  <c r="H522" i="1"/>
  <c r="G524" i="1"/>
  <c r="G522" i="1"/>
  <c r="F499" i="1" l="1"/>
  <c r="H469" i="1" l="1"/>
  <c r="I321" i="1" l="1"/>
  <c r="H321" i="1"/>
  <c r="I320" i="1"/>
  <c r="H320" i="1"/>
  <c r="G320" i="1"/>
  <c r="I283" i="1"/>
  <c r="H283" i="1"/>
  <c r="G283" i="1"/>
  <c r="F283" i="1"/>
  <c r="H278" i="1"/>
  <c r="G278" i="1"/>
  <c r="I208" i="1" l="1"/>
  <c r="I244" i="1"/>
  <c r="G239" i="1"/>
  <c r="H244" i="1"/>
  <c r="J240" i="1"/>
  <c r="I240" i="1"/>
  <c r="H240" i="1"/>
  <c r="G240" i="1"/>
  <c r="F240" i="1"/>
  <c r="K239" i="1"/>
  <c r="I239" i="1"/>
  <c r="H239" i="1"/>
  <c r="F239" i="1"/>
  <c r="I235" i="1"/>
  <c r="H235" i="1"/>
  <c r="G235" i="1"/>
  <c r="H209" i="1"/>
  <c r="H208" i="1"/>
  <c r="H205" i="1"/>
  <c r="J204" i="1"/>
  <c r="I204" i="1"/>
  <c r="H204" i="1"/>
  <c r="G204" i="1"/>
  <c r="F204" i="1"/>
  <c r="K203" i="1"/>
  <c r="I203" i="1"/>
  <c r="H203" i="1"/>
  <c r="G203" i="1"/>
  <c r="F203" i="1"/>
  <c r="I199" i="1"/>
  <c r="H199" i="1"/>
  <c r="G199" i="1"/>
  <c r="G158" i="1" l="1"/>
  <c r="G97" i="1"/>
  <c r="F110" i="1"/>
  <c r="F198" i="1" l="1"/>
  <c r="G40" i="1" l="1"/>
  <c r="F24"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8" i="14"/>
  <c r="F9" i="14"/>
  <c r="F10" i="14"/>
  <c r="F11" i="14"/>
  <c r="F12" i="14"/>
  <c r="F13" i="14"/>
  <c r="F14" i="14"/>
  <c r="F15" i="14"/>
  <c r="F16" i="14"/>
  <c r="F17" i="14"/>
  <c r="F18" i="14"/>
  <c r="F19" i="14"/>
  <c r="F20" i="14"/>
  <c r="F26" i="14"/>
  <c r="F5" i="14"/>
  <c r="F38" i="14" l="1"/>
  <c r="F25"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C125" i="2" s="1"/>
  <c r="H125" i="2" s="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C39" i="12" s="1"/>
  <c r="C40" i="12" s="1"/>
  <c r="B40" i="12"/>
  <c r="B27" i="12"/>
  <c r="C27" i="12"/>
  <c r="B31" i="12"/>
  <c r="C31" i="12"/>
  <c r="B9" i="12"/>
  <c r="B13" i="12"/>
  <c r="C9" i="12"/>
  <c r="C12" i="12" s="1"/>
  <c r="C13" i="12"/>
  <c r="B18" i="12"/>
  <c r="C18" i="12"/>
  <c r="C21" i="12" s="1"/>
  <c r="C22" i="12" s="1"/>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C58" i="2" s="1"/>
  <c r="F111" i="1"/>
  <c r="G111" i="1"/>
  <c r="H79" i="1"/>
  <c r="H94" i="1"/>
  <c r="H111" i="1"/>
  <c r="I111" i="1"/>
  <c r="J111" i="1"/>
  <c r="F121" i="1"/>
  <c r="F136" i="1"/>
  <c r="G121" i="1"/>
  <c r="G136" i="1"/>
  <c r="H121" i="1"/>
  <c r="H136" i="1"/>
  <c r="I121" i="1"/>
  <c r="I136" i="1"/>
  <c r="J121" i="1"/>
  <c r="J136" i="1"/>
  <c r="F147" i="1"/>
  <c r="F170" i="1" s="1"/>
  <c r="G147" i="1"/>
  <c r="D85" i="2" s="1"/>
  <c r="H147" i="1"/>
  <c r="H170" i="1" s="1"/>
  <c r="I147" i="1"/>
  <c r="F85" i="2"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5" i="2"/>
  <c r="F128" i="2"/>
  <c r="G128" i="2"/>
  <c r="C130"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H653" i="1"/>
  <c r="G654" i="1"/>
  <c r="H654" i="1"/>
  <c r="H655" i="1"/>
  <c r="H656" i="1"/>
  <c r="H87" i="2" l="1"/>
  <c r="J112" i="1"/>
  <c r="E124" i="2"/>
  <c r="H135" i="2"/>
  <c r="H140" i="1"/>
  <c r="G62" i="2"/>
  <c r="H80" i="2"/>
  <c r="H93" i="2"/>
  <c r="H34" i="2"/>
  <c r="H26" i="2"/>
  <c r="F409" i="1"/>
  <c r="H644" i="1" s="1"/>
  <c r="J140" i="1"/>
  <c r="J194" i="1" s="1"/>
  <c r="G647" i="1" s="1"/>
  <c r="H477" i="1"/>
  <c r="H625" i="1" s="1"/>
  <c r="E112" i="2"/>
  <c r="E120" i="2"/>
  <c r="C120" i="2"/>
  <c r="I170" i="1"/>
  <c r="G409" i="1"/>
  <c r="H646" i="1" s="1"/>
  <c r="I112" i="1"/>
  <c r="G662" i="1"/>
  <c r="G477" i="1"/>
  <c r="H624" i="1" s="1"/>
  <c r="J624" i="1" s="1"/>
  <c r="J652" i="1"/>
  <c r="D29" i="13"/>
  <c r="C29" i="13" s="1"/>
  <c r="D15" i="13"/>
  <c r="C15" i="13" s="1"/>
  <c r="I409" i="1"/>
  <c r="G646" i="1"/>
  <c r="H79" i="2"/>
  <c r="H13" i="2"/>
  <c r="D18" i="13"/>
  <c r="C18" i="13" s="1"/>
  <c r="H28" i="2"/>
  <c r="D144" i="2"/>
  <c r="H100" i="2"/>
  <c r="H73" i="2"/>
  <c r="H97" i="2"/>
  <c r="H24" i="2"/>
  <c r="H96" i="2"/>
  <c r="H89" i="2"/>
  <c r="H72" i="2"/>
  <c r="H9" i="2"/>
  <c r="E13" i="13"/>
  <c r="C13" i="13" s="1"/>
  <c r="H30" i="2"/>
  <c r="H27" i="2"/>
  <c r="H15" i="2"/>
  <c r="H132" i="2"/>
  <c r="H36" i="2"/>
  <c r="H43" i="2"/>
  <c r="H48" i="2"/>
  <c r="H102" i="2"/>
  <c r="H99" i="2"/>
  <c r="H143" i="2"/>
  <c r="H35" i="2"/>
  <c r="H120" i="2"/>
  <c r="H94" i="2"/>
  <c r="H69" i="2"/>
  <c r="H17" i="2"/>
  <c r="H38" i="2"/>
  <c r="H44" i="2"/>
  <c r="H29" i="2"/>
  <c r="H25" i="2"/>
  <c r="H101" i="2"/>
  <c r="H98" i="2"/>
  <c r="H76" i="2"/>
  <c r="H58" i="2"/>
  <c r="H113" i="2"/>
  <c r="C13" i="10"/>
  <c r="C12" i="10"/>
  <c r="K36" i="14"/>
  <c r="K37" i="14" s="1"/>
  <c r="C119" i="2"/>
  <c r="C112" i="2"/>
  <c r="H112" i="2" s="1"/>
  <c r="H59" i="2"/>
  <c r="H61" i="2"/>
  <c r="C32" i="10"/>
  <c r="K2" i="14"/>
  <c r="K3" i="14" s="1"/>
  <c r="D78" i="2"/>
  <c r="D81" i="2" s="1"/>
  <c r="H77" i="2"/>
  <c r="H47" i="2"/>
  <c r="H11" i="2"/>
  <c r="H22" i="2"/>
  <c r="H23" i="2"/>
  <c r="H12" i="2"/>
  <c r="H8"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F112" i="1"/>
  <c r="L394" i="1"/>
  <c r="C138" i="2" s="1"/>
  <c r="H138" i="2" s="1"/>
  <c r="L363" i="1"/>
  <c r="B17" i="16" s="1"/>
  <c r="B19" i="16" s="1"/>
  <c r="B28" i="16"/>
  <c r="L329" i="1"/>
  <c r="E122" i="2"/>
  <c r="L291" i="1"/>
  <c r="L615" i="1"/>
  <c r="K599" i="1"/>
  <c r="G648" i="1" s="1"/>
  <c r="K572" i="1"/>
  <c r="L571" i="1"/>
  <c r="H572" i="1"/>
  <c r="L566" i="1"/>
  <c r="L572" i="1" s="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E7" i="14" l="1"/>
  <c r="F7" i="14" s="1"/>
  <c r="E6" i="14"/>
  <c r="E51" i="2"/>
  <c r="B33" i="16"/>
  <c r="J646" i="1"/>
  <c r="H123" i="2"/>
  <c r="I663" i="1"/>
  <c r="H122" i="2"/>
  <c r="H103" i="2"/>
  <c r="H78" i="2"/>
  <c r="H16" i="2"/>
  <c r="H57" i="2"/>
  <c r="H134" i="2"/>
  <c r="H42" i="2"/>
  <c r="H21" i="2"/>
  <c r="D128" i="2"/>
  <c r="D145" i="2" s="1"/>
  <c r="H127" i="2"/>
  <c r="H85" i="2"/>
  <c r="H119" i="2"/>
  <c r="H91" i="2"/>
  <c r="H62" i="2"/>
  <c r="I662" i="1"/>
  <c r="C81" i="2"/>
  <c r="H81" i="2" s="1"/>
  <c r="F194" i="1"/>
  <c r="G628" i="1" s="1"/>
  <c r="J628" i="1" s="1"/>
  <c r="H50" i="2"/>
  <c r="D51" i="2"/>
  <c r="H3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E21" i="14" l="1"/>
  <c r="F6" i="14"/>
  <c r="F4" i="14" s="1"/>
  <c r="H4" i="14" s="1"/>
  <c r="I4" i="14" s="1"/>
  <c r="C144" i="2"/>
  <c r="H144" i="2" s="1"/>
  <c r="H141" i="2"/>
  <c r="C104" i="2"/>
  <c r="H104" i="2" s="1"/>
  <c r="H63" i="2"/>
  <c r="H5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657" i="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<sst xmlns="http://schemas.openxmlformats.org/spreadsheetml/2006/main" count="6652" uniqueCount="1841">
  <si>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</si>
  <si>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</si>
  <si>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</si>
  <si>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</si>
  <si>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</si>
  <si>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</si>
  <si>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</si>
  <si>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</si>
  <si>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</si>
  <si>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</si>
  <si>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</si>
  <si>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</si>
  <si>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</si>
  <si>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</si>
  <si>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</si>
  <si>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</si>
  <si>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</si>
  <si>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</si>
  <si>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</si>
  <si>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</si>
  <si>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</si>
  <si>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</si>
  <si>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</si>
  <si>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</si>
  <si>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</si>
  <si>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</si>
  <si>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</si>
  <si>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</si>
  <si>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</si>
  <si>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</si>
  <si>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</si>
  <si>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</si>
  <si>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</si>
  <si>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</si>
  <si>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</si>
  <si>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</si>
  <si>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</si>
  <si>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</si>
  <si>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</si>
  <si>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</si>
  <si>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</si>
  <si>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</si>
  <si>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</si>
  <si>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</si>
  <si>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</si>
  <si>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</si>
  <si>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</si>
  <si>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</si>
  <si>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</si>
  <si>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</si>
  <si>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</si>
  <si>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</si>
  <si>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</si>
  <si>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</si>
  <si>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</si>
  <si>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</si>
  <si>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</si>
  <si>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</si>
  <si>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</si>
  <si>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</si>
  <si>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</si>
  <si>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</si>
  <si>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</si>
  <si>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</si>
  <si>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</si>
  <si>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</si>
  <si>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</si>
  <si>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</si>
  <si>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</si>
  <si>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</si>
  <si>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</si>
  <si>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</si>
  <si>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</si>
  <si>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</si>
  <si>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</si>
  <si>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</si>
  <si>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</si>
  <si>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</si>
  <si>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</si>
  <si>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</si>
  <si>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</si>
  <si>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</si>
  <si>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</si>
  <si>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</si>
  <si>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</si>
  <si>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</si>
  <si>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</si>
  <si>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</si>
  <si>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</si>
  <si>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</si>
  <si>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</si>
  <si>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</si>
  <si>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</si>
  <si>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</si>
  <si>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</si>
  <si>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</si>
  <si>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</si>
  <si>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</si>
  <si>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</si>
  <si>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</si>
  <si>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</si>
  <si>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</si>
  <si>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</si>
  <si>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</si>
  <si>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</si>
  <si>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</si>
  <si>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</si>
  <si>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</si>
  <si>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</si>
  <si>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</si>
  <si>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</si>
  <si>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</si>
  <si>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</si>
  <si>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</si>
  <si>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</si>
  <si>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</si>
  <si>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</si>
  <si>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</si>
  <si>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</si>
  <si>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</si>
  <si>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</si>
  <si>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</si>
  <si>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</si>
  <si>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</si>
  <si>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</si>
  <si>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</si>
  <si>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</si>
  <si>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</si>
  <si>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</si>
  <si>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</si>
  <si>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</si>
  <si>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</si>
  <si>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</si>
  <si>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</si>
  <si>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</si>
  <si>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</si>
  <si>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</si>
  <si>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</si>
  <si>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</si>
  <si>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</si>
  <si>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</si>
  <si>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</si>
  <si>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</si>
  <si>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</si>
  <si>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</si>
  <si>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</si>
  <si>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</si>
  <si>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</si>
  <si>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</si>
  <si>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</si>
  <si>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</si>
  <si>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</si>
  <si>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</si>
  <si>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</si>
  <si>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</si>
  <si>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</si>
  <si>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</si>
  <si>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</si>
  <si>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</si>
  <si>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</si>
  <si>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</si>
  <si>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</si>
  <si>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</si>
  <si>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</si>
  <si>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</si>
  <si>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</si>
  <si>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</si>
  <si>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</si>
  <si>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</si>
  <si>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</si>
  <si>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</si>
  <si>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</si>
  <si>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</si>
  <si>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</si>
  <si>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</si>
  <si>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</si>
  <si>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</si>
  <si>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</si>
  <si>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</si>
  <si>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</si>
  <si>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</si>
  <si>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</si>
  <si>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</si>
  <si>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</si>
  <si>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</si>
  <si>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</si>
  <si>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</si>
  <si>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</si>
  <si>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</si>
  <si>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</si>
  <si>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</si>
  <si>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</si>
  <si>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</si>
  <si>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</si>
  <si>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</si>
  <si>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</si>
  <si>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</si>
  <si>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</si>
  <si>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</si>
  <si>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</si>
  <si>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</si>
  <si>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</si>
  <si>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</si>
  <si>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</si>
  <si>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</si>
  <si>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</si>
  <si>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</si>
  <si>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</si>
  <si>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</si>
  <si>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</si>
  <si>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</si>
  <si>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</si>
  <si>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</si>
  <si>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</si>
  <si>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</si>
  <si>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</si>
  <si>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</si>
  <si>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</si>
  <si>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</si>
  <si>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</si>
  <si>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</si>
  <si>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</si>
  <si>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</si>
  <si>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</si>
  <si>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</si>
  <si>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</si>
  <si>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</si>
  <si>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</si>
  <si>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</si>
  <si>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</si>
  <si>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</si>
  <si>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</si>
  <si>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</si>
  <si>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</si>
  <si>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</si>
  <si>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</si>
  <si>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</si>
  <si>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</si>
  <si>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</si>
  <si>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</si>
  <si>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</si>
  <si>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</si>
  <si>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</si>
  <si>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</si>
  <si>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</si>
  <si>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</si>
  <si>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</si>
  <si>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</si>
  <si>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</si>
  <si>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</si>
  <si>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</si>
  <si>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</si>
  <si>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</si>
  <si>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</si>
  <si>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</si>
  <si>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</si>
  <si>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</si>
  <si>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</si>
  <si>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</si>
  <si>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</si>
  <si>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</si>
  <si>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</si>
  <si>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</si>
  <si>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</si>
  <si>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</si>
  <si>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</si>
  <si>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</si>
  <si>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</si>
  <si>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</si>
  <si>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</si>
  <si>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</si>
  <si>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</si>
  <si>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</si>
  <si>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</si>
  <si>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</si>
  <si>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</si>
  <si>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</si>
  <si>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</si>
  <si>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</si>
  <si>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</si>
  <si>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</si>
  <si>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</si>
  <si>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</si>
  <si>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</si>
  <si>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</si>
  <si>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</si>
  <si>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</si>
  <si>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</si>
  <si>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</si>
  <si>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</si>
  <si>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</si>
  <si>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</si>
  <si>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</si>
  <si>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</si>
  <si>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</si>
  <si>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</si>
  <si>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</si>
  <si>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</si>
  <si>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</si>
  <si>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</si>
  <si>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</si>
  <si>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</si>
  <si>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</si>
  <si>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</si>
  <si>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</si>
  <si>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</si>
  <si>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</si>
  <si>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</si>
  <si>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</si>
  <si>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</si>
  <si>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</si>
  <si>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</si>
  <si>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</si>
  <si>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</si>
  <si>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</si>
  <si>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</si>
  <si>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</si>
  <si>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</si>
  <si>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</si>
  <si>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</si>
  <si>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</si>
  <si>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</si>
  <si>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</si>
  <si>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</si>
  <si>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</si>
  <si>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</si>
  <si>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</si>
  <si>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</si>
  <si>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</si>
  <si>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</si>
  <si>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</si>
  <si>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</si>
  <si>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</si>
  <si>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</si>
  <si>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</si>
  <si>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</si>
  <si>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</si>
  <si>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</si>
  <si>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</si>
  <si>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</si>
  <si>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</si>
  <si>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</si>
  <si>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</si>
  <si>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</si>
  <si>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</si>
  <si>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</si>
  <si>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</si>
  <si>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</si>
  <si>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</si>
  <si>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</si>
  <si>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</si>
  <si>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</si>
  <si>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</si>
  <si>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</si>
  <si>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</si>
  <si>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</si>
  <si>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</si>
  <si>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</si>
  <si>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</si>
  <si>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</si>
  <si>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</si>
  <si>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</si>
  <si>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</si>
  <si>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</si>
  <si>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</si>
  <si>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</si>
  <si>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</si>
  <si>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</si>
  <si>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</si>
  <si>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</si>
  <si>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</si>
  <si>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</si>
  <si>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</si>
  <si>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</si>
  <si>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</si>
  <si>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</si>
  <si>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</si>
  <si>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</si>
  <si>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</si>
  <si>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</si>
  <si>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</si>
  <si>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</si>
  <si>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</si>
  <si>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</si>
  <si>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</si>
  <si>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</si>
  <si>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</si>
  <si>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</si>
  <si>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</si>
  <si>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</si>
  <si>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</si>
  <si>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</si>
  <si>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</si>
  <si>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</si>
  <si>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</si>
  <si>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</si>
  <si>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</si>
  <si>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</si>
  <si>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</si>
  <si>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</si>
  <si>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</si>
  <si>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</si>
  <si>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</si>
  <si>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</si>
  <si>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</si>
  <si>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</si>
  <si>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</si>
  <si>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</si>
  <si>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</si>
  <si>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</si>
  <si>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</si>
  <si>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</si>
  <si>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</si>
  <si>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</si>
  <si>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</si>
  <si>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</si>
  <si>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</si>
  <si>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</si>
  <si>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</si>
  <si>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</si>
  <si>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</si>
  <si>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</si>
  <si>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</si>
  <si>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</si>
  <si>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</si>
  <si>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</si>
  <si>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</si>
  <si>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</si>
  <si>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</si>
  <si>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</si>
  <si>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</si>
  <si>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</si>
  <si>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</si>
  <si>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</si>
  <si>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</si>
  <si>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</si>
  <si>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</si>
  <si>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</si>
  <si>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</si>
  <si>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</si>
  <si>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</si>
  <si>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</si>
  <si>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</si>
  <si>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</si>
  <si>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</si>
  <si>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</si>
  <si>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</si>
  <si>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</si>
  <si>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</si>
  <si>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</si>
  <si>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</si>
  <si>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</si>
  <si>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</si>
  <si>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</si>
  <si>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</si>
  <si>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</si>
  <si>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</si>
  <si>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</si>
  <si>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</si>
  <si>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</si>
  <si>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</si>
  <si>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</si>
  <si>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</si>
  <si>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</si>
  <si>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</si>
  <si>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</si>
  <si>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</si>
  <si>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</si>
  <si>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</si>
  <si>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</si>
  <si>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</si>
  <si>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</si>
  <si>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</si>
  <si>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</si>
  <si>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</si>
  <si>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</si>
  <si>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</si>
  <si>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</si>
  <si>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</si>
  <si>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</si>
  <si>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</si>
  <si>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</si>
  <si>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</si>
  <si>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</si>
  <si>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</si>
  <si>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</si>
  <si>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</si>
  <si>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</si>
  <si>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</si>
  <si>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</si>
  <si>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</si>
  <si>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</si>
  <si>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</si>
  <si>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</si>
  <si>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</si>
  <si>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</si>
  <si>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</si>
  <si>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</si>
  <si>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</si>
  <si>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</si>
  <si>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</si>
  <si>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</si>
  <si>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</si>
  <si>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</si>
  <si>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</si>
  <si>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</si>
  <si>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</si>
  <si>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</si>
  <si>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</si>
  <si>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</si>
  <si>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</si>
  <si>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</si>
  <si>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</si>
  <si>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</si>
  <si>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</si>
  <si>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</si>
  <si>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</si>
  <si>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</si>
  <si>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</si>
  <si>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</si>
  <si>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</si>
  <si>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</si>
  <si>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</si>
  <si>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</si>
  <si>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</si>
  <si>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</si>
  <si>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</si>
  <si>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</si>
  <si>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</si>
  <si>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</si>
  <si>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</si>
  <si>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</si>
  <si>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</si>
  <si>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</si>
  <si>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</si>
  <si>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</si>
  <si>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</si>
  <si>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</si>
  <si>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</si>
  <si>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</si>
  <si>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</si>
  <si>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</si>
  <si>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</si>
  <si>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</si>
  <si>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</si>
  <si>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</si>
  <si>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</si>
  <si>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</si>
  <si>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</si>
  <si>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</si>
  <si>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</si>
  <si>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</si>
  <si>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</si>
  <si>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</si>
  <si>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</si>
  <si>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</si>
  <si>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</si>
  <si>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</si>
  <si>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</si>
  <si>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</si>
  <si>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</si>
  <si>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</si>
  <si>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</si>
  <si>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</si>
  <si>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</si>
  <si>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</si>
  <si>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</si>
  <si>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</si>
  <si>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</si>
  <si>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</si>
  <si>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</si>
  <si>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</si>
  <si>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</si>
  <si>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</si>
  <si>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</si>
  <si>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</si>
  <si>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</si>
  <si>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</si>
  <si>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</si>
  <si>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</si>
  <si>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</si>
  <si>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</si>
  <si>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</si>
  <si>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</si>
  <si>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</si>
  <si>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</si>
  <si>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</si>
  <si>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</si>
  <si>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</si>
  <si>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</si>
  <si>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</si>
  <si>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</si>
  <si>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</si>
  <si>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</si>
  <si>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</si>
  <si>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</si>
  <si>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</si>
  <si>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</si>
  <si>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</si>
  <si>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</si>
  <si>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</si>
  <si>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</si>
  <si>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</si>
  <si>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</si>
  <si>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</si>
  <si>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</si>
  <si>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</si>
  <si>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</si>
  <si>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</si>
  <si>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</si>
  <si>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</si>
  <si>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</si>
  <si>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</si>
  <si>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</si>
  <si>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</si>
  <si>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</si>
  <si>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</si>
  <si>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</si>
  <si>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</si>
  <si>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</si>
  <si>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</si>
  <si>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</si>
  <si>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</si>
  <si>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</si>
  <si>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</si>
  <si>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</si>
  <si>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</si>
  <si>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</si>
  <si>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</si>
  <si>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</si>
  <si>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</si>
  <si>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</si>
  <si>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</si>
  <si>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</si>
  <si>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</si>
  <si>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</si>
  <si>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</si>
  <si>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</si>
  <si>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</si>
  <si>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</si>
  <si>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</si>
  <si>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</si>
  <si>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</si>
  <si>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</si>
  <si>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</si>
  <si>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</si>
  <si>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</si>
  <si>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</si>
  <si>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</si>
  <si>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</si>
  <si>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</si>
  <si>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</si>
  <si>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</si>
  <si>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</si>
  <si>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</si>
  <si>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</si>
  <si>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</si>
  <si>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</si>
  <si>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</si>
  <si>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</si>
  <si>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</si>
  <si>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</si>
  <si>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</si>
  <si>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</si>
  <si>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</si>
  <si>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</si>
  <si>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</si>
  <si>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</si>
  <si>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</si>
  <si>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</si>
  <si>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</si>
  <si>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</si>
  <si>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</si>
  <si>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</si>
  <si>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</si>
  <si>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</si>
  <si>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</si>
  <si>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</si>
  <si>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</si>
  <si>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</si>
  <si>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</si>
  <si>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</si>
  <si>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</si>
  <si>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</si>
  <si>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</si>
  <si>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</si>
  <si>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</si>
  <si>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</si>
  <si>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</si>
  <si>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</si>
  <si>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</si>
  <si>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</si>
  <si>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</si>
  <si>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</si>
  <si>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</si>
  <si>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</si>
  <si>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</si>
  <si>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</si>
  <si>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</si>
  <si>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</si>
  <si>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</si>
  <si>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</si>
  <si>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</si>
  <si>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</si>
  <si>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</si>
  <si>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</si>
  <si>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</si>
  <si>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</si>
  <si>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</si>
  <si>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</si>
  <si>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</si>
  <si>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</si>
  <si>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</si>
  <si>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</si>
  <si>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</si>
  <si>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</si>
  <si>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</si>
  <si>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</si>
  <si>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</si>
  <si>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</si>
  <si>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</si>
  <si>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</si>
  <si>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</si>
  <si>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</si>
  <si>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</si>
  <si>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</si>
  <si>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</si>
  <si>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</si>
  <si>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</si>
  <si>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</si>
  <si>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</si>
  <si>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</si>
  <si>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</si>
  <si>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</si>
  <si>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</si>
  <si>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</si>
  <si>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</si>
  <si>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</si>
  <si>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</si>
  <si>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</si>
  <si>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</si>
  <si>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</si>
  <si>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</si>
  <si>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</si>
  <si>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</si>
  <si>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</si>
  <si>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</si>
  <si>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</si>
  <si>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</si>
  <si>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</si>
  <si>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</si>
  <si>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</si>
  <si>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</si>
  <si>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</si>
  <si>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</si>
  <si>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</si>
  <si>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</si>
  <si>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</si>
  <si>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</si>
  <si>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</si>
  <si>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</si>
  <si>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</si>
  <si>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</si>
  <si>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</si>
  <si>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</si>
  <si>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</si>
  <si>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</si>
  <si>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</si>
  <si>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</si>
  <si>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</si>
  <si>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</si>
  <si>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</si>
  <si>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</si>
  <si>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</si>
  <si>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</si>
  <si>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</si>
  <si>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</si>
  <si>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</si>
  <si>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</si>
  <si>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</si>
  <si>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</si>
  <si>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</si>
  <si>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</si>
  <si>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</si>
  <si>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</si>
  <si>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</si>
  <si>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</si>
  <si>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</si>
  <si>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</si>
  <si>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</si>
  <si>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</si>
  <si>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</si>
  <si>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</si>
  <si>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</si>
  <si>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</si>
  <si>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</si>
  <si>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</si>
  <si>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</si>
  <si>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</si>
  <si>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</si>
  <si>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</si>
  <si>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</si>
  <si>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</si>
  <si>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</si>
  <si>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</si>
  <si>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</si>
  <si>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</si>
  <si>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</si>
  <si>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</si>
  <si>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</si>
  <si>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</si>
  <si>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</si>
  <si>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</si>
  <si>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</si>
  <si>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</si>
  <si>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</si>
  <si>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</si>
  <si>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</si>
  <si>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</si>
  <si>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</si>
  <si>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</si>
  <si>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</si>
  <si>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</si>
  <si>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</si>
  <si>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</si>
  <si>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</si>
  <si>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</si>
  <si>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</si>
  <si>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</si>
  <si>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</si>
  <si>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</si>
  <si>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</si>
  <si>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</si>
  <si>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</si>
  <si>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</si>
  <si>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</si>
  <si>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</si>
  <si>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</si>
  <si>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</si>
  <si>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</si>
  <si>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</si>
  <si>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</si>
  <si>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</si>
  <si>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</si>
  <si>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</si>
  <si>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</si>
  <si>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</si>
  <si>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</si>
  <si>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</si>
  <si>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</si>
  <si>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</si>
  <si>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</si>
  <si>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</si>
  <si>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</si>
  <si>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</si>
  <si>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</si>
  <si>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</si>
  <si>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</si>
  <si>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</si>
  <si>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</si>
  <si>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</si>
  <si>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</si>
  <si>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</si>
  <si>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</si>
  <si>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</si>
  <si>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</si>
  <si>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</si>
  <si>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</si>
  <si>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</si>
  <si>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</si>
  <si>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</si>
  <si>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</si>
  <si>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</si>
  <si>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</si>
  <si>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</si>
  <si>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</si>
  <si>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</si>
  <si>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</si>
  <si>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</si>
  <si>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</si>
  <si>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</si>
  <si>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</si>
  <si>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</si>
  <si>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</si>
  <si>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</si>
  <si>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</si>
  <si>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</si>
  <si>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</si>
  <si>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</si>
  <si>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</si>
  <si>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</si>
  <si>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</si>
  <si>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</si>
  <si>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</si>
  <si>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</si>
  <si>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</si>
  <si>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</si>
  <si>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</si>
  <si>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</si>
  <si>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</si>
  <si>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</si>
  <si>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</si>
  <si>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</si>
  <si>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</si>
  <si>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</si>
  <si>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</si>
  <si>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</si>
  <si>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</si>
  <si>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</si>
  <si>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</si>
  <si>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</si>
  <si>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</si>
  <si>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</si>
  <si>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</si>
  <si>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</si>
  <si>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</si>
  <si>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</si>
  <si>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</si>
  <si>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</si>
  <si>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</si>
  <si>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</si>
  <si>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</si>
  <si>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</si>
  <si>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</si>
  <si>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</si>
  <si>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</si>
  <si>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</si>
  <si>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</si>
  <si>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</si>
  <si>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</si>
  <si>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</si>
  <si>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</si>
  <si>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</si>
  <si>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</si>
  <si>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</si>
  <si>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</si>
  <si>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</si>
  <si>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</si>
  <si>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</si>
  <si>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</si>
  <si>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</si>
  <si>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</si>
  <si>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</si>
  <si>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</si>
  <si>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</si>
  <si>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</si>
  <si>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</si>
  <si>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</si>
  <si>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</si>
  <si>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</si>
  <si>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</si>
  <si>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</si>
  <si>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</si>
  <si>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</si>
  <si>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</si>
  <si>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</si>
  <si>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</si>
  <si>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</si>
  <si>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</si>
  <si>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</si>
  <si>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</si>
  <si>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</si>
  <si>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</si>
  <si>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</si>
  <si>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</si>
  <si>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</si>
  <si>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</si>
  <si>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</si>
  <si>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</si>
  <si>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</si>
  <si>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</si>
  <si>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</si>
  <si>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</si>
  <si>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</si>
  <si>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</si>
  <si>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</si>
  <si>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</si>
  <si>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</si>
  <si>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</si>
  <si>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</si>
  <si>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</si>
  <si>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</si>
  <si>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</si>
  <si>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</si>
  <si>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</si>
  <si>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</si>
  <si>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</si>
  <si>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</si>
  <si>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</si>
  <si>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</si>
  <si>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</si>
  <si>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</si>
  <si>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</si>
  <si>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</si>
  <si>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</si>
  <si>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</si>
  <si>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</si>
  <si>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</si>
  <si>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</si>
  <si>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</si>
  <si>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</si>
  <si>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</si>
  <si>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</si>
  <si>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</si>
  <si>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</si>
  <si>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</si>
  <si>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</si>
  <si>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</si>
  <si>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</si>
  <si>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</si>
  <si>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</si>
  <si>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</si>
  <si>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</si>
  <si>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</si>
  <si>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</si>
  <si>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</si>
  <si>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</si>
  <si>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</si>
  <si>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</si>
  <si>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</si>
  <si>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</si>
  <si>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</si>
  <si>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</si>
  <si>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</si>
  <si>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</si>
  <si>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</si>
  <si>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</si>
  <si>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</si>
  <si>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</si>
  <si>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</si>
  <si>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</si>
  <si>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</si>
  <si>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</si>
  <si>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</si>
  <si>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</si>
  <si>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</si>
  <si>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</si>
  <si>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</si>
  <si>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</si>
  <si>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</si>
  <si>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</si>
  <si>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</si>
  <si>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</si>
  <si>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</si>
  <si>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</si>
  <si>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</si>
  <si>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</si>
  <si>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</si>
  <si>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</si>
  <si>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</si>
  <si>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</si>
  <si>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</si>
  <si>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</si>
  <si>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</si>
  <si>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</si>
  <si>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</si>
  <si>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</si>
  <si>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</si>
  <si>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</si>
  <si>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</si>
  <si>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</si>
  <si>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</si>
  <si>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</si>
  <si>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</si>
  <si>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</si>
  <si>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</si>
  <si>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</si>
  <si>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</si>
  <si>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</si>
  <si>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</si>
  <si>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</si>
  <si>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</si>
  <si>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</si>
  <si>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</si>
  <si>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</si>
  <si>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</si>
  <si>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</si>
  <si>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</si>
  <si>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</si>
  <si>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</si>
  <si>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</si>
  <si>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</si>
  <si>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</si>
  <si>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</si>
  <si>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</si>
  <si>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</si>
  <si>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</si>
  <si>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</si>
  <si>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</si>
  <si>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</si>
  <si>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</si>
  <si>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</si>
  <si>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</si>
  <si>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</si>
  <si>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</si>
  <si>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</si>
  <si>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</si>
  <si>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</si>
  <si>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</si>
  <si>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</si>
  <si>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</si>
  <si>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</si>
  <si>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</si>
  <si>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</si>
  <si>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</si>
  <si>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</si>
  <si>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</si>
  <si>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</si>
  <si>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</si>
  <si>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</si>
  <si>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</si>
  <si>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</si>
  <si>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</si>
  <si>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</si>
  <si>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</si>
  <si>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</si>
  <si>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</si>
  <si>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</si>
  <si>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</si>
  <si>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</si>
  <si>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</si>
  <si>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</si>
  <si>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</si>
  <si>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</si>
  <si>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</si>
  <si>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</si>
  <si>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</si>
  <si>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</si>
  <si>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</si>
  <si>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</si>
  <si>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</si>
  <si>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</si>
  <si>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</si>
  <si>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</si>
  <si>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</si>
  <si>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</si>
  <si>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</si>
  <si>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</si>
  <si>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</si>
  <si>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</si>
  <si>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</si>
  <si>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</si>
  <si>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</si>
  <si>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</si>
  <si>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</si>
  <si>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</si>
  <si>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</si>
  <si>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</si>
  <si>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</si>
  <si>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</si>
  <si>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</si>
  <si>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</si>
  <si>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</si>
  <si>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</si>
  <si>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</si>
  <si>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</si>
  <si>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</si>
  <si>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</si>
  <si>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</si>
  <si>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</si>
  <si>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</si>
  <si>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</si>
  <si>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</si>
  <si>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</si>
  <si>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</si>
  <si>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</si>
  <si>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</si>
  <si>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</si>
  <si>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</si>
  <si>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</si>
  <si>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</si>
  <si>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</si>
  <si>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</si>
  <si>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</si>
  <si>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</si>
  <si>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</si>
  <si>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</si>
  <si>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</si>
  <si>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</si>
  <si>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</si>
  <si>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</si>
  <si>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</si>
  <si>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</si>
  <si>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</si>
  <si>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</si>
  <si>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</si>
  <si>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</si>
  <si>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</si>
  <si>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</si>
  <si>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</si>
  <si>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</si>
  <si>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</si>
  <si>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</si>
  <si>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</si>
  <si>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</si>
  <si>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</si>
  <si>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</si>
  <si>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</si>
  <si>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</si>
  <si>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</si>
  <si>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</si>
  <si>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</si>
  <si>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</si>
  <si>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</si>
  <si>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</si>
  <si>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</si>
  <si>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</si>
  <si>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</si>
  <si>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</si>
  <si>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</si>
  <si>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</si>
  <si>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</si>
  <si>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</si>
  <si>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</si>
  <si>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</si>
  <si>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</si>
  <si>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</si>
  <si>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</si>
  <si>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</si>
  <si>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</si>
  <si>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</si>
  <si>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</si>
  <si>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</si>
  <si>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</si>
  <si>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</si>
  <si>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</si>
  <si>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</si>
  <si>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</si>
  <si>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</si>
  <si>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</si>
  <si>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</si>
  <si>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</si>
  <si>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</si>
  <si>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</si>
  <si>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</si>
  <si>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</si>
  <si>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</si>
  <si>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</si>
  <si>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</si>
  <si>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</si>
  <si>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</si>
  <si>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</si>
  <si>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</si>
  <si>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</si>
  <si>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</si>
  <si>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</si>
  <si>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</si>
  <si>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</si>
  <si>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</si>
  <si>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</si>
  <si>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</si>
  <si>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</si>
  <si>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</si>
  <si>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</si>
  <si>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</si>
  <si>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</si>
  <si>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</si>
  <si>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</si>
  <si>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</si>
  <si>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</si>
  <si>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</si>
  <si>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</si>
  <si>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</si>
  <si>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</si>
  <si>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</si>
  <si>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</si>
  <si>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</si>
  <si>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</si>
  <si>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</si>
  <si>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</si>
  <si>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</si>
  <si>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</si>
  <si>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</si>
  <si>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</si>
  <si>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</si>
  <si>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</si>
  <si>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</si>
  <si>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</si>
  <si>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</si>
  <si>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</si>
  <si>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</si>
  <si>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</si>
  <si>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</si>
  <si>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</si>
  <si>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</si>
  <si>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</si>
  <si>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</si>
  <si>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</si>
  <si>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</si>
  <si>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</si>
  <si>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</si>
  <si>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</si>
  <si>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</si>
  <si>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</si>
  <si>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</si>
  <si>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</si>
  <si>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</si>
  <si>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</si>
  <si>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</si>
  <si>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</si>
  <si>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</si>
  <si>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</si>
  <si>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</si>
  <si>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</si>
  <si>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</si>
  <si>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</si>
  <si>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</si>
  <si>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</si>
  <si>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</si>
  <si>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</si>
  <si>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</si>
  <si>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</si>
  <si>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</si>
  <si>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</si>
  <si>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</si>
  <si>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</si>
  <si>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</si>
  <si>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</si>
  <si>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</si>
  <si>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</si>
  <si>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</si>
  <si>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</si>
  <si>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</si>
  <si>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</si>
  <si>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</si>
  <si>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</si>
  <si>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</si>
  <si>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</si>
  <si>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</si>
  <si>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</si>
  <si>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</si>
  <si>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</si>
  <si>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</si>
  <si>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</si>
  <si>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</si>
  <si>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</si>
  <si>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</si>
  <si>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</si>
  <si>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</si>
  <si>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</si>
  <si>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</si>
  <si>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</si>
  <si>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</si>
  <si>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</si>
  <si>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</si>
  <si>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</si>
  <si>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</si>
  <si>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</si>
  <si>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</si>
  <si>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</si>
  <si>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</si>
  <si>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</si>
  <si>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</si>
  <si>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</si>
  <si>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</si>
  <si>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</si>
  <si>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</si>
  <si>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</si>
  <si>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</si>
  <si>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</si>
  <si>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</si>
  <si>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</si>
  <si>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</si>
  <si>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</si>
  <si>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</si>
  <si>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</si>
  <si>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</si>
  <si>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</si>
  <si>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</si>
  <si>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</si>
  <si>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</si>
  <si>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</si>
  <si>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</si>
  <si>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</si>
  <si>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</si>
  <si>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</si>
  <si>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</si>
  <si>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</si>
  <si>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</si>
  <si>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</si>
  <si>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</si>
  <si>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</si>
  <si>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</si>
  <si>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</si>
  <si>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</si>
  <si>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</si>
  <si>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</si>
  <si>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</si>
  <si>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</si>
  <si>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</si>
  <si>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</si>
  <si>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</si>
  <si>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</si>
  <si>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</si>
  <si>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</si>
  <si>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</si>
  <si>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</si>
  <si>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</si>
  <si>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</si>
  <si>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</si>
  <si>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</si>
  <si>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</si>
  <si>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</si>
  <si>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</si>
  <si>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</si>
  <si>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</si>
  <si>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</si>
  <si>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</si>
  <si>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</si>
  <si>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</si>
  <si>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</si>
  <si>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</si>
  <si>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</si>
  <si>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</si>
  <si>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</si>
  <si>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</si>
  <si>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</si>
  <si>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</si>
  <si>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</si>
  <si>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</si>
  <si>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</si>
  <si>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</si>
  <si>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</si>
  <si>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</si>
  <si>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</si>
  <si>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</si>
  <si>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</si>
  <si>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</si>
  <si>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</si>
  <si>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</si>
  <si>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</si>
  <si>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</si>
  <si>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</si>
  <si>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</si>
  <si>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</si>
  <si>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</si>
  <si>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</si>
  <si>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</si>
  <si>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</si>
  <si>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</si>
  <si>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</si>
  <si>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</si>
  <si>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</si>
  <si>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</si>
  <si>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</si>
  <si>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</si>
  <si>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</si>
  <si>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</si>
  <si>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</si>
  <si>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</si>
  <si>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</si>
  <si>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</si>
  <si>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</si>
  <si>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</si>
  <si>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</si>
  <si>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</si>
  <si>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</si>
  <si>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</si>
  <si>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</si>
  <si>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</si>
  <si>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</si>
  <si>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</si>
  <si>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</si>
  <si>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</si>
  <si>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</si>
  <si>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</si>
  <si>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</si>
  <si>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</si>
  <si>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</si>
  <si>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</si>
  <si>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</si>
  <si>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</si>
  <si>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</si>
  <si>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</si>
  <si>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</si>
  <si>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</si>
  <si>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</si>
  <si>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</si>
  <si>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</si>
  <si>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</si>
  <si>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</si>
  <si>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</si>
  <si>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</si>
  <si>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</si>
  <si>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</si>
  <si>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</si>
  <si>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</si>
  <si>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</si>
  <si>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</si>
  <si>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</si>
  <si>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</si>
  <si>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</si>
  <si>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</si>
  <si>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</si>
  <si>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</si>
  <si>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</si>
  <si>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</si>
  <si>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</si>
  <si>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</si>
  <si>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</si>
  <si>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</si>
  <si>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</si>
  <si>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</si>
  <si>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</si>
  <si>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</si>
  <si>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</si>
  <si>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</si>
  <si>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</si>
  <si>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</si>
  <si>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</si>
  <si>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</si>
  <si>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</si>
  <si>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</si>
  <si>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</si>
  <si>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</si>
  <si>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</si>
  <si>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</si>
  <si>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</si>
  <si>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</si>
  <si>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</si>
  <si>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</si>
  <si>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</si>
  <si>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</si>
  <si>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</si>
  <si>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</si>
  <si>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</si>
  <si>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</si>
  <si>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</si>
  <si>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</si>
  <si>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</si>
  <si>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</si>
  <si>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</si>
  <si>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</si>
  <si>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</si>
  <si>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</si>
  <si>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</si>
  <si>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</si>
  <si>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</si>
  <si>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</si>
  <si>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</si>
  <si>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</si>
  <si>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</si>
  <si>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</si>
  <si>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</si>
  <si>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</si>
  <si>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</si>
  <si>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</si>
  <si>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</si>
  <si>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</si>
  <si>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</si>
  <si>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</si>
  <si>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</si>
  <si>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</si>
  <si>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</si>
  <si>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</si>
  <si>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</si>
  <si>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</si>
  <si>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</si>
  <si>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</si>
  <si>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</si>
  <si>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</si>
  <si>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</si>
  <si>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</si>
  <si>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</si>
  <si>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</si>
  <si>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</si>
  <si>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</si>
  <si>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</si>
  <si>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</si>
  <si>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</si>
  <si>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</si>
  <si>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</si>
  <si>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</si>
  <si>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</si>
  <si>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</si>
  <si>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</si>
  <si>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</si>
  <si>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</si>
  <si>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</si>
  <si>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</si>
  <si>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</si>
  <si>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</si>
  <si>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</si>
  <si>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</si>
  <si>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</si>
  <si>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</si>
  <si>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</si>
  <si>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</si>
  <si>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</si>
  <si>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</si>
  <si>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</si>
  <si>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</si>
  <si>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</si>
  <si>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</si>
  <si>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</si>
  <si>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</si>
  <si>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</si>
  <si>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</si>
  <si>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</si>
  <si>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</si>
  <si>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</si>
  <si>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</si>
  <si>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</si>
  <si>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</si>
  <si>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</si>
  <si>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</si>
  <si>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</si>
  <si>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</si>
  <si>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</si>
  <si>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</si>
  <si>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</si>
  <si>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</si>
  <si>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</si>
  <si>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</si>
  <si>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</si>
  <si>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</si>
  <si>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</si>
  <si>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</si>
  <si>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</si>
  <si>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</si>
  <si>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</si>
  <si>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</si>
  <si>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</si>
  <si>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</si>
  <si>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</si>
  <si>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</si>
  <si>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</si>
  <si>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</si>
  <si>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</si>
  <si>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</si>
  <si>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</si>
  <si>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</si>
  <si>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</si>
  <si>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</si>
  <si>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</si>
  <si>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</si>
  <si>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</si>
  <si>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</si>
  <si>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</si>
  <si>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</si>
  <si>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</si>
  <si>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</si>
  <si>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</si>
  <si>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</si>
  <si>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</si>
  <si>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</si>
  <si>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</si>
  <si>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</si>
  <si>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</si>
  <si>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</si>
  <si>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</si>
  <si>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</si>
  <si>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</si>
  <si>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</si>
  <si>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</si>
  <si>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</si>
  <si>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</si>
  <si>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</si>
  <si>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</si>
  <si>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</si>
  <si>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</si>
  <si>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</si>
  <si>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</si>
  <si>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</si>
  <si>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</si>
  <si>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</si>
  <si>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</si>
  <si>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</si>
  <si>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</si>
  <si>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</si>
  <si>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</si>
  <si>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</si>
  <si>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</si>
  <si>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</si>
  <si>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</si>
  <si>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</si>
  <si>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</si>
  <si>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</si>
  <si>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</si>
  <si>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</si>
  <si>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</si>
  <si>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</si>
  <si>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</si>
  <si>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</si>
  <si>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</si>
  <si>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</si>
  <si>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</si>
  <si>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</si>
  <si>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</si>
  <si>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</si>
  <si>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</si>
  <si>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</si>
  <si>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</si>
  <si>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</si>
  <si>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</si>
  <si>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</si>
  <si>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</si>
  <si>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</si>
  <si>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</si>
  <si>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</si>
  <si>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</si>
  <si>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</si>
  <si>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</si>
  <si>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</si>
  <si>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</si>
  <si>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</si>
  <si>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</si>
  <si>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</si>
  <si>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</si>
  <si>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</si>
  <si>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</si>
  <si>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</si>
  <si>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</si>
  <si>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</si>
  <si>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</si>
  <si>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</si>
  <si>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</si>
  <si>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</si>
  <si>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</si>
  <si>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</si>
  <si>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</si>
  <si>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</si>
  <si>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</si>
  <si>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</si>
  <si>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</si>
  <si>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</si>
  <si>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</si>
  <si>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</si>
  <si>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</si>
  <si>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</si>
  <si>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</si>
  <si>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</si>
  <si>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</si>
  <si>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</si>
  <si>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</si>
  <si>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</si>
  <si>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</si>
  <si>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</si>
  <si>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</si>
  <si>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</si>
  <si>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</si>
  <si>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</si>
  <si>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</si>
  <si>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</si>
  <si>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</si>
  <si>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</si>
  <si>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</si>
  <si>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</si>
  <si>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</si>
  <si>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</si>
  <si>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</si>
  <si>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</si>
  <si>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</si>
  <si>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</si>
  <si>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</si>
  <si>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</si>
  <si>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</si>
  <si>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</si>
  <si>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</si>
  <si>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</si>
  <si>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</si>
  <si>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</si>
  <si>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</si>
  <si>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</si>
  <si>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</si>
  <si>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</si>
  <si>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</si>
  <si>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</si>
  <si>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</si>
  <si>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</si>
  <si>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</si>
  <si>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</si>
  <si>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</si>
  <si>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</si>
  <si>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</si>
  <si>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</si>
  <si>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</si>
  <si>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</si>
  <si>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</si>
  <si>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</si>
  <si>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</si>
  <si>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</si>
  <si>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</si>
  <si>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</si>
  <si>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</si>
  <si>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</si>
  <si>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</si>
  <si>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</si>
  <si>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</si>
  <si>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</si>
  <si>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</si>
  <si>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</si>
  <si>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</si>
  <si>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</si>
  <si>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</si>
  <si>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</si>
  <si>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</si>
  <si>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</si>
  <si>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</si>
  <si>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</si>
  <si>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</si>
  <si>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</si>
  <si>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</si>
  <si>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</si>
  <si>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</si>
  <si>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</si>
  <si>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</si>
  <si>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</si>
  <si>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</si>
  <si>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</si>
  <si>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</si>
  <si>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</si>
  <si>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</si>
  <si>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</si>
  <si>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</si>
  <si>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</si>
  <si>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</si>
  <si>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</si>
  <si>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</si>
  <si>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</si>
  <si>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</si>
  <si>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</si>
  <si>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</si>
  <si>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</si>
  <si>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</si>
  <si>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</si>
  <si>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</si>
  <si>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</si>
  <si>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</si>
  <si>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</si>
  <si>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</si>
  <si>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</si>
  <si>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</si>
  <si>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</si>
  <si>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</si>
  <si>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</si>
  <si>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</si>
  <si>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</si>
  <si>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</si>
  <si>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</si>
  <si>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Restatement of Accrued Health &amp; Dental Liability July 1,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</si>
</sst>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4"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1302</v>
      </c>
      <c r="B2">
        <f>INDEX('School Tables'!$AH$3:$AH$213,MATCH('DOE25'!A2,'School Tables'!$AJ$3:$AJ$213,0))</f>
        <v>399</v>
      </c>
      <c r="C2">
        <f>INDEX('School Tables'!$AI$3:$AI$213,MATCH('DOE25'!A2,'School Tables'!$AJ$3:$AJ$213,0))</f>
        <v>399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1884252.69</v>
      </c>
      <c r="G9" s="18">
        <v>167450.26999999999</v>
      </c>
      <c r="H9" s="18">
        <v>17677.21</v>
      </c>
      <c r="I9" s="18">
        <v>215641.29</v>
      </c>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-4117.57</v>
      </c>
      <c r="G12" s="18"/>
      <c r="H12" s="18"/>
      <c r="I12" s="18"/>
      <c r="J12" s="13">
        <f>SUM(I442)</f>
        <v>1734610.25</v>
      </c>
      <c r="K12" s="23" t="s">
        <v>288</v>
      </c>
      <c r="L12" s="23" t="s">
        <v>288</v>
      </c>
      <c r="M12" s="8"/>
      <c r="N12" s="164"/>
    </row>
    <row r="13" spans="1:14" s="3" customFormat="1" ht="12.2" customHeight="1" x14ac:dyDescent="0.15">
      <c r="A13" s="1" t="s">
        <v>604</v>
      </c>
      <c r="B13" s="2" t="s">
        <v>289</v>
      </c>
      <c r="C13" s="6">
        <v>5</v>
      </c>
      <c r="D13" s="2" t="s">
        <v>428</v>
      </c>
      <c r="E13" s="6">
        <v>140</v>
      </c>
      <c r="F13" s="18">
        <v>20183.16</v>
      </c>
      <c r="G13" s="18">
        <v>6290.65</v>
      </c>
      <c r="H13" s="18">
        <v>193341.01</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f>1208.06+7320</f>
        <v>8528.06</v>
      </c>
      <c r="G14" s="18">
        <v>14425.68</v>
      </c>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8240.69</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1908846.3399999999</v>
      </c>
      <c r="G19" s="38">
        <f>SUM(G9:G18)</f>
        <v>196407.28999999998</v>
      </c>
      <c r="H19" s="38">
        <f>SUM(H9:H18)</f>
        <v>211018.22</v>
      </c>
      <c r="I19" s="38">
        <f>SUM(I9:I18)</f>
        <v>215641.29</v>
      </c>
      <c r="J19" s="38">
        <f>SUM(J9:J18)</f>
        <v>1734610.25</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119541.45</v>
      </c>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v>7807.34</v>
      </c>
      <c r="H23" s="18">
        <f>12330.99+181010.02</f>
        <v>193341.00999999998</v>
      </c>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f>420.9+378684.61+17845.56-6.98+29314.01</f>
        <v>426258.10000000003</v>
      </c>
      <c r="G24" s="18">
        <v>12452.7</v>
      </c>
      <c r="H24" s="18">
        <v>750</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v>22635</v>
      </c>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545799.55000000005</v>
      </c>
      <c r="G32" s="38">
        <f>SUM(G22:G31)</f>
        <v>42895.040000000001</v>
      </c>
      <c r="H32" s="38">
        <f>SUM(H22:H31)</f>
        <v>194091.00999999998</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v>8240.24</v>
      </c>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f>112567.76+32705-0.75</f>
        <v>145272.01</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125000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767157</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f>17677.21-750</f>
        <v>16927.21</v>
      </c>
      <c r="I48" s="18">
        <v>215641.29</v>
      </c>
      <c r="J48" s="13">
        <f>SUM(I460)</f>
        <v>1734610.25</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f>887368.26-416480+1.53</f>
        <v>470889.79000000004</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1363046.79</v>
      </c>
      <c r="G51" s="38">
        <f>SUM(G35:G50)</f>
        <v>153512.25</v>
      </c>
      <c r="H51" s="38">
        <f>SUM(H35:H50)</f>
        <v>16927.21</v>
      </c>
      <c r="I51" s="38">
        <f>SUM(I35:I50)</f>
        <v>215641.29</v>
      </c>
      <c r="J51" s="38">
        <f>SUM(J35:J50)</f>
        <v>1734610.25</v>
      </c>
      <c r="K51" s="42" t="s">
        <v>288</v>
      </c>
      <c r="L51" s="42" t="s">
        <v>288</v>
      </c>
      <c r="N51" s="130"/>
    </row>
    <row r="52" spans="1:14" s="3" customFormat="1" ht="12.2" customHeight="1" thickTop="1" x14ac:dyDescent="0.15">
      <c r="A52" s="35" t="s">
        <v>455</v>
      </c>
      <c r="B52" s="36" t="s">
        <v>289</v>
      </c>
      <c r="C52" s="6">
        <v>37</v>
      </c>
      <c r="D52" s="36" t="s">
        <v>653</v>
      </c>
      <c r="E52" s="36"/>
      <c r="F52" s="38">
        <f>F51+F32</f>
        <v>1908846.34</v>
      </c>
      <c r="G52" s="38">
        <f>G51+G32</f>
        <v>196407.29</v>
      </c>
      <c r="H52" s="38">
        <f>H51+H32</f>
        <v>211018.21999999997</v>
      </c>
      <c r="I52" s="38">
        <f>I51+I32</f>
        <v>215641.29</v>
      </c>
      <c r="J52" s="38">
        <f>J51+J32</f>
        <v>1734610.25</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19945288.010000002</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19945288.010000002</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37514</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23906.74</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61420.740000000005</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120427.44</v>
      </c>
      <c r="G96" s="18"/>
      <c r="H96" s="18"/>
      <c r="I96" s="18">
        <v>5621.92</v>
      </c>
      <c r="J96" s="18">
        <v>17600.509999999998</v>
      </c>
      <c r="K96" s="23" t="s">
        <v>288</v>
      </c>
      <c r="L96" s="23" t="s">
        <v>288</v>
      </c>
      <c r="M96" s="8"/>
      <c r="N96" s="164"/>
    </row>
    <row r="97" spans="1:14" s="3" customFormat="1" ht="12.2" customHeight="1" x14ac:dyDescent="0.15">
      <c r="A97" s="1" t="s">
        <v>503</v>
      </c>
      <c r="B97" s="2" t="s">
        <v>315</v>
      </c>
      <c r="C97" s="6">
        <v>12</v>
      </c>
      <c r="D97" s="2" t="s">
        <v>430</v>
      </c>
      <c r="E97" s="6">
        <v>1600</v>
      </c>
      <c r="F97" s="23" t="s">
        <v>288</v>
      </c>
      <c r="G97" s="18">
        <f>285085.32</f>
        <v>285085.32</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3284</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500</v>
      </c>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22454.080000000002</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20792.99+17864.8</f>
        <v>38657.79</v>
      </c>
      <c r="G110" s="18">
        <v>6957.03</v>
      </c>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185323.31000000003</v>
      </c>
      <c r="G111" s="38">
        <f>SUM(G96:G110)</f>
        <v>292042.35000000003</v>
      </c>
      <c r="H111" s="38">
        <f>SUM(H96:H110)</f>
        <v>0</v>
      </c>
      <c r="I111" s="38">
        <f>SUM(I96:I110)</f>
        <v>5621.92</v>
      </c>
      <c r="J111" s="38">
        <f>SUM(J96:J110)</f>
        <v>17600.509999999998</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20192032.059999999</v>
      </c>
      <c r="G112" s="38">
        <f>G60+G111</f>
        <v>292042.35000000003</v>
      </c>
      <c r="H112" s="38">
        <f>H60+H79+H94+H111</f>
        <v>0</v>
      </c>
      <c r="I112" s="38">
        <f>I60+I111</f>
        <v>5621.92</v>
      </c>
      <c r="J112" s="38">
        <f>J60+J111</f>
        <v>17600.509999999998</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2609234.0699999998</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1973497.02</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15982.54</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4598713.63</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365820.09</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17500</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6295</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383320.09</v>
      </c>
      <c r="G136" s="38">
        <f>SUM(G123:G135)</f>
        <v>6295</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v>14955.77</v>
      </c>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4982033.72</v>
      </c>
      <c r="G140" s="38">
        <f>G121+SUM(G136:G137)</f>
        <v>6295</v>
      </c>
      <c r="H140" s="38">
        <f>H121+SUM(H136:H139)</f>
        <v>14955.77</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116620.77</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64402.03</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101179+33926.53</f>
        <v>135105.53</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280407.31</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91506.44</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v>29700</v>
      </c>
      <c r="H161" s="18">
        <v>85668.36</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868288.16</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91506.44</v>
      </c>
      <c r="G163" s="38">
        <f>SUM(G150:G162)</f>
        <v>164805.53</v>
      </c>
      <c r="H163" s="38">
        <f>SUM(H150:H162)</f>
        <v>1415386.63</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91506.44</v>
      </c>
      <c r="G170" s="38">
        <f>G147+G163+SUM(G164:G169)</f>
        <v>164805.53</v>
      </c>
      <c r="H170" s="38">
        <f>H147+H163+SUM(H164:H169)</f>
        <v>1415386.63</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v>212110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212110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212110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25265572.219999999</v>
      </c>
      <c r="G194" s="38">
        <f>G112+G140+G170+G193</f>
        <v>463142.88</v>
      </c>
      <c r="H194" s="38">
        <f>H112+H140+H170+H193</f>
        <v>1430342.4</v>
      </c>
      <c r="I194" s="38">
        <f>I112+I140+I170+I193</f>
        <v>5621.92</v>
      </c>
      <c r="J194" s="38">
        <f>J112+J140+J193</f>
        <v>229710.51</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4130125.67</f>
        <v>4130125.67</v>
      </c>
      <c r="G198" s="18">
        <v>1971357.3</v>
      </c>
      <c r="H198" s="18">
        <v>12185.18</v>
      </c>
      <c r="I198" s="18">
        <v>74934.92</v>
      </c>
      <c r="J198" s="18">
        <v>19505.66</v>
      </c>
      <c r="K198" s="18">
        <v>690</v>
      </c>
      <c r="L198" s="13">
        <f>SUM(F198:K198)</f>
        <v>6208798.7299999995</v>
      </c>
      <c r="M198" s="8"/>
      <c r="N198" s="164"/>
    </row>
    <row r="199" spans="1:14" s="3" customFormat="1" ht="12.2" customHeight="1" x14ac:dyDescent="0.15">
      <c r="A199" s="1" t="s">
        <v>439</v>
      </c>
      <c r="B199" s="2" t="s">
        <v>341</v>
      </c>
      <c r="C199" s="2" t="s">
        <v>291</v>
      </c>
      <c r="D199" s="2" t="s">
        <v>431</v>
      </c>
      <c r="E199" s="6">
        <v>1200</v>
      </c>
      <c r="F199" s="18">
        <v>1923438.21</v>
      </c>
      <c r="G199" s="18">
        <f>722474.86+239.4</f>
        <v>722714.26</v>
      </c>
      <c r="H199" s="18">
        <f>257822.97+480966.99</f>
        <v>738789.96</v>
      </c>
      <c r="I199" s="18">
        <f>2747.96+2198.78</f>
        <v>4946.74</v>
      </c>
      <c r="J199" s="18">
        <v>2091.06</v>
      </c>
      <c r="K199" s="18"/>
      <c r="L199" s="13">
        <f>SUM(F199:K199)</f>
        <v>3391980.23</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47345</v>
      </c>
      <c r="G201" s="18">
        <v>11285.73</v>
      </c>
      <c r="H201" s="18">
        <v>7408.64</v>
      </c>
      <c r="I201" s="18">
        <v>5650</v>
      </c>
      <c r="J201" s="18"/>
      <c r="K201" s="18">
        <v>2057.83</v>
      </c>
      <c r="L201" s="13">
        <f>SUM(F201:K201)</f>
        <v>73747.199999999997</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f>617199.89+160432.69</f>
        <v>777632.58000000007</v>
      </c>
      <c r="G203" s="18">
        <f>326573.6+71619.33</f>
        <v>398192.93</v>
      </c>
      <c r="H203" s="18">
        <f>107670.01+552.62</f>
        <v>108222.62999999999</v>
      </c>
      <c r="I203" s="18">
        <f>10643.63+3333.31</f>
        <v>13976.939999999999</v>
      </c>
      <c r="J203" s="18">
        <v>562.98</v>
      </c>
      <c r="K203" s="18">
        <f>1351.91+298.86</f>
        <v>1650.77</v>
      </c>
      <c r="L203" s="13">
        <f t="shared" ref="L203:L209" si="0">SUM(F203:K203)</f>
        <v>1300238.8299999998</v>
      </c>
      <c r="M203" s="8"/>
      <c r="N203" s="164"/>
    </row>
    <row r="204" spans="1:14" s="3" customFormat="1" ht="12.2" customHeight="1" x14ac:dyDescent="0.15">
      <c r="A204" s="1" t="s">
        <v>443</v>
      </c>
      <c r="B204" s="2" t="s">
        <v>341</v>
      </c>
      <c r="C204" s="2" t="s">
        <v>295</v>
      </c>
      <c r="D204" s="2" t="s">
        <v>431</v>
      </c>
      <c r="E204" s="6">
        <v>2200</v>
      </c>
      <c r="F204" s="18">
        <f>94601.6+302726.17</f>
        <v>397327.77</v>
      </c>
      <c r="G204" s="18">
        <f>62236.92+121624.35</f>
        <v>183861.27000000002</v>
      </c>
      <c r="H204" s="18">
        <f>20305.83+32113.66</f>
        <v>52419.490000000005</v>
      </c>
      <c r="I204" s="18">
        <f>42500.05+101760.66</f>
        <v>144260.71000000002</v>
      </c>
      <c r="J204" s="18">
        <f>93444.52+2185.87</f>
        <v>95630.39</v>
      </c>
      <c r="K204" s="18">
        <v>242.51</v>
      </c>
      <c r="L204" s="13">
        <f t="shared" si="0"/>
        <v>873742.14</v>
      </c>
      <c r="M204" s="8"/>
      <c r="N204" s="164"/>
    </row>
    <row r="205" spans="1:14" s="3" customFormat="1" ht="12.2" customHeight="1" x14ac:dyDescent="0.15">
      <c r="A205" s="1" t="s">
        <v>444</v>
      </c>
      <c r="B205" s="2" t="s">
        <v>341</v>
      </c>
      <c r="C205" s="2" t="s">
        <v>296</v>
      </c>
      <c r="D205" s="2" t="s">
        <v>431</v>
      </c>
      <c r="E205" s="6">
        <v>2300</v>
      </c>
      <c r="F205" s="18">
        <v>475199.42</v>
      </c>
      <c r="G205" s="18">
        <v>216975.54</v>
      </c>
      <c r="H205" s="18">
        <f>25.7+146157.9</f>
        <v>146183.6</v>
      </c>
      <c r="I205" s="18">
        <v>29030.55</v>
      </c>
      <c r="J205" s="18"/>
      <c r="K205" s="18">
        <v>12894.41</v>
      </c>
      <c r="L205" s="13">
        <f t="shared" si="0"/>
        <v>880283.52</v>
      </c>
      <c r="M205" s="8"/>
      <c r="N205" s="164"/>
    </row>
    <row r="206" spans="1:14" s="3" customFormat="1" ht="12.2" customHeight="1" x14ac:dyDescent="0.15">
      <c r="A206" s="1" t="s">
        <v>445</v>
      </c>
      <c r="B206" s="2" t="s">
        <v>341</v>
      </c>
      <c r="C206" s="2" t="s">
        <v>297</v>
      </c>
      <c r="D206" s="2" t="s">
        <v>431</v>
      </c>
      <c r="E206" s="6">
        <v>2400</v>
      </c>
      <c r="F206" s="18">
        <v>540838.38</v>
      </c>
      <c r="G206" s="18">
        <v>252554.64</v>
      </c>
      <c r="H206" s="18">
        <v>35214.1</v>
      </c>
      <c r="I206" s="18">
        <v>2444.11</v>
      </c>
      <c r="J206" s="18">
        <v>126.9</v>
      </c>
      <c r="K206" s="18">
        <v>2518</v>
      </c>
      <c r="L206" s="13">
        <f t="shared" si="0"/>
        <v>833696.13</v>
      </c>
      <c r="M206" s="8"/>
      <c r="N206" s="164"/>
    </row>
    <row r="207" spans="1:14" s="3" customFormat="1" ht="12.2" customHeight="1" x14ac:dyDescent="0.15">
      <c r="A207" s="1" t="s">
        <v>446</v>
      </c>
      <c r="B207" s="2" t="s">
        <v>341</v>
      </c>
      <c r="C207" s="2" t="s">
        <v>298</v>
      </c>
      <c r="D207" s="2" t="s">
        <v>431</v>
      </c>
      <c r="E207" s="6">
        <v>2500</v>
      </c>
      <c r="F207" s="18">
        <v>177978.62</v>
      </c>
      <c r="G207" s="18">
        <v>75125.149999999994</v>
      </c>
      <c r="H207" s="18">
        <v>4140.47</v>
      </c>
      <c r="I207" s="18">
        <v>3265.78</v>
      </c>
      <c r="J207" s="18"/>
      <c r="K207" s="18">
        <v>407.7</v>
      </c>
      <c r="L207" s="13">
        <f t="shared" si="0"/>
        <v>260917.72</v>
      </c>
      <c r="M207" s="8"/>
      <c r="N207" s="164"/>
    </row>
    <row r="208" spans="1:14" s="3" customFormat="1" ht="12.2" customHeight="1" x14ac:dyDescent="0.15">
      <c r="A208" s="1" t="s">
        <v>447</v>
      </c>
      <c r="B208" s="2" t="s">
        <v>341</v>
      </c>
      <c r="C208" s="2" t="s">
        <v>299</v>
      </c>
      <c r="D208" s="2" t="s">
        <v>431</v>
      </c>
      <c r="E208" s="6">
        <v>2600</v>
      </c>
      <c r="F208" s="18">
        <v>267103.69</v>
      </c>
      <c r="G208" s="18">
        <v>70809.289999999994</v>
      </c>
      <c r="H208" s="18">
        <f>512991.17+46586.69</f>
        <v>559577.86</v>
      </c>
      <c r="I208" s="18">
        <f>277796.58+428.69-0.01</f>
        <v>278225.26</v>
      </c>
      <c r="J208" s="18">
        <v>1292.99</v>
      </c>
      <c r="K208" s="18"/>
      <c r="L208" s="13">
        <f t="shared" si="0"/>
        <v>1177009.0900000001</v>
      </c>
      <c r="M208" s="8"/>
      <c r="N208" s="164"/>
    </row>
    <row r="209" spans="1:14" s="3" customFormat="1" ht="12.2" customHeight="1" x14ac:dyDescent="0.15">
      <c r="A209" s="1" t="s">
        <v>448</v>
      </c>
      <c r="B209" s="2" t="s">
        <v>341</v>
      </c>
      <c r="C209" s="2" t="s">
        <v>300</v>
      </c>
      <c r="D209" s="2" t="s">
        <v>431</v>
      </c>
      <c r="E209" s="6">
        <v>2700</v>
      </c>
      <c r="F209" s="18"/>
      <c r="G209" s="18"/>
      <c r="H209" s="18">
        <f>25315.19+508529.38</f>
        <v>533844.56999999995</v>
      </c>
      <c r="I209" s="18"/>
      <c r="J209" s="18"/>
      <c r="K209" s="18"/>
      <c r="L209" s="13">
        <f t="shared" si="0"/>
        <v>533844.56999999995</v>
      </c>
      <c r="M209" s="8"/>
      <c r="N209" s="164"/>
    </row>
    <row r="210" spans="1:14" s="3" customFormat="1" ht="12.2" customHeight="1" x14ac:dyDescent="0.15">
      <c r="A210" s="1" t="s">
        <v>449</v>
      </c>
      <c r="B210" s="2" t="s">
        <v>341</v>
      </c>
      <c r="C210" s="2" t="s">
        <v>343</v>
      </c>
      <c r="D210" s="2" t="s">
        <v>431</v>
      </c>
      <c r="E210" s="6">
        <v>2800</v>
      </c>
      <c r="F210" s="18"/>
      <c r="G210" s="18">
        <v>51662.879999999997</v>
      </c>
      <c r="H210" s="18"/>
      <c r="I210" s="18"/>
      <c r="J210" s="18"/>
      <c r="K210" s="18"/>
      <c r="L210" s="13">
        <f>SUM(F210:K210)</f>
        <v>51662.879999999997</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8736989.3399999999</v>
      </c>
      <c r="G212" s="38">
        <f t="shared" si="1"/>
        <v>3954538.99</v>
      </c>
      <c r="H212" s="38">
        <f t="shared" si="1"/>
        <v>2197986.5</v>
      </c>
      <c r="I212" s="38">
        <f t="shared" si="1"/>
        <v>556735.01</v>
      </c>
      <c r="J212" s="38">
        <f t="shared" si="1"/>
        <v>119209.98</v>
      </c>
      <c r="K212" s="38">
        <f t="shared" si="1"/>
        <v>20461.22</v>
      </c>
      <c r="L212" s="38">
        <f t="shared" si="1"/>
        <v>15585921.040000001</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1685648.74</v>
      </c>
      <c r="G234" s="18">
        <v>849455.04</v>
      </c>
      <c r="H234" s="18">
        <v>41502</v>
      </c>
      <c r="I234" s="18">
        <v>49980.85</v>
      </c>
      <c r="J234" s="18">
        <v>14717.16</v>
      </c>
      <c r="K234" s="18">
        <v>4814.5</v>
      </c>
      <c r="L234" s="13">
        <f>SUM(F234:K234)</f>
        <v>2646118.2900000005</v>
      </c>
      <c r="M234" s="8"/>
      <c r="N234" s="164"/>
    </row>
    <row r="235" spans="1:14" s="3" customFormat="1" ht="12.2" customHeight="1" x14ac:dyDescent="0.15">
      <c r="A235" s="1" t="s">
        <v>439</v>
      </c>
      <c r="B235" s="2" t="s">
        <v>350</v>
      </c>
      <c r="C235" s="2" t="s">
        <v>291</v>
      </c>
      <c r="D235" s="2" t="s">
        <v>431</v>
      </c>
      <c r="E235" s="6">
        <v>1200</v>
      </c>
      <c r="F235" s="18">
        <v>555511.56000000006</v>
      </c>
      <c r="G235" s="18">
        <f>200217.97+96.24</f>
        <v>200314.21</v>
      </c>
      <c r="H235" s="18">
        <f>600466.41+193350.11</f>
        <v>793816.52</v>
      </c>
      <c r="I235" s="18">
        <f>1826.38+883.92</f>
        <v>2710.3</v>
      </c>
      <c r="J235" s="18">
        <v>315.02999999999997</v>
      </c>
      <c r="K235" s="18"/>
      <c r="L235" s="13">
        <f>SUM(F235:K235)</f>
        <v>1552667.62</v>
      </c>
      <c r="M235" s="8"/>
      <c r="N235" s="164"/>
    </row>
    <row r="236" spans="1:14" s="3" customFormat="1" ht="12.2" customHeight="1" x14ac:dyDescent="0.15">
      <c r="A236" s="1" t="s">
        <v>440</v>
      </c>
      <c r="B236" s="2" t="s">
        <v>350</v>
      </c>
      <c r="C236" s="2" t="s">
        <v>292</v>
      </c>
      <c r="D236" s="2" t="s">
        <v>431</v>
      </c>
      <c r="E236" s="6">
        <v>1300</v>
      </c>
      <c r="F236" s="18"/>
      <c r="G236" s="18"/>
      <c r="H236" s="18">
        <v>279843.99</v>
      </c>
      <c r="I236" s="18"/>
      <c r="J236" s="18"/>
      <c r="K236" s="18"/>
      <c r="L236" s="13">
        <f>SUM(F236:K236)</f>
        <v>279843.99</v>
      </c>
      <c r="M236" s="8"/>
      <c r="N236" s="164"/>
    </row>
    <row r="237" spans="1:14" s="3" customFormat="1" ht="12.2" customHeight="1" x14ac:dyDescent="0.15">
      <c r="A237" s="1" t="s">
        <v>441</v>
      </c>
      <c r="B237" s="2" t="s">
        <v>350</v>
      </c>
      <c r="C237" s="2" t="s">
        <v>293</v>
      </c>
      <c r="D237" s="2" t="s">
        <v>431</v>
      </c>
      <c r="E237" s="6">
        <v>1400</v>
      </c>
      <c r="F237" s="18">
        <v>128275</v>
      </c>
      <c r="G237" s="18">
        <v>28319.06</v>
      </c>
      <c r="H237" s="18">
        <v>48359.97</v>
      </c>
      <c r="I237" s="18">
        <v>15065.35</v>
      </c>
      <c r="J237" s="18"/>
      <c r="K237" s="18">
        <v>24192.720000000001</v>
      </c>
      <c r="L237" s="13">
        <f>SUM(F237:K237)</f>
        <v>244212.1</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f>265788.31+64494.4</f>
        <v>330282.71000000002</v>
      </c>
      <c r="G239" s="18">
        <f>127497.34+28791.17</f>
        <v>156288.51</v>
      </c>
      <c r="H239" s="18">
        <f>1742.24+222.16</f>
        <v>1964.4</v>
      </c>
      <c r="I239" s="18">
        <f>3304.02+1340</f>
        <v>4644.0200000000004</v>
      </c>
      <c r="J239" s="18">
        <v>119.72</v>
      </c>
      <c r="K239" s="18">
        <f>2366+120.14</f>
        <v>2486.14</v>
      </c>
      <c r="L239" s="13">
        <f t="shared" ref="L239:L245" si="4">SUM(F239:K239)</f>
        <v>495785.50000000006</v>
      </c>
      <c r="M239" s="8"/>
      <c r="N239" s="164"/>
    </row>
    <row r="240" spans="1:14" s="3" customFormat="1" ht="12.2" customHeight="1" x14ac:dyDescent="0.15">
      <c r="A240" s="1" t="s">
        <v>443</v>
      </c>
      <c r="B240" s="2" t="s">
        <v>350</v>
      </c>
      <c r="C240" s="2" t="s">
        <v>295</v>
      </c>
      <c r="D240" s="2" t="s">
        <v>431</v>
      </c>
      <c r="E240" s="6">
        <v>2200</v>
      </c>
      <c r="F240" s="18">
        <f>48584.4+121696.78</f>
        <v>170281.18</v>
      </c>
      <c r="G240" s="18">
        <f>57644.5+48893.33</f>
        <v>106537.83</v>
      </c>
      <c r="H240" s="18">
        <f>6916.78+12909.79</f>
        <v>19826.57</v>
      </c>
      <c r="I240" s="18">
        <f>23103.93+40908.08</f>
        <v>64012.01</v>
      </c>
      <c r="J240" s="18">
        <f>53546.38+878.73</f>
        <v>54425.11</v>
      </c>
      <c r="K240" s="18">
        <v>97.49</v>
      </c>
      <c r="L240" s="13">
        <f t="shared" si="4"/>
        <v>415180.19</v>
      </c>
      <c r="M240" s="8"/>
      <c r="N240" s="164"/>
    </row>
    <row r="241" spans="1:14" s="3" customFormat="1" ht="12.2" customHeight="1" x14ac:dyDescent="0.15">
      <c r="A241" s="1" t="s">
        <v>444</v>
      </c>
      <c r="B241" s="2" t="s">
        <v>350</v>
      </c>
      <c r="C241" s="2" t="s">
        <v>296</v>
      </c>
      <c r="D241" s="2" t="s">
        <v>431</v>
      </c>
      <c r="E241" s="6">
        <v>2300</v>
      </c>
      <c r="F241" s="18">
        <v>191031.52</v>
      </c>
      <c r="G241" s="18">
        <v>87224.79</v>
      </c>
      <c r="H241" s="18">
        <v>58755.89</v>
      </c>
      <c r="I241" s="18">
        <v>11670.36</v>
      </c>
      <c r="J241" s="18"/>
      <c r="K241" s="18">
        <v>5183.59</v>
      </c>
      <c r="L241" s="13">
        <f>SUM(F241:K241)</f>
        <v>353866.15</v>
      </c>
      <c r="M241" s="8"/>
      <c r="N241" s="164"/>
    </row>
    <row r="242" spans="1:14" s="3" customFormat="1" ht="12.2" customHeight="1" x14ac:dyDescent="0.15">
      <c r="A242" s="1" t="s">
        <v>445</v>
      </c>
      <c r="B242" s="2" t="s">
        <v>350</v>
      </c>
      <c r="C242" s="2" t="s">
        <v>297</v>
      </c>
      <c r="D242" s="2" t="s">
        <v>431</v>
      </c>
      <c r="E242" s="6">
        <v>2400</v>
      </c>
      <c r="F242" s="18">
        <v>316121.93</v>
      </c>
      <c r="G242" s="18">
        <v>143672.82999999999</v>
      </c>
      <c r="H242" s="18">
        <v>20232.73</v>
      </c>
      <c r="I242" s="18">
        <v>13352.24</v>
      </c>
      <c r="J242" s="18"/>
      <c r="K242" s="18">
        <v>579</v>
      </c>
      <c r="L242" s="13">
        <f>SUM(F242:K242)</f>
        <v>493958.73</v>
      </c>
      <c r="M242" s="8"/>
      <c r="N242" s="164"/>
    </row>
    <row r="243" spans="1:14" s="3" customFormat="1" ht="12.2" customHeight="1" x14ac:dyDescent="0.15">
      <c r="A243" s="1" t="s">
        <v>446</v>
      </c>
      <c r="B243" s="2" t="s">
        <v>350</v>
      </c>
      <c r="C243" s="2" t="s">
        <v>298</v>
      </c>
      <c r="D243" s="2" t="s">
        <v>431</v>
      </c>
      <c r="E243" s="6">
        <v>2500</v>
      </c>
      <c r="F243" s="18">
        <v>71547.92</v>
      </c>
      <c r="G243" s="18">
        <v>30200.52</v>
      </c>
      <c r="H243" s="18">
        <v>1664.48</v>
      </c>
      <c r="I243" s="18">
        <v>1312.85</v>
      </c>
      <c r="J243" s="18"/>
      <c r="K243" s="18">
        <v>163.9</v>
      </c>
      <c r="L243" s="13">
        <f t="shared" si="4"/>
        <v>104889.67</v>
      </c>
      <c r="M243" s="8"/>
      <c r="N243" s="164"/>
    </row>
    <row r="244" spans="1:14" s="3" customFormat="1" ht="12.2" customHeight="1" x14ac:dyDescent="0.15">
      <c r="A244" s="1" t="s">
        <v>447</v>
      </c>
      <c r="B244" s="2" t="s">
        <v>350</v>
      </c>
      <c r="C244" s="2" t="s">
        <v>299</v>
      </c>
      <c r="D244" s="2" t="s">
        <v>431</v>
      </c>
      <c r="E244" s="6">
        <v>2600</v>
      </c>
      <c r="F244" s="18">
        <v>107376.45</v>
      </c>
      <c r="G244" s="18">
        <v>28465.54</v>
      </c>
      <c r="H244" s="18">
        <f>224942.57+18727.98</f>
        <v>243670.55000000002</v>
      </c>
      <c r="I244" s="18">
        <f>176112.59+172.34+0.01</f>
        <v>176284.94</v>
      </c>
      <c r="J244" s="18"/>
      <c r="K244" s="18"/>
      <c r="L244" s="13">
        <f t="shared" si="4"/>
        <v>555797.48</v>
      </c>
      <c r="M244" s="8"/>
      <c r="N244" s="164"/>
    </row>
    <row r="245" spans="1:14" s="3" customFormat="1" ht="12.2" customHeight="1" x14ac:dyDescent="0.15">
      <c r="A245" s="1" t="s">
        <v>448</v>
      </c>
      <c r="B245" s="2" t="s">
        <v>350</v>
      </c>
      <c r="C245" s="2" t="s">
        <v>300</v>
      </c>
      <c r="D245" s="2" t="s">
        <v>431</v>
      </c>
      <c r="E245" s="6">
        <v>2700</v>
      </c>
      <c r="F245" s="18"/>
      <c r="G245" s="18"/>
      <c r="H245" s="18">
        <f>101960.1+204430.26</f>
        <v>306390.36</v>
      </c>
      <c r="I245" s="18" t="s">
        <v>286</v>
      </c>
      <c r="J245" s="18"/>
      <c r="K245" s="18"/>
      <c r="L245" s="13">
        <f t="shared" si="4"/>
        <v>306390.36</v>
      </c>
      <c r="M245" s="8"/>
      <c r="N245" s="164"/>
    </row>
    <row r="246" spans="1:14" s="3" customFormat="1" ht="12.2" customHeight="1" x14ac:dyDescent="0.15">
      <c r="A246" s="1" t="s">
        <v>449</v>
      </c>
      <c r="B246" s="2" t="s">
        <v>350</v>
      </c>
      <c r="C246" s="2" t="s">
        <v>343</v>
      </c>
      <c r="D246" s="2" t="s">
        <v>431</v>
      </c>
      <c r="E246" s="6">
        <v>2800</v>
      </c>
      <c r="F246" s="18"/>
      <c r="G246" s="18">
        <v>20768.62</v>
      </c>
      <c r="H246" s="18"/>
      <c r="I246" s="18"/>
      <c r="J246" s="18"/>
      <c r="K246" s="18"/>
      <c r="L246" s="13">
        <f>SUM(F246:K246)</f>
        <v>20768.62</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3556077.0100000002</v>
      </c>
      <c r="G248" s="38">
        <f t="shared" si="5"/>
        <v>1651246.9500000004</v>
      </c>
      <c r="H248" s="38">
        <f t="shared" si="5"/>
        <v>1816027.46</v>
      </c>
      <c r="I248" s="38">
        <f t="shared" si="5"/>
        <v>339032.92000000004</v>
      </c>
      <c r="J248" s="38">
        <f t="shared" si="5"/>
        <v>69577.02</v>
      </c>
      <c r="K248" s="38">
        <f t="shared" si="5"/>
        <v>37517.340000000004</v>
      </c>
      <c r="L248" s="38">
        <f t="shared" si="5"/>
        <v>7469478.7000000011</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v>299573.42</v>
      </c>
      <c r="I256" s="18"/>
      <c r="J256" s="18"/>
      <c r="K256" s="18">
        <v>15990.01</v>
      </c>
      <c r="L256" s="13">
        <f t="shared" si="6"/>
        <v>315563.43</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299573.42</v>
      </c>
      <c r="I257" s="38">
        <f t="shared" si="7"/>
        <v>0</v>
      </c>
      <c r="J257" s="38">
        <f t="shared" si="7"/>
        <v>0</v>
      </c>
      <c r="K257" s="38">
        <f t="shared" si="7"/>
        <v>15990.01</v>
      </c>
      <c r="L257" s="38">
        <f>SUM(F257:K257)</f>
        <v>315563.43</v>
      </c>
      <c r="M257" s="8"/>
      <c r="N257" s="164"/>
    </row>
    <row r="258" spans="1:14" s="3" customFormat="1" ht="12.2" customHeight="1" thickTop="1" x14ac:dyDescent="0.15">
      <c r="A258" s="35" t="s">
        <v>462</v>
      </c>
      <c r="B258" s="37">
        <v>10</v>
      </c>
      <c r="C258" s="37">
        <v>8</v>
      </c>
      <c r="D258" s="36" t="s">
        <v>431</v>
      </c>
      <c r="E258" s="37"/>
      <c r="F258" s="38">
        <f t="shared" ref="F258:L258" si="8">F212+F230+F248+F257</f>
        <v>12293066.35</v>
      </c>
      <c r="G258" s="38">
        <f t="shared" si="8"/>
        <v>5605785.9400000004</v>
      </c>
      <c r="H258" s="38">
        <f t="shared" si="8"/>
        <v>4313587.38</v>
      </c>
      <c r="I258" s="38">
        <f t="shared" si="8"/>
        <v>895767.93</v>
      </c>
      <c r="J258" s="38">
        <f t="shared" si="8"/>
        <v>188787</v>
      </c>
      <c r="K258" s="38">
        <f t="shared" si="8"/>
        <v>73968.570000000007</v>
      </c>
      <c r="L258" s="38">
        <f t="shared" si="8"/>
        <v>23370963.170000002</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805000</v>
      </c>
      <c r="L261" s="13">
        <f>SUM(F261:K261)</f>
        <v>805000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1293977.5</v>
      </c>
      <c r="L262" s="13">
        <f>SUM(F262:K262)</f>
        <v>1293977.5</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212110</v>
      </c>
      <c r="L267" s="13">
        <f t="shared" si="9"/>
        <v>212110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2311087.5</v>
      </c>
      <c r="L271" s="38">
        <f t="shared" si="9"/>
        <v>2311087.5</v>
      </c>
      <c r="M271" s="8"/>
      <c r="N271" s="164"/>
    </row>
    <row r="272" spans="1:14" s="33" customFormat="1" ht="12.2" customHeight="1" thickTop="1" x14ac:dyDescent="0.2">
      <c r="A272" s="40" t="s">
        <v>464</v>
      </c>
      <c r="B272" s="37">
        <v>10</v>
      </c>
      <c r="C272" s="37">
        <v>18</v>
      </c>
      <c r="D272" s="36" t="s">
        <v>431</v>
      </c>
      <c r="E272" s="37"/>
      <c r="F272" s="39">
        <f t="shared" ref="F272:L272" si="11">F258+F271</f>
        <v>12293066.35</v>
      </c>
      <c r="G272" s="39">
        <f t="shared" si="11"/>
        <v>5605785.9400000004</v>
      </c>
      <c r="H272" s="39">
        <f t="shared" si="11"/>
        <v>4313587.38</v>
      </c>
      <c r="I272" s="39">
        <f t="shared" si="11"/>
        <v>895767.93</v>
      </c>
      <c r="J272" s="39">
        <f t="shared" si="11"/>
        <v>188787</v>
      </c>
      <c r="K272" s="39">
        <f t="shared" si="11"/>
        <v>2385056.0699999998</v>
      </c>
      <c r="L272" s="39">
        <f t="shared" si="11"/>
        <v>25682050.670000002</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77025.16</v>
      </c>
      <c r="G277" s="18">
        <v>26501.919999999998</v>
      </c>
      <c r="H277" s="18">
        <v>309.05</v>
      </c>
      <c r="I277" s="18">
        <v>132560.71</v>
      </c>
      <c r="J277" s="18">
        <v>1898.68</v>
      </c>
      <c r="K277" s="18"/>
      <c r="L277" s="13">
        <f>SUM(F277:K277)</f>
        <v>238295.52</v>
      </c>
      <c r="M277" s="8"/>
      <c r="N277" s="164"/>
    </row>
    <row r="278" spans="1:14" s="3" customFormat="1" ht="12.2" customHeight="1" x14ac:dyDescent="0.15">
      <c r="A278" s="1" t="s">
        <v>439</v>
      </c>
      <c r="B278" s="2" t="s">
        <v>357</v>
      </c>
      <c r="C278" s="2" t="s">
        <v>291</v>
      </c>
      <c r="D278" s="2" t="s">
        <v>431</v>
      </c>
      <c r="E278" s="6">
        <v>1200</v>
      </c>
      <c r="F278" s="18">
        <v>111169</v>
      </c>
      <c r="G278" s="18">
        <f>40831.38+1016.4</f>
        <v>41847.78</v>
      </c>
      <c r="H278" s="18">
        <f>9758.67+4119.8</f>
        <v>13878.470000000001</v>
      </c>
      <c r="I278" s="18">
        <v>1675.68</v>
      </c>
      <c r="J278" s="18">
        <v>2885.53</v>
      </c>
      <c r="K278" s="18"/>
      <c r="L278" s="13">
        <f>SUM(F278:K278)</f>
        <v>171456.46</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7881.58</v>
      </c>
      <c r="G280" s="18">
        <v>2150.89</v>
      </c>
      <c r="H280" s="18">
        <v>338.87</v>
      </c>
      <c r="I280" s="18">
        <v>8393.49</v>
      </c>
      <c r="J280" s="18"/>
      <c r="K280" s="18"/>
      <c r="L280" s="13">
        <f>SUM(F280:K280)</f>
        <v>18764.830000000002</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104526</v>
      </c>
      <c r="G282" s="18">
        <v>39697.49</v>
      </c>
      <c r="H282" s="18">
        <v>90</v>
      </c>
      <c r="I282" s="18">
        <v>1431.08</v>
      </c>
      <c r="J282" s="18"/>
      <c r="K282" s="18"/>
      <c r="L282" s="13">
        <f t="shared" ref="L282:L288" si="12">SUM(F282:K282)</f>
        <v>145744.56999999998</v>
      </c>
      <c r="M282" s="8"/>
      <c r="N282" s="164"/>
    </row>
    <row r="283" spans="1:14" s="3" customFormat="1" ht="12.2" customHeight="1" x14ac:dyDescent="0.15">
      <c r="A283" s="1" t="s">
        <v>443</v>
      </c>
      <c r="B283" s="2" t="s">
        <v>357</v>
      </c>
      <c r="C283" s="2" t="s">
        <v>295</v>
      </c>
      <c r="D283" s="2" t="s">
        <v>431</v>
      </c>
      <c r="E283" s="6">
        <v>2200</v>
      </c>
      <c r="F283" s="18">
        <f>2588.9+40149.7</f>
        <v>42738.6</v>
      </c>
      <c r="G283" s="18">
        <f>665.52+13244.55</f>
        <v>13910.07</v>
      </c>
      <c r="H283" s="18">
        <f>37337.5+30405.98</f>
        <v>67743.48</v>
      </c>
      <c r="I283" s="18">
        <f>537.06+3478.72</f>
        <v>4015.7799999999997</v>
      </c>
      <c r="J283" s="18"/>
      <c r="K283" s="18"/>
      <c r="L283" s="13">
        <f t="shared" si="12"/>
        <v>128407.93</v>
      </c>
      <c r="M283" s="8"/>
      <c r="N283" s="164"/>
    </row>
    <row r="284" spans="1:14" s="3" customFormat="1" ht="12.2" customHeight="1" x14ac:dyDescent="0.15">
      <c r="A284" s="1" t="s">
        <v>444</v>
      </c>
      <c r="B284" s="2" t="s">
        <v>357</v>
      </c>
      <c r="C284" s="2" t="s">
        <v>296</v>
      </c>
      <c r="D284" s="2" t="s">
        <v>431</v>
      </c>
      <c r="E284" s="6">
        <v>2300</v>
      </c>
      <c r="F284" s="18"/>
      <c r="G284" s="18"/>
      <c r="H284" s="18" t="s">
        <v>286</v>
      </c>
      <c r="I284" s="18" t="s">
        <v>286</v>
      </c>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v>1820</v>
      </c>
      <c r="I285" s="18">
        <v>6393.64</v>
      </c>
      <c r="J285" s="18"/>
      <c r="K285" s="18"/>
      <c r="L285" s="13">
        <f t="shared" si="12"/>
        <v>8213.64</v>
      </c>
      <c r="M285" s="8"/>
      <c r="N285" s="164"/>
    </row>
    <row r="286" spans="1:14" s="3" customFormat="1" ht="12.2" customHeight="1" x14ac:dyDescent="0.15">
      <c r="A286" s="1" t="s">
        <v>446</v>
      </c>
      <c r="B286" s="2" t="s">
        <v>357</v>
      </c>
      <c r="C286" s="2" t="s">
        <v>298</v>
      </c>
      <c r="D286" s="2" t="s">
        <v>431</v>
      </c>
      <c r="E286" s="6">
        <v>2500</v>
      </c>
      <c r="F286" s="18"/>
      <c r="G286" s="18"/>
      <c r="H286" s="18" t="s">
        <v>286</v>
      </c>
      <c r="I286" s="18">
        <v>5028.5200000000004</v>
      </c>
      <c r="J286" s="18"/>
      <c r="K286" s="18"/>
      <c r="L286" s="13">
        <f t="shared" si="12"/>
        <v>5028.5200000000004</v>
      </c>
      <c r="M286" s="8"/>
      <c r="N286" s="164"/>
    </row>
    <row r="287" spans="1:14" s="3" customFormat="1" ht="12.2" customHeight="1" x14ac:dyDescent="0.15">
      <c r="A287" s="1" t="s">
        <v>447</v>
      </c>
      <c r="B287" s="2" t="s">
        <v>357</v>
      </c>
      <c r="C287" s="2" t="s">
        <v>299</v>
      </c>
      <c r="D287" s="2" t="s">
        <v>431</v>
      </c>
      <c r="E287" s="6">
        <v>2600</v>
      </c>
      <c r="F287" s="18"/>
      <c r="G287" s="18"/>
      <c r="H287" s="18">
        <v>61104.27</v>
      </c>
      <c r="I287" s="18"/>
      <c r="J287" s="18"/>
      <c r="K287" s="18"/>
      <c r="L287" s="13">
        <f t="shared" si="12"/>
        <v>61104.27</v>
      </c>
      <c r="M287" s="8"/>
      <c r="N287" s="164"/>
    </row>
    <row r="288" spans="1:14" s="3" customFormat="1" ht="12.2" customHeight="1" x14ac:dyDescent="0.15">
      <c r="A288" s="1" t="s">
        <v>448</v>
      </c>
      <c r="B288" s="2" t="s">
        <v>357</v>
      </c>
      <c r="C288" s="2" t="s">
        <v>300</v>
      </c>
      <c r="D288" s="2" t="s">
        <v>431</v>
      </c>
      <c r="E288" s="6">
        <v>2700</v>
      </c>
      <c r="F288" s="18"/>
      <c r="G288" s="18"/>
      <c r="H288" s="18">
        <v>375</v>
      </c>
      <c r="I288" s="18" t="s">
        <v>286</v>
      </c>
      <c r="J288" s="18"/>
      <c r="K288" s="18"/>
      <c r="L288" s="13">
        <f t="shared" si="12"/>
        <v>375</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343340.33999999997</v>
      </c>
      <c r="G291" s="39">
        <f t="shared" si="13"/>
        <v>124108.15</v>
      </c>
      <c r="H291" s="39">
        <f t="shared" si="13"/>
        <v>145659.13999999998</v>
      </c>
      <c r="I291" s="39">
        <f t="shared" si="13"/>
        <v>159498.89999999997</v>
      </c>
      <c r="J291" s="39">
        <f t="shared" si="13"/>
        <v>4784.21</v>
      </c>
      <c r="K291" s="39">
        <f t="shared" si="13"/>
        <v>0</v>
      </c>
      <c r="L291" s="38">
        <f t="shared" si="13"/>
        <v>777390.74000000011</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v>1309.04</v>
      </c>
      <c r="I315" s="18">
        <v>26113.55</v>
      </c>
      <c r="J315" s="18">
        <v>2225</v>
      </c>
      <c r="K315" s="18">
        <v>750</v>
      </c>
      <c r="L315" s="13">
        <f>SUM(F315:K315)</f>
        <v>30397.59</v>
      </c>
      <c r="M315" s="8"/>
      <c r="N315" s="164"/>
    </row>
    <row r="316" spans="1:14" s="3" customFormat="1" ht="12.2" customHeight="1" x14ac:dyDescent="0.15">
      <c r="A316" s="1" t="s">
        <v>439</v>
      </c>
      <c r="B316" s="2" t="s">
        <v>359</v>
      </c>
      <c r="C316" s="2" t="s">
        <v>291</v>
      </c>
      <c r="D316" s="2" t="s">
        <v>431</v>
      </c>
      <c r="E316" s="6">
        <v>1200</v>
      </c>
      <c r="F316" s="18">
        <v>58334</v>
      </c>
      <c r="G316" s="18">
        <v>44468.02</v>
      </c>
      <c r="H316" s="18"/>
      <c r="I316" s="18">
        <v>524.9</v>
      </c>
      <c r="J316" s="18">
        <v>2885.53</v>
      </c>
      <c r="K316" s="18"/>
      <c r="L316" s="13">
        <f>SUM(F316:K316)</f>
        <v>106212.44999999998</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v>3168.42</v>
      </c>
      <c r="G318" s="18">
        <v>864.66</v>
      </c>
      <c r="H318" s="18"/>
      <c r="I318" s="18"/>
      <c r="J318" s="18"/>
      <c r="K318" s="18"/>
      <c r="L318" s="13">
        <f>SUM(F318:K318)</f>
        <v>4033.08</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39006</v>
      </c>
      <c r="G320" s="18">
        <f>21784.5+408.6</f>
        <v>22193.1</v>
      </c>
      <c r="H320" s="18">
        <f>90+1656.17</f>
        <v>1746.17</v>
      </c>
      <c r="I320" s="18">
        <f>269.52+673.63</f>
        <v>943.15</v>
      </c>
      <c r="J320" s="18" t="s">
        <v>286</v>
      </c>
      <c r="K320" s="18" t="s">
        <v>286</v>
      </c>
      <c r="L320" s="13">
        <f t="shared" ref="L320:L326" si="16">SUM(F320:K320)</f>
        <v>63888.42</v>
      </c>
      <c r="M320" s="8"/>
      <c r="N320" s="164"/>
    </row>
    <row r="321" spans="1:14" s="3" customFormat="1" ht="12.2" customHeight="1" x14ac:dyDescent="0.15">
      <c r="A321" s="1" t="s">
        <v>443</v>
      </c>
      <c r="B321" s="2" t="s">
        <v>359</v>
      </c>
      <c r="C321" s="2" t="s">
        <v>295</v>
      </c>
      <c r="D321" s="2" t="s">
        <v>431</v>
      </c>
      <c r="E321" s="6">
        <v>2200</v>
      </c>
      <c r="F321" s="18">
        <v>16140.3</v>
      </c>
      <c r="G321" s="18">
        <v>5324.34</v>
      </c>
      <c r="H321" s="18">
        <f>25612.5+12223.29</f>
        <v>37835.79</v>
      </c>
      <c r="I321" s="18">
        <f>440.45+1398.46</f>
        <v>1838.91</v>
      </c>
      <c r="J321" s="18" t="s">
        <v>286</v>
      </c>
      <c r="K321" s="18"/>
      <c r="L321" s="13">
        <f t="shared" si="16"/>
        <v>61139.340000000004</v>
      </c>
      <c r="M321" s="8"/>
      <c r="N321" s="164"/>
    </row>
    <row r="322" spans="1:14" s="3" customFormat="1" ht="12.2" customHeight="1" x14ac:dyDescent="0.15">
      <c r="A322" s="1" t="s">
        <v>444</v>
      </c>
      <c r="B322" s="2" t="s">
        <v>359</v>
      </c>
      <c r="C322" s="2" t="s">
        <v>296</v>
      </c>
      <c r="D322" s="2" t="s">
        <v>431</v>
      </c>
      <c r="E322" s="6">
        <v>2300</v>
      </c>
      <c r="F322" s="18"/>
      <c r="G322" s="18"/>
      <c r="H322" s="18">
        <v>780</v>
      </c>
      <c r="I322" s="18">
        <v>2740.11</v>
      </c>
      <c r="J322" s="18"/>
      <c r="K322" s="18"/>
      <c r="L322" s="13">
        <f t="shared" si="16"/>
        <v>3520.11</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v>2021.48</v>
      </c>
      <c r="J324" s="18"/>
      <c r="K324" s="18"/>
      <c r="L324" s="13">
        <f t="shared" si="16"/>
        <v>2021.48</v>
      </c>
      <c r="M324" s="8"/>
      <c r="N324" s="164"/>
    </row>
    <row r="325" spans="1:14" s="3" customFormat="1" ht="12.2" customHeight="1" x14ac:dyDescent="0.15">
      <c r="A325" s="1" t="s">
        <v>447</v>
      </c>
      <c r="B325" s="2" t="s">
        <v>359</v>
      </c>
      <c r="C325" s="2" t="s">
        <v>299</v>
      </c>
      <c r="D325" s="2" t="s">
        <v>431</v>
      </c>
      <c r="E325" s="6">
        <v>2600</v>
      </c>
      <c r="F325" s="18"/>
      <c r="G325" s="18"/>
      <c r="H325" s="18">
        <v>24564.09</v>
      </c>
      <c r="I325" s="18"/>
      <c r="J325" s="18"/>
      <c r="K325" s="18"/>
      <c r="L325" s="13">
        <f t="shared" si="16"/>
        <v>24564.09</v>
      </c>
      <c r="M325" s="8"/>
      <c r="N325" s="164"/>
    </row>
    <row r="326" spans="1:14" s="3" customFormat="1" ht="12.2" customHeight="1" x14ac:dyDescent="0.15">
      <c r="A326" s="1" t="s">
        <v>448</v>
      </c>
      <c r="B326" s="2" t="s">
        <v>359</v>
      </c>
      <c r="C326" s="2" t="s">
        <v>300</v>
      </c>
      <c r="D326" s="2" t="s">
        <v>431</v>
      </c>
      <c r="E326" s="6">
        <v>2700</v>
      </c>
      <c r="F326" s="18"/>
      <c r="G326" s="18"/>
      <c r="H326" s="18">
        <v>1125</v>
      </c>
      <c r="I326" s="18"/>
      <c r="J326" s="18"/>
      <c r="K326" s="18"/>
      <c r="L326" s="13">
        <f t="shared" si="16"/>
        <v>1125</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116648.72</v>
      </c>
      <c r="G329" s="39">
        <f t="shared" si="17"/>
        <v>72850.12</v>
      </c>
      <c r="H329" s="39">
        <f t="shared" si="17"/>
        <v>67360.09</v>
      </c>
      <c r="I329" s="39">
        <f t="shared" si="17"/>
        <v>34182.100000000006</v>
      </c>
      <c r="J329" s="39">
        <f t="shared" si="17"/>
        <v>5110.5300000000007</v>
      </c>
      <c r="K329" s="39">
        <f t="shared" si="17"/>
        <v>750</v>
      </c>
      <c r="L329" s="38">
        <f t="shared" si="17"/>
        <v>296901.56</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v>356729.12</v>
      </c>
      <c r="K337" s="18"/>
      <c r="L337" s="13">
        <f t="shared" si="18"/>
        <v>356729.12</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356729.12</v>
      </c>
      <c r="K338" s="38">
        <f t="shared" si="19"/>
        <v>0</v>
      </c>
      <c r="L338" s="38">
        <f t="shared" si="18"/>
        <v>356729.12</v>
      </c>
      <c r="M338" s="8"/>
      <c r="N338" s="164"/>
    </row>
    <row r="339" spans="1:43" s="3" customFormat="1" ht="12.2" customHeight="1" thickTop="1" x14ac:dyDescent="0.15">
      <c r="A339" s="35" t="s">
        <v>468</v>
      </c>
      <c r="B339" s="37">
        <v>14</v>
      </c>
      <c r="C339" s="37">
        <v>7</v>
      </c>
      <c r="D339" s="36" t="s">
        <v>431</v>
      </c>
      <c r="E339" s="37"/>
      <c r="F339" s="38">
        <f t="shared" ref="F339:L339" si="20">F291+F310+F329+F338</f>
        <v>459989.05999999994</v>
      </c>
      <c r="G339" s="38">
        <f t="shared" si="20"/>
        <v>196958.27</v>
      </c>
      <c r="H339" s="38">
        <f t="shared" si="20"/>
        <v>213019.22999999998</v>
      </c>
      <c r="I339" s="38">
        <f t="shared" si="20"/>
        <v>193680.99999999997</v>
      </c>
      <c r="J339" s="38">
        <f t="shared" si="20"/>
        <v>366623.86</v>
      </c>
      <c r="K339" s="38">
        <f t="shared" si="20"/>
        <v>750</v>
      </c>
      <c r="L339" s="38">
        <f t="shared" si="20"/>
        <v>1431021.42</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459989.05999999994</v>
      </c>
      <c r="G353" s="38">
        <f>G339</f>
        <v>196958.27</v>
      </c>
      <c r="H353" s="38">
        <f>H339</f>
        <v>213019.22999999998</v>
      </c>
      <c r="I353" s="38">
        <f>I339</f>
        <v>193680.99999999997</v>
      </c>
      <c r="J353" s="38">
        <f>J339</f>
        <v>366623.86</v>
      </c>
      <c r="K353" s="38">
        <f>K339+K352</f>
        <v>750</v>
      </c>
      <c r="L353" s="38">
        <f>L339+L352</f>
        <v>1431021.42</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v>281961.13</v>
      </c>
      <c r="I359" s="18">
        <v>20790.310000000001</v>
      </c>
      <c r="J359" s="18"/>
      <c r="K359" s="18"/>
      <c r="L359" s="13">
        <f>SUM(F359:K359)</f>
        <v>302751.44</v>
      </c>
      <c r="M359" s="8"/>
      <c r="N359" s="164"/>
    </row>
    <row r="360" spans="1:22" s="3" customFormat="1" ht="12.2" customHeight="1" x14ac:dyDescent="0.15">
      <c r="A360" s="1" t="s">
        <v>542</v>
      </c>
      <c r="B360" s="2" t="s">
        <v>366</v>
      </c>
      <c r="C360" s="6">
        <v>2</v>
      </c>
      <c r="D360" s="2" t="s">
        <v>431</v>
      </c>
      <c r="E360" s="6"/>
      <c r="F360" s="18"/>
      <c r="G360" s="18"/>
      <c r="H360" s="18" t="s">
        <v>286</v>
      </c>
      <c r="I360" s="18" t="s">
        <v>286</v>
      </c>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v>118777.08</v>
      </c>
      <c r="I361" s="18">
        <v>8910.11</v>
      </c>
      <c r="J361" s="18"/>
      <c r="K361" s="18"/>
      <c r="L361" s="13">
        <f>SUM(F361:K361)</f>
        <v>127687.19</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400738.21</v>
      </c>
      <c r="I363" s="38">
        <f t="shared" si="22"/>
        <v>29700.420000000002</v>
      </c>
      <c r="J363" s="38">
        <f t="shared" si="22"/>
        <v>0</v>
      </c>
      <c r="K363" s="38">
        <f t="shared" si="22"/>
        <v>0</v>
      </c>
      <c r="L363" s="38">
        <f t="shared" si="22"/>
        <v>430438.63</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20790.310000000001</v>
      </c>
      <c r="G368" s="18"/>
      <c r="H368" s="18">
        <v>8910.11</v>
      </c>
      <c r="I368" s="13">
        <f>SUM(F368:H368)</f>
        <v>29700.420000000002</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20790.310000000001</v>
      </c>
      <c r="G370" s="38">
        <f>SUM(G368:G369)</f>
        <v>0</v>
      </c>
      <c r="H370" s="38">
        <f>SUM(H368:H369)</f>
        <v>8910.11</v>
      </c>
      <c r="I370" s="38">
        <f>SUM(I368:I369)</f>
        <v>29700.420000000002</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v>10210</v>
      </c>
      <c r="I377" s="18"/>
      <c r="J377" s="18"/>
      <c r="K377" s="18"/>
      <c r="L377" s="13">
        <f t="shared" si="23"/>
        <v>10210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10210</v>
      </c>
      <c r="I383" s="38">
        <f t="shared" si="24"/>
        <v>0</v>
      </c>
      <c r="J383" s="38">
        <f t="shared" si="24"/>
        <v>0</v>
      </c>
      <c r="K383" s="38">
        <f t="shared" si="24"/>
        <v>0</v>
      </c>
      <c r="L383" s="38">
        <f t="shared" si="24"/>
        <v>10210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v>162110</v>
      </c>
      <c r="H390" s="18">
        <v>5433.64</v>
      </c>
      <c r="I390" s="18"/>
      <c r="J390" s="23" t="s">
        <v>288</v>
      </c>
      <c r="K390" s="23" t="s">
        <v>288</v>
      </c>
      <c r="L390" s="13">
        <f t="shared" si="25"/>
        <v>167543.64000000001</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v>262.07</v>
      </c>
      <c r="I393" s="18"/>
      <c r="J393" s="23" t="s">
        <v>288</v>
      </c>
      <c r="K393" s="23" t="s">
        <v>288</v>
      </c>
      <c r="L393" s="13">
        <f t="shared" si="25"/>
        <v>262.07</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162110</v>
      </c>
      <c r="H394" s="97">
        <f>SUM(H388:H393)</f>
        <v>5695.71</v>
      </c>
      <c r="I394" s="54">
        <f>SUM(I388:I393)</f>
        <v>0</v>
      </c>
      <c r="J394" s="42" t="s">
        <v>288</v>
      </c>
      <c r="K394" s="42" t="s">
        <v>288</v>
      </c>
      <c r="L394" s="38">
        <f>SUM(L388:L393)</f>
        <v>167805.71000000002</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v>50000</v>
      </c>
      <c r="H396" s="18">
        <v>501.96</v>
      </c>
      <c r="I396" s="18"/>
      <c r="J396" s="23" t="s">
        <v>288</v>
      </c>
      <c r="K396" s="23" t="s">
        <v>288</v>
      </c>
      <c r="L396" s="13">
        <f t="shared" ref="L396:L401" si="26">SUM(F396:K396)</f>
        <v>50501.96</v>
      </c>
      <c r="M396" s="8"/>
      <c r="N396" s="164"/>
    </row>
    <row r="397" spans="1:14" s="3" customFormat="1" ht="12.2" customHeight="1" x14ac:dyDescent="0.15">
      <c r="A397" s="62" t="s">
        <v>557</v>
      </c>
      <c r="B397" s="2" t="s">
        <v>381</v>
      </c>
      <c r="C397" s="6">
        <v>9</v>
      </c>
      <c r="D397" s="2" t="s">
        <v>432</v>
      </c>
      <c r="E397" s="6"/>
      <c r="F397" s="18"/>
      <c r="G397" s="18"/>
      <c r="H397" s="18">
        <v>6579.87</v>
      </c>
      <c r="I397" s="18"/>
      <c r="J397" s="23" t="s">
        <v>288</v>
      </c>
      <c r="K397" s="23" t="s">
        <v>288</v>
      </c>
      <c r="L397" s="13">
        <f t="shared" si="26"/>
        <v>6579.87</v>
      </c>
      <c r="M397" s="8"/>
      <c r="N397" s="164"/>
    </row>
    <row r="398" spans="1:14" s="3" customFormat="1" ht="12.2" customHeight="1" x14ac:dyDescent="0.15">
      <c r="A398" s="62" t="s">
        <v>515</v>
      </c>
      <c r="B398" s="2" t="s">
        <v>381</v>
      </c>
      <c r="C398" s="6">
        <v>10</v>
      </c>
      <c r="D398" s="2" t="s">
        <v>432</v>
      </c>
      <c r="E398" s="6"/>
      <c r="F398" s="18"/>
      <c r="G398" s="18"/>
      <c r="H398" s="18">
        <v>3089.24</v>
      </c>
      <c r="I398" s="18"/>
      <c r="J398" s="23" t="s">
        <v>288</v>
      </c>
      <c r="K398" s="23" t="s">
        <v>288</v>
      </c>
      <c r="L398" s="13">
        <f t="shared" si="26"/>
        <v>3089.24</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v>1733.73</v>
      </c>
      <c r="I400" s="18"/>
      <c r="J400" s="23" t="s">
        <v>288</v>
      </c>
      <c r="K400" s="23" t="s">
        <v>288</v>
      </c>
      <c r="L400" s="13">
        <f t="shared" si="26"/>
        <v>1733.73</v>
      </c>
      <c r="M400" s="8"/>
      <c r="N400" s="164"/>
    </row>
    <row r="401" spans="1:21" s="3" customFormat="1" ht="12.2" customHeight="1" thickBot="1" x14ac:dyDescent="0.2">
      <c r="A401" s="62" t="s">
        <v>510</v>
      </c>
      <c r="B401" s="2" t="s">
        <v>381</v>
      </c>
      <c r="C401" s="6">
        <v>13</v>
      </c>
      <c r="D401" s="2" t="s">
        <v>432</v>
      </c>
      <c r="E401" s="6"/>
      <c r="F401" s="18"/>
      <c r="G401" s="18"/>
      <c r="H401" s="18" t="s">
        <v>286</v>
      </c>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50000</v>
      </c>
      <c r="H402" s="38">
        <f>SUM(H396:H401)</f>
        <v>11904.8</v>
      </c>
      <c r="I402" s="38">
        <f>SUM(I396:I401)</f>
        <v>0</v>
      </c>
      <c r="J402" s="42" t="s">
        <v>288</v>
      </c>
      <c r="K402" s="42" t="s">
        <v>288</v>
      </c>
      <c r="L402" s="38">
        <f>SUM(L396:L401)</f>
        <v>61904.800000000003</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212110</v>
      </c>
      <c r="H409" s="38">
        <f>H394+H402+H408</f>
        <v>17600.509999999998</v>
      </c>
      <c r="I409" s="38">
        <f>I394+I402+I408</f>
        <v>0</v>
      </c>
      <c r="J409" s="23" t="s">
        <v>288</v>
      </c>
      <c r="K409" s="23" t="s">
        <v>288</v>
      </c>
      <c r="L409" s="38">
        <f>L394+L402+L408</f>
        <v>229710.51</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v>563495.72</v>
      </c>
      <c r="G442" s="18">
        <v>1171114.53</v>
      </c>
      <c r="H442" s="18"/>
      <c r="I442" s="13">
        <f t="shared" si="33"/>
        <v>1734610.25</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563495.72</v>
      </c>
      <c r="G447" s="13">
        <f>SUM(G440:G446)</f>
        <v>1171114.53</v>
      </c>
      <c r="H447" s="13">
        <f>SUM(H440:H446)</f>
        <v>0</v>
      </c>
      <c r="I447" s="13">
        <f>SUM(I440:I446)</f>
        <v>1734610.25</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563495.72</v>
      </c>
      <c r="G460" s="18">
        <v>1171114.53</v>
      </c>
      <c r="H460" s="18"/>
      <c r="I460" s="13">
        <f t="shared" si="34"/>
        <v>1734610.25</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563495.72</v>
      </c>
      <c r="G461" s="65">
        <f>SUM(G455:G460)</f>
        <v>1171114.53</v>
      </c>
      <c r="H461" s="65">
        <f>SUM(H455:H460)</f>
        <v>0</v>
      </c>
      <c r="I461" s="65">
        <f>SUM(I455:I460)</f>
        <v>1734610.25</v>
      </c>
      <c r="J461" s="23" t="s">
        <v>288</v>
      </c>
      <c r="K461" s="23" t="s">
        <v>288</v>
      </c>
      <c r="L461" s="23" t="s">
        <v>288</v>
      </c>
      <c r="N461" s="130"/>
    </row>
    <row r="462" spans="1:86" ht="12.2" customHeight="1" thickTop="1" x14ac:dyDescent="0.2">
      <c r="A462" s="40" t="s">
        <v>424</v>
      </c>
      <c r="B462" s="41">
        <v>18</v>
      </c>
      <c r="C462" s="64">
        <v>21</v>
      </c>
      <c r="D462" s="114" t="s">
        <v>432</v>
      </c>
      <c r="E462" s="64"/>
      <c r="F462" s="39">
        <f>F453+F461</f>
        <v>563495.72</v>
      </c>
      <c r="G462" s="39">
        <f>G453+G461</f>
        <v>1171114.53</v>
      </c>
      <c r="H462" s="39">
        <f>H453+H461</f>
        <v>0</v>
      </c>
      <c r="I462" s="39">
        <f>I453+I461</f>
        <v>1734610.25</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2075142.26</v>
      </c>
      <c r="G466" s="18">
        <v>120808</v>
      </c>
      <c r="H466" s="18">
        <v>17606.23</v>
      </c>
      <c r="I466" s="18">
        <v>220229.37</v>
      </c>
      <c r="J466" s="18">
        <v>1504899.74</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25265572.219999999</v>
      </c>
      <c r="G469" s="18">
        <v>463142.88</v>
      </c>
      <c r="H469" s="18">
        <f>1415386.63+14955.77</f>
        <v>1430342.4</v>
      </c>
      <c r="I469" s="18">
        <v>5621.92</v>
      </c>
      <c r="J469" s="18">
        <f>17600.51+212110</f>
        <v>229710.51</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25265572.219999999</v>
      </c>
      <c r="G471" s="19">
        <f>SUM(G469:G470)</f>
        <v>463142.88</v>
      </c>
      <c r="H471" s="19">
        <f>SUM(H469:H470)</f>
        <v>1430342.4</v>
      </c>
      <c r="I471" s="19">
        <f>SUM(I469:I470)</f>
        <v>5621.92</v>
      </c>
      <c r="J471" s="19">
        <f>SUM(J469:J470)</f>
        <v>229710.51</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25469940.67+212110</f>
        <v>25682050.670000002</v>
      </c>
      <c r="G473" s="18">
        <v>430438.63</v>
      </c>
      <c r="H473" s="18">
        <f>1415386.63+15634.79</f>
        <v>1431021.42</v>
      </c>
      <c r="I473" s="18">
        <v>10210</v>
      </c>
      <c r="J473" s="18"/>
      <c r="K473" s="23" t="s">
        <v>288</v>
      </c>
      <c r="L473" s="23" t="s">
        <v>288</v>
      </c>
      <c r="N473" s="130"/>
    </row>
    <row r="474" spans="1:14" ht="12.2" customHeight="1" x14ac:dyDescent="0.2">
      <c r="A474" s="71" t="s">
        <v>613</v>
      </c>
      <c r="B474" s="22">
        <v>19</v>
      </c>
      <c r="C474" s="31">
        <v>6</v>
      </c>
      <c r="D474" s="2" t="s">
        <v>432</v>
      </c>
      <c r="E474" s="31"/>
      <c r="F474" s="18">
        <v>295617.02</v>
      </c>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25977667.690000001</v>
      </c>
      <c r="G475" s="19">
        <f>SUM(G473:G474)</f>
        <v>430438.63</v>
      </c>
      <c r="H475" s="19">
        <f>SUM(H473:H474)</f>
        <v>1431021.42</v>
      </c>
      <c r="I475" s="19">
        <f>SUM(I473:I474)</f>
        <v>10210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1363046.7899999991</v>
      </c>
      <c r="G477" s="19">
        <f>(G466+G471)- G475</f>
        <v>153512.25</v>
      </c>
      <c r="H477" s="19">
        <f>(H466+H471)- H475</f>
        <v>16927.209999999963</v>
      </c>
      <c r="I477" s="19">
        <f>(I466+I471)- I475</f>
        <v>215641.29</v>
      </c>
      <c r="J477" s="19">
        <f>(J466+J471)- J475</f>
        <v>1734610.25</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t="s">
        <v>1840</v>
      </c>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v>35816700</v>
      </c>
      <c r="G494" s="18"/>
      <c r="H494" s="18"/>
      <c r="I494" s="18"/>
      <c r="J494" s="18"/>
      <c r="K494" s="23" t="s">
        <v>288</v>
      </c>
      <c r="L494" s="23" t="s">
        <v>288</v>
      </c>
      <c r="N494" s="130"/>
    </row>
    <row r="495" spans="1:14" ht="12.2" customHeight="1" x14ac:dyDescent="0.2">
      <c r="A495" s="21" t="s">
        <v>618</v>
      </c>
      <c r="B495" s="22">
        <v>20</v>
      </c>
      <c r="C495" s="22">
        <v>5</v>
      </c>
      <c r="D495" s="2" t="s">
        <v>432</v>
      </c>
      <c r="E495" s="22"/>
      <c r="F495" s="18">
        <v>3.33</v>
      </c>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805000</v>
      </c>
      <c r="G498" s="18"/>
      <c r="H498" s="18"/>
      <c r="I498" s="18"/>
      <c r="J498" s="18"/>
      <c r="K498" s="19">
        <f t="shared" si="35"/>
        <v>805000</v>
      </c>
      <c r="L498" s="23" t="s">
        <v>288</v>
      </c>
      <c r="N498" s="130"/>
    </row>
    <row r="499" spans="1:14" ht="12.2" customHeight="1" x14ac:dyDescent="0.2">
      <c r="A499" s="143" t="s">
        <v>622</v>
      </c>
      <c r="B499" s="144">
        <v>20</v>
      </c>
      <c r="C499" s="144">
        <v>9</v>
      </c>
      <c r="D499" s="145" t="s">
        <v>432</v>
      </c>
      <c r="E499" s="144"/>
      <c r="F499" s="146">
        <f>32355000-805000</f>
        <v>31550000</v>
      </c>
      <c r="G499" s="146"/>
      <c r="H499" s="146"/>
      <c r="I499" s="146"/>
      <c r="J499" s="146"/>
      <c r="K499" s="147">
        <f t="shared" si="35"/>
        <v>31550000</v>
      </c>
      <c r="L499" s="148" t="s">
        <v>288</v>
      </c>
      <c r="N499" s="130"/>
    </row>
    <row r="500" spans="1:14" ht="12.2" customHeight="1" thickBot="1" x14ac:dyDescent="0.25">
      <c r="A500" s="21" t="s">
        <v>623</v>
      </c>
      <c r="B500" s="22">
        <v>20</v>
      </c>
      <c r="C500" s="22">
        <v>10</v>
      </c>
      <c r="D500" s="2" t="s">
        <v>432</v>
      </c>
      <c r="E500" s="22"/>
      <c r="F500" s="18">
        <v>16347760</v>
      </c>
      <c r="G500" s="18"/>
      <c r="H500" s="18"/>
      <c r="I500" s="18"/>
      <c r="J500" s="18"/>
      <c r="K500" s="19">
        <f t="shared" si="35"/>
        <v>16347760</v>
      </c>
      <c r="L500" s="23" t="s">
        <v>288</v>
      </c>
      <c r="N500" s="130"/>
    </row>
    <row r="501" spans="1:14" ht="12.2" customHeight="1" thickTop="1" x14ac:dyDescent="0.2">
      <c r="A501" s="97" t="s">
        <v>624</v>
      </c>
      <c r="B501" s="41">
        <v>20</v>
      </c>
      <c r="C501" s="41">
        <v>11</v>
      </c>
      <c r="D501" s="36" t="s">
        <v>432</v>
      </c>
      <c r="E501" s="41"/>
      <c r="F501" s="39">
        <f>SUM(F499:F500)</f>
        <v>47897760</v>
      </c>
      <c r="G501" s="39">
        <f>SUM(G499:G500)</f>
        <v>0</v>
      </c>
      <c r="H501" s="39">
        <f>SUM(H499:H500)</f>
        <v>0</v>
      </c>
      <c r="I501" s="39">
        <f>SUM(I499:I500)</f>
        <v>0</v>
      </c>
      <c r="J501" s="39">
        <f>SUM(J499:J500)</f>
        <v>0</v>
      </c>
      <c r="K501" s="39">
        <f t="shared" si="35"/>
        <v>47897760</v>
      </c>
      <c r="L501" s="42" t="s">
        <v>288</v>
      </c>
      <c r="N501" s="130"/>
    </row>
    <row r="502" spans="1:14" ht="12.2" customHeight="1" x14ac:dyDescent="0.2">
      <c r="A502" s="143" t="s">
        <v>651</v>
      </c>
      <c r="B502" s="144">
        <v>20</v>
      </c>
      <c r="C502" s="144">
        <v>12</v>
      </c>
      <c r="D502" s="145" t="s">
        <v>432</v>
      </c>
      <c r="E502" s="144"/>
      <c r="F502" s="146">
        <v>845000</v>
      </c>
      <c r="G502" s="146"/>
      <c r="H502" s="146"/>
      <c r="I502" s="146"/>
      <c r="J502" s="146"/>
      <c r="K502" s="147">
        <f t="shared" si="35"/>
        <v>845000</v>
      </c>
      <c r="L502" s="148" t="s">
        <v>288</v>
      </c>
      <c r="N502" s="130"/>
    </row>
    <row r="503" spans="1:14" ht="12.2" customHeight="1" thickBot="1" x14ac:dyDescent="0.25">
      <c r="A503" s="21" t="s">
        <v>625</v>
      </c>
      <c r="B503" s="22">
        <v>20</v>
      </c>
      <c r="C503" s="22">
        <v>13</v>
      </c>
      <c r="D503" s="2" t="s">
        <v>432</v>
      </c>
      <c r="E503" s="22"/>
      <c r="F503" s="18">
        <v>1251902.5</v>
      </c>
      <c r="G503" s="18"/>
      <c r="H503" s="18"/>
      <c r="I503" s="18"/>
      <c r="J503" s="18"/>
      <c r="K503" s="19">
        <f t="shared" si="35"/>
        <v>1251902.5</v>
      </c>
      <c r="L503" s="23" t="s">
        <v>288</v>
      </c>
      <c r="N503" s="130"/>
    </row>
    <row r="504" spans="1:14" ht="12.2" customHeight="1" thickTop="1" x14ac:dyDescent="0.2">
      <c r="A504" s="97" t="s">
        <v>626</v>
      </c>
      <c r="B504" s="41">
        <v>20</v>
      </c>
      <c r="C504" s="41">
        <v>14</v>
      </c>
      <c r="D504" s="36" t="s">
        <v>432</v>
      </c>
      <c r="E504" s="41"/>
      <c r="F504" s="39">
        <f>SUM(F502:F503)</f>
        <v>2096902.5</v>
      </c>
      <c r="G504" s="39">
        <f>SUM(G502:G503)</f>
        <v>0</v>
      </c>
      <c r="H504" s="39">
        <f>SUM(H502:H503)</f>
        <v>0</v>
      </c>
      <c r="I504" s="39">
        <f>SUM(I502:I503)</f>
        <v>0</v>
      </c>
      <c r="J504" s="39">
        <f>SUM(J502:J503)</f>
        <v>0</v>
      </c>
      <c r="K504" s="39">
        <f t="shared" si="35"/>
        <v>2096902.5</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2034607.21</v>
      </c>
      <c r="G522" s="18">
        <f>763306.24+1255.8</f>
        <v>764562.04</v>
      </c>
      <c r="H522" s="18">
        <f>267581.64+485086.79</f>
        <v>752668.42999999993</v>
      </c>
      <c r="I522" s="18">
        <f>2747.96+3874.46</f>
        <v>6622.42</v>
      </c>
      <c r="J522" s="18">
        <v>4976.59</v>
      </c>
      <c r="K522" s="18"/>
      <c r="L522" s="69">
        <f>SUM(F522:K522)</f>
        <v>3563436.6899999995</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v>613845.56000000006</v>
      </c>
      <c r="G524" s="18">
        <f>244685.99+504.84</f>
        <v>245190.83</v>
      </c>
      <c r="H524" s="18">
        <f>600466.41+195006.28</f>
        <v>795472.69000000006</v>
      </c>
      <c r="I524" s="18">
        <f>2351.28+1557.55</f>
        <v>3908.83</v>
      </c>
      <c r="J524" s="18">
        <v>3200.56</v>
      </c>
      <c r="K524" s="18"/>
      <c r="L524" s="69">
        <f>SUM(F524:K524)</f>
        <v>1661618.4700000002</v>
      </c>
      <c r="N524" s="130"/>
    </row>
    <row r="525" spans="1:14" ht="12.2" customHeight="1" thickTop="1" x14ac:dyDescent="0.2">
      <c r="A525" s="97" t="s">
        <v>63</v>
      </c>
      <c r="B525" s="41">
        <v>21</v>
      </c>
      <c r="C525" s="41">
        <v>4</v>
      </c>
      <c r="D525" s="115" t="s">
        <v>432</v>
      </c>
      <c r="E525" s="41"/>
      <c r="F525" s="81">
        <f>SUM(F522:F524)</f>
        <v>2648452.77</v>
      </c>
      <c r="G525" s="81">
        <f t="shared" ref="G525:L525" si="36">SUM(G522:G524)</f>
        <v>1009752.87</v>
      </c>
      <c r="H525" s="81">
        <f t="shared" si="36"/>
        <v>1548141.12</v>
      </c>
      <c r="I525" s="81">
        <f t="shared" si="36"/>
        <v>10531.25</v>
      </c>
      <c r="J525" s="81">
        <f t="shared" si="36"/>
        <v>8177.15</v>
      </c>
      <c r="K525" s="81">
        <f t="shared" si="36"/>
        <v>0</v>
      </c>
      <c r="L525" s="70">
        <f t="shared" si="36"/>
        <v>5225055.16</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f>320561.2+111559.04</f>
        <v>432120.24</v>
      </c>
      <c r="G527" s="18">
        <f>135547.83+50044.45</f>
        <v>185592.27999999997</v>
      </c>
      <c r="H527" s="18">
        <f>1066.26+215.23</f>
        <v>1281.49</v>
      </c>
      <c r="I527" s="18">
        <f>3501.06+3008.82</f>
        <v>6509.88</v>
      </c>
      <c r="J527" s="18"/>
      <c r="K527" s="18">
        <f>392.92+130.53</f>
        <v>523.45000000000005</v>
      </c>
      <c r="L527" s="69">
        <f>SUM(F527:K527)</f>
        <v>626027.34</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f>32485+44847.05</f>
        <v>77332.05</v>
      </c>
      <c r="G529" s="18">
        <f>11654.28+20118.01</f>
        <v>31772.29</v>
      </c>
      <c r="H529" s="18">
        <v>86.53</v>
      </c>
      <c r="I529" s="18">
        <f>818.59+1209.56</f>
        <v>2028.15</v>
      </c>
      <c r="J529" s="18"/>
      <c r="K529" s="18">
        <f>253+52.47</f>
        <v>305.47000000000003</v>
      </c>
      <c r="L529" s="69">
        <f>SUM(F529:K529)</f>
        <v>111524.48999999999</v>
      </c>
      <c r="M529" s="8"/>
      <c r="N529" s="164"/>
    </row>
    <row r="530" spans="1:14" s="3" customFormat="1" ht="12.2" customHeight="1" thickTop="1" x14ac:dyDescent="0.15">
      <c r="A530" s="97" t="s">
        <v>65</v>
      </c>
      <c r="B530" s="41">
        <v>21</v>
      </c>
      <c r="C530" s="41">
        <v>8</v>
      </c>
      <c r="D530" s="115" t="s">
        <v>432</v>
      </c>
      <c r="E530" s="41"/>
      <c r="F530" s="70">
        <f>SUM(F527:F529)</f>
        <v>509452.29</v>
      </c>
      <c r="G530" s="70">
        <f t="shared" ref="G530:L530" si="37">SUM(G527:G529)</f>
        <v>217364.56999999998</v>
      </c>
      <c r="H530" s="70">
        <f t="shared" si="37"/>
        <v>1368.02</v>
      </c>
      <c r="I530" s="70">
        <f t="shared" si="37"/>
        <v>8538.0300000000007</v>
      </c>
      <c r="J530" s="70">
        <f t="shared" si="37"/>
        <v>0</v>
      </c>
      <c r="K530" s="70">
        <f t="shared" si="37"/>
        <v>828.92000000000007</v>
      </c>
      <c r="L530" s="70">
        <f t="shared" si="37"/>
        <v>737551.83</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210445.8</v>
      </c>
      <c r="G532" s="18">
        <v>102002.05</v>
      </c>
      <c r="H532" s="18">
        <v>20154.7</v>
      </c>
      <c r="I532" s="18"/>
      <c r="J532" s="18"/>
      <c r="K532" s="18">
        <f>25.7+4746.64</f>
        <v>4772.34</v>
      </c>
      <c r="L532" s="69">
        <f>SUM(F532:K532)</f>
        <v>337374.89</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v>84599.82</v>
      </c>
      <c r="G534" s="18">
        <v>41005.120000000003</v>
      </c>
      <c r="H534" s="18">
        <v>8102.25</v>
      </c>
      <c r="I534" s="18"/>
      <c r="J534" s="18"/>
      <c r="K534" s="18">
        <v>1908.16</v>
      </c>
      <c r="L534" s="69">
        <f>SUM(F534:K534)</f>
        <v>135615.35</v>
      </c>
      <c r="M534" s="8"/>
      <c r="N534" s="164"/>
    </row>
    <row r="535" spans="1:14" s="3" customFormat="1" ht="12.2" customHeight="1" thickTop="1" x14ac:dyDescent="0.15">
      <c r="A535" s="97" t="s">
        <v>67</v>
      </c>
      <c r="B535" s="41">
        <v>21</v>
      </c>
      <c r="C535" s="41">
        <v>12</v>
      </c>
      <c r="D535" s="115" t="s">
        <v>432</v>
      </c>
      <c r="E535" s="41"/>
      <c r="F535" s="70">
        <f>SUM(F532:F534)</f>
        <v>295045.62</v>
      </c>
      <c r="G535" s="70">
        <f t="shared" ref="G535:L535" si="38">SUM(G532:G534)</f>
        <v>143007.17000000001</v>
      </c>
      <c r="H535" s="70">
        <f t="shared" si="38"/>
        <v>28256.95</v>
      </c>
      <c r="I535" s="70">
        <f t="shared" si="38"/>
        <v>0</v>
      </c>
      <c r="J535" s="70">
        <f t="shared" si="38"/>
        <v>0</v>
      </c>
      <c r="K535" s="70">
        <f t="shared" si="38"/>
        <v>6680.5</v>
      </c>
      <c r="L535" s="70">
        <f t="shared" si="38"/>
        <v>472990.24</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4129.99</v>
      </c>
      <c r="I537" s="18"/>
      <c r="J537" s="18"/>
      <c r="K537" s="18"/>
      <c r="L537" s="69">
        <f>SUM(F537:K537)</f>
        <v>4129.99</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v>1660.27</v>
      </c>
      <c r="I539" s="18"/>
      <c r="J539" s="18"/>
      <c r="K539" s="18"/>
      <c r="L539" s="69">
        <f>SUM(F539:K539)</f>
        <v>1660.27</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5790.26</v>
      </c>
      <c r="I540" s="70">
        <f t="shared" si="39"/>
        <v>0</v>
      </c>
      <c r="J540" s="70">
        <f t="shared" si="39"/>
        <v>0</v>
      </c>
      <c r="K540" s="70">
        <f t="shared" si="39"/>
        <v>0</v>
      </c>
      <c r="L540" s="70">
        <f t="shared" si="39"/>
        <v>5790.26</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277321.12</v>
      </c>
      <c r="I542" s="18"/>
      <c r="J542" s="18"/>
      <c r="K542" s="18"/>
      <c r="L542" s="69">
        <f>SUM(F542:K542)</f>
        <v>277321.12</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v>111483.88</v>
      </c>
      <c r="I544" s="18"/>
      <c r="J544" s="18"/>
      <c r="K544" s="18"/>
      <c r="L544" s="69">
        <f>SUM(F544:K544)</f>
        <v>111483.88</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388805</v>
      </c>
      <c r="I545" s="140">
        <f t="shared" si="40"/>
        <v>0</v>
      </c>
      <c r="J545" s="140">
        <f t="shared" si="40"/>
        <v>0</v>
      </c>
      <c r="K545" s="140">
        <f t="shared" si="40"/>
        <v>0</v>
      </c>
      <c r="L545" s="140">
        <f t="shared" si="40"/>
        <v>388805</v>
      </c>
      <c r="M545" s="8"/>
      <c r="N545" s="164"/>
    </row>
    <row r="546" spans="1:14" s="3" customFormat="1" ht="12.2" customHeight="1" thickTop="1" x14ac:dyDescent="0.15">
      <c r="A546" s="75" t="s">
        <v>72</v>
      </c>
      <c r="B546" s="41">
        <v>21</v>
      </c>
      <c r="C546" s="41">
        <v>21</v>
      </c>
      <c r="D546" s="115" t="s">
        <v>432</v>
      </c>
      <c r="E546" s="41"/>
      <c r="F546" s="70">
        <f>F525+F530+F535+F540+F545</f>
        <v>3452950.68</v>
      </c>
      <c r="G546" s="70">
        <f t="shared" ref="G546:L546" si="41">G525+G530+G535+G540+G545</f>
        <v>1370124.6099999999</v>
      </c>
      <c r="H546" s="70">
        <f t="shared" si="41"/>
        <v>1972361.35</v>
      </c>
      <c r="I546" s="70">
        <f t="shared" si="41"/>
        <v>19069.28</v>
      </c>
      <c r="J546" s="70">
        <f t="shared" si="41"/>
        <v>8177.15</v>
      </c>
      <c r="K546" s="70">
        <f t="shared" si="41"/>
        <v>7509.42</v>
      </c>
      <c r="L546" s="70">
        <f t="shared" si="41"/>
        <v>6830192.4900000002</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3563436.6899999995</v>
      </c>
      <c r="G550" s="69">
        <f>L527</f>
        <v>626027.34</v>
      </c>
      <c r="H550" s="69">
        <f>L532</f>
        <v>337374.89</v>
      </c>
      <c r="I550" s="69">
        <f>L537</f>
        <v>4129.99</v>
      </c>
      <c r="J550" s="69">
        <f>L542</f>
        <v>277321.12</v>
      </c>
      <c r="K550" s="69">
        <f>SUM(F550:J550)</f>
        <v>4808290.0299999993</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1661618.4700000002</v>
      </c>
      <c r="G552" s="69">
        <f>L529</f>
        <v>111524.48999999999</v>
      </c>
      <c r="H552" s="69">
        <f>L534</f>
        <v>135615.35</v>
      </c>
      <c r="I552" s="69">
        <f>L539</f>
        <v>1660.27</v>
      </c>
      <c r="J552" s="69">
        <f>L544</f>
        <v>111483.88</v>
      </c>
      <c r="K552" s="69">
        <f>SUM(F552:J552)</f>
        <v>2021902.4600000004</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5225055.16</v>
      </c>
      <c r="G553" s="70">
        <f t="shared" si="42"/>
        <v>737551.83</v>
      </c>
      <c r="H553" s="70">
        <f t="shared" si="42"/>
        <v>472990.24</v>
      </c>
      <c r="I553" s="70">
        <f t="shared" si="42"/>
        <v>5790.26</v>
      </c>
      <c r="J553" s="70">
        <f t="shared" si="42"/>
        <v>388805</v>
      </c>
      <c r="K553" s="70">
        <f t="shared" si="42"/>
        <v>6830192.4900000002</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121466.25</v>
      </c>
      <c r="G563" s="18">
        <v>24994.03</v>
      </c>
      <c r="H563" s="18"/>
      <c r="I563" s="18">
        <v>778.95</v>
      </c>
      <c r="J563" s="18"/>
      <c r="K563" s="18"/>
      <c r="L563" s="69">
        <f>SUM(F563:K563)</f>
        <v>147239.23000000001</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v>7970.95</v>
      </c>
      <c r="G565" s="18">
        <v>609.72</v>
      </c>
      <c r="H565" s="18"/>
      <c r="I565" s="18">
        <v>401.5</v>
      </c>
      <c r="J565" s="18"/>
      <c r="K565" s="18">
        <v>253</v>
      </c>
      <c r="L565" s="69">
        <f>SUM(F565:K565)</f>
        <v>9235.17</v>
      </c>
      <c r="M565" s="8"/>
      <c r="N565" s="164"/>
    </row>
    <row r="566" spans="1:14" s="3" customFormat="1" ht="12.2" customHeight="1" thickTop="1" x14ac:dyDescent="0.15">
      <c r="A566" s="97" t="s">
        <v>65</v>
      </c>
      <c r="B566" s="41">
        <v>22</v>
      </c>
      <c r="C566" s="41">
        <v>8</v>
      </c>
      <c r="D566" s="115" t="s">
        <v>432</v>
      </c>
      <c r="E566" s="41"/>
      <c r="F566" s="70">
        <f t="shared" ref="F566:L566" si="44">SUM(F563:F565)</f>
        <v>129437.2</v>
      </c>
      <c r="G566" s="70">
        <f t="shared" si="44"/>
        <v>25603.75</v>
      </c>
      <c r="H566" s="70">
        <f t="shared" si="44"/>
        <v>0</v>
      </c>
      <c r="I566" s="70">
        <f t="shared" si="44"/>
        <v>1180.45</v>
      </c>
      <c r="J566" s="70">
        <f t="shared" si="44"/>
        <v>0</v>
      </c>
      <c r="K566" s="70">
        <f t="shared" si="44"/>
        <v>253</v>
      </c>
      <c r="L566" s="70">
        <f t="shared" si="44"/>
        <v>156474.40000000002</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129437.2</v>
      </c>
      <c r="G572" s="70">
        <f t="shared" ref="G572:L572" si="46">G561+G566+G571</f>
        <v>25603.75</v>
      </c>
      <c r="H572" s="70">
        <f t="shared" si="46"/>
        <v>0</v>
      </c>
      <c r="I572" s="70">
        <f t="shared" si="46"/>
        <v>1180.45</v>
      </c>
      <c r="J572" s="70">
        <f t="shared" si="46"/>
        <v>0</v>
      </c>
      <c r="K572" s="70">
        <f t="shared" si="46"/>
        <v>253</v>
      </c>
      <c r="L572" s="70">
        <f t="shared" si="46"/>
        <v>156474.40000000002</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t="s">
        <v>286</v>
      </c>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254976.48</v>
      </c>
      <c r="G583" s="18"/>
      <c r="H583" s="18">
        <v>600466.41</v>
      </c>
      <c r="I583" s="69">
        <f t="shared" si="47"/>
        <v>855442.89</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f>279843.99+36484.5</f>
        <v>316328.49</v>
      </c>
      <c r="I585" s="69">
        <f t="shared" si="47"/>
        <v>316328.49</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254976.48</v>
      </c>
      <c r="G589" s="79">
        <f t="shared" ref="G589:I589" si="48">SUM(G576:G588)</f>
        <v>0</v>
      </c>
      <c r="H589" s="79">
        <f t="shared" si="48"/>
        <v>916794.9</v>
      </c>
      <c r="I589" s="79">
        <f t="shared" si="48"/>
        <v>1171771.3799999999</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324154.64*699/980</f>
        <v>231208.25853061225</v>
      </c>
      <c r="I592" s="18"/>
      <c r="J592" s="18">
        <f>324154.64*281/980</f>
        <v>92946.381469387765</v>
      </c>
      <c r="K592" s="80">
        <f t="shared" ref="K592:K598" si="49">SUM(H592:J592)</f>
        <v>324154.64</v>
      </c>
      <c r="L592" s="23" t="s">
        <v>288</v>
      </c>
      <c r="M592" s="8"/>
      <c r="N592" s="164"/>
    </row>
    <row r="593" spans="1:14" s="3" customFormat="1" ht="12.2" customHeight="1" x14ac:dyDescent="0.15">
      <c r="A593" s="3" t="s">
        <v>638</v>
      </c>
      <c r="B593" s="22">
        <v>23</v>
      </c>
      <c r="C593" s="22">
        <v>2</v>
      </c>
      <c r="D593" s="2" t="s">
        <v>432</v>
      </c>
      <c r="E593" s="22"/>
      <c r="F593" s="78">
        <v>2722</v>
      </c>
      <c r="G593" s="79" t="s">
        <v>97</v>
      </c>
      <c r="H593" s="18">
        <v>277321.12</v>
      </c>
      <c r="I593" s="18"/>
      <c r="J593" s="18">
        <v>111483.88</v>
      </c>
      <c r="K593" s="80">
        <f t="shared" si="49"/>
        <v>388805</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v>63590.16</v>
      </c>
      <c r="K594" s="80">
        <f t="shared" si="49"/>
        <v>63590.16</v>
      </c>
      <c r="L594" s="23" t="s">
        <v>288</v>
      </c>
      <c r="M594" s="8"/>
      <c r="N594" s="164"/>
    </row>
    <row r="595" spans="1:14" s="3" customFormat="1" ht="12.2" customHeight="1" x14ac:dyDescent="0.15">
      <c r="A595" s="21" t="s">
        <v>640</v>
      </c>
      <c r="B595" s="22">
        <v>23</v>
      </c>
      <c r="C595" s="22">
        <v>4</v>
      </c>
      <c r="D595" s="2" t="s">
        <v>432</v>
      </c>
      <c r="E595" s="22"/>
      <c r="F595" s="78">
        <v>2724</v>
      </c>
      <c r="G595" s="79" t="s">
        <v>97</v>
      </c>
      <c r="H595" s="18">
        <v>13648.68</v>
      </c>
      <c r="I595" s="18"/>
      <c r="J595" s="18">
        <v>32028.27</v>
      </c>
      <c r="K595" s="80">
        <f t="shared" si="49"/>
        <v>45676.95</v>
      </c>
      <c r="L595" s="23" t="s">
        <v>288</v>
      </c>
      <c r="M595" s="8"/>
      <c r="N595" s="164"/>
    </row>
    <row r="596" spans="1:14" s="3" customFormat="1" ht="12.2" customHeight="1" x14ac:dyDescent="0.15">
      <c r="A596" s="103" t="s">
        <v>652</v>
      </c>
      <c r="B596" s="22">
        <v>23</v>
      </c>
      <c r="C596" s="22">
        <v>5</v>
      </c>
      <c r="D596" s="2" t="s">
        <v>432</v>
      </c>
      <c r="E596" s="22"/>
      <c r="F596" s="78">
        <v>2725</v>
      </c>
      <c r="G596" s="79" t="s">
        <v>97</v>
      </c>
      <c r="H596" s="18">
        <v>11666.51</v>
      </c>
      <c r="I596" s="18"/>
      <c r="J596" s="18">
        <v>6341.67</v>
      </c>
      <c r="K596" s="80">
        <f t="shared" si="49"/>
        <v>18008.18</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533844.56853061216</v>
      </c>
      <c r="I599" s="81">
        <f>SUM(I592:I598)</f>
        <v>0</v>
      </c>
      <c r="J599" s="81">
        <f>SUM(J592:J598)</f>
        <v>306390.36146938778</v>
      </c>
      <c r="K599" s="81">
        <f>SUM(K592:K598)</f>
        <v>840234.93</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121808.32+3064.6*699/980</f>
        <v>123994.19285714286</v>
      </c>
      <c r="I605" s="18"/>
      <c r="J605" s="18">
        <f>73808.82+3064.6*281/980</f>
        <v>74687.547142857147</v>
      </c>
      <c r="K605" s="80">
        <f>SUM(H605:J605)</f>
        <v>198681.74</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123994.19285714286</v>
      </c>
      <c r="I606" s="81">
        <f>SUM(I603:I605)</f>
        <v>0</v>
      </c>
      <c r="J606" s="81">
        <f>SUM(J603:J605)</f>
        <v>74687.547142857147</v>
      </c>
      <c r="K606" s="81">
        <f>SUM(K603:K605)</f>
        <v>198681.74</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1908846.3399999999</v>
      </c>
      <c r="H618" s="80">
        <f>SUM(F52)</f>
        <v>1908846.34</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196407.28999999998</v>
      </c>
      <c r="H619" s="80">
        <f>SUM(G52)</f>
        <v>196407.29</v>
      </c>
      <c r="I619" s="87" t="s">
        <v>872</v>
      </c>
      <c r="J619" s="80">
        <f>G619-H619</f>
        <v>0</v>
      </c>
      <c r="K619" s="80"/>
      <c r="L619" s="80"/>
      <c r="M619" s="8"/>
    </row>
    <row r="620" spans="1:14" s="3" customFormat="1" ht="12.2" customHeight="1" x14ac:dyDescent="0.15">
      <c r="A620" s="74"/>
      <c r="B620" s="22"/>
      <c r="C620" s="22"/>
      <c r="D620" s="22"/>
      <c r="E620" s="22"/>
      <c r="F620" s="87" t="s">
        <v>685</v>
      </c>
      <c r="G620" s="80">
        <f>SUM(H19)</f>
        <v>211018.22</v>
      </c>
      <c r="H620" s="80">
        <f>SUM(H52)</f>
        <v>211018.21999999997</v>
      </c>
      <c r="I620" s="87" t="s">
        <v>873</v>
      </c>
      <c r="J620" s="80">
        <f>G620-H620</f>
        <v>0</v>
      </c>
      <c r="K620" s="80"/>
      <c r="L620" s="80"/>
      <c r="M620" s="8"/>
    </row>
    <row r="621" spans="1:14" s="3" customFormat="1" ht="12.2" customHeight="1" x14ac:dyDescent="0.15">
      <c r="A621" s="74"/>
      <c r="B621" s="22"/>
      <c r="C621" s="22"/>
      <c r="D621" s="22"/>
      <c r="E621" s="22"/>
      <c r="F621" s="87" t="s">
        <v>686</v>
      </c>
      <c r="G621" s="80">
        <f>SUM(I19)</f>
        <v>215641.29</v>
      </c>
      <c r="H621" s="80">
        <f>SUM(I52)</f>
        <v>215641.29</v>
      </c>
      <c r="I621" s="87" t="s">
        <v>874</v>
      </c>
      <c r="J621" s="80">
        <f>G621-H621</f>
        <v>0</v>
      </c>
      <c r="K621" s="80"/>
      <c r="L621" s="80"/>
      <c r="M621" s="8"/>
    </row>
    <row r="622" spans="1:14" s="3" customFormat="1" ht="12.2" customHeight="1" x14ac:dyDescent="0.15">
      <c r="A622" s="74"/>
      <c r="B622" s="22"/>
      <c r="C622" s="22"/>
      <c r="D622" s="22"/>
      <c r="E622" s="22"/>
      <c r="F622" s="87" t="s">
        <v>687</v>
      </c>
      <c r="G622" s="80">
        <f>SUM(J19)</f>
        <v>1734610.25</v>
      </c>
      <c r="H622" s="80">
        <f>SUM(J52)</f>
        <v>1734610.25</v>
      </c>
      <c r="I622" s="87" t="s">
        <v>875</v>
      </c>
      <c r="J622" s="80">
        <f>G622-H622</f>
        <v>0</v>
      </c>
      <c r="K622" s="80"/>
      <c r="L622" s="80"/>
      <c r="M622" s="8"/>
    </row>
    <row r="623" spans="1:14" s="3" customFormat="1" ht="12.2" customHeight="1" x14ac:dyDescent="0.15">
      <c r="A623" s="74"/>
      <c r="B623" s="22"/>
      <c r="C623" s="22"/>
      <c r="D623" s="22"/>
      <c r="E623" s="22"/>
      <c r="F623" s="87" t="s">
        <v>861</v>
      </c>
      <c r="G623" s="80">
        <f>F51</f>
        <v>1363046.79</v>
      </c>
      <c r="H623" s="80">
        <f>F477</f>
        <v>1363046.7899999991</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153512.25</v>
      </c>
      <c r="H624" s="80">
        <f>G477</f>
        <v>153512.25</v>
      </c>
      <c r="I624" s="87" t="s">
        <v>102</v>
      </c>
      <c r="J624" s="80">
        <f t="shared" si="51"/>
        <v>0</v>
      </c>
      <c r="K624" s="80"/>
      <c r="L624" s="80"/>
      <c r="M624" s="8"/>
    </row>
    <row r="625" spans="1:13" s="3" customFormat="1" ht="12.2" customHeight="1" x14ac:dyDescent="0.15">
      <c r="A625" s="74"/>
      <c r="B625" s="22"/>
      <c r="C625" s="22"/>
      <c r="D625" s="22"/>
      <c r="E625" s="22"/>
      <c r="F625" s="86" t="s">
        <v>863</v>
      </c>
      <c r="G625" s="80">
        <f>H51</f>
        <v>16927.21</v>
      </c>
      <c r="H625" s="80">
        <f>H477</f>
        <v>16927.209999999963</v>
      </c>
      <c r="I625" s="87" t="s">
        <v>103</v>
      </c>
      <c r="J625" s="80">
        <f t="shared" si="51"/>
        <v>3.637978807091713E-11</v>
      </c>
      <c r="K625" s="80"/>
      <c r="L625" s="80"/>
      <c r="M625" s="8"/>
    </row>
    <row r="626" spans="1:13" s="3" customFormat="1" ht="12.2" customHeight="1" x14ac:dyDescent="0.15">
      <c r="A626" s="74"/>
      <c r="B626" s="22"/>
      <c r="C626" s="22"/>
      <c r="D626" s="22"/>
      <c r="E626" s="22"/>
      <c r="F626" s="86" t="s">
        <v>864</v>
      </c>
      <c r="G626" s="80">
        <f>I51</f>
        <v>215641.29</v>
      </c>
      <c r="H626" s="80">
        <f>I477</f>
        <v>215641.29</v>
      </c>
      <c r="I626" s="87" t="s">
        <v>104</v>
      </c>
      <c r="J626" s="80">
        <f t="shared" si="51"/>
        <v>0</v>
      </c>
      <c r="K626" s="80"/>
      <c r="L626" s="80"/>
      <c r="M626" s="8"/>
    </row>
    <row r="627" spans="1:13" s="3" customFormat="1" ht="12.2" customHeight="1" x14ac:dyDescent="0.15">
      <c r="A627" s="21"/>
      <c r="B627" s="22"/>
      <c r="C627" s="22"/>
      <c r="D627" s="22"/>
      <c r="E627" s="22"/>
      <c r="F627" s="86" t="s">
        <v>865</v>
      </c>
      <c r="G627" s="80">
        <f>J51</f>
        <v>1734610.25</v>
      </c>
      <c r="H627" s="80">
        <f>J477</f>
        <v>1734610.25</v>
      </c>
      <c r="I627" s="87" t="s">
        <v>105</v>
      </c>
      <c r="J627" s="80">
        <f t="shared" si="51"/>
        <v>0</v>
      </c>
      <c r="K627" s="67"/>
      <c r="L627" s="69"/>
      <c r="M627" s="8"/>
    </row>
    <row r="628" spans="1:13" s="3" customFormat="1" ht="12.2" customHeight="1" x14ac:dyDescent="0.15">
      <c r="A628" s="21"/>
      <c r="B628" s="22"/>
      <c r="C628" s="22"/>
      <c r="D628" s="22"/>
      <c r="E628" s="22"/>
      <c r="F628" s="86" t="s">
        <v>658</v>
      </c>
      <c r="G628" s="80">
        <f>F194</f>
        <v>25265572.219999999</v>
      </c>
      <c r="H628" s="80">
        <f>SUM(F469)</f>
        <v>25265572.219999999</v>
      </c>
      <c r="I628" s="87" t="s">
        <v>106</v>
      </c>
      <c r="J628" s="80">
        <f>G628-H628</f>
        <v>0</v>
      </c>
      <c r="K628" s="67"/>
      <c r="L628" s="69"/>
      <c r="M628" s="8"/>
    </row>
    <row r="629" spans="1:13" s="3" customFormat="1" ht="12.2" customHeight="1" x14ac:dyDescent="0.15">
      <c r="A629" s="21"/>
      <c r="B629" s="22"/>
      <c r="C629" s="22"/>
      <c r="D629" s="22"/>
      <c r="E629" s="22"/>
      <c r="F629" s="86" t="s">
        <v>659</v>
      </c>
      <c r="G629" s="80">
        <f>G194</f>
        <v>463142.88</v>
      </c>
      <c r="H629" s="80">
        <f>SUM(G469)</f>
        <v>463142.88</v>
      </c>
      <c r="I629" s="87" t="s">
        <v>107</v>
      </c>
      <c r="J629" s="80">
        <f>G629-H629</f>
        <v>0</v>
      </c>
      <c r="K629" s="67"/>
      <c r="L629" s="69"/>
      <c r="M629" s="8"/>
    </row>
    <row r="630" spans="1:13" s="3" customFormat="1" ht="12.2" customHeight="1" x14ac:dyDescent="0.15">
      <c r="A630" s="21"/>
      <c r="B630" s="22"/>
      <c r="C630" s="22"/>
      <c r="D630" s="22"/>
      <c r="E630" s="22"/>
      <c r="F630" s="86" t="s">
        <v>660</v>
      </c>
      <c r="G630" s="80">
        <f>H194</f>
        <v>1430342.4</v>
      </c>
      <c r="H630" s="80">
        <f>SUM(H469)</f>
        <v>1430342.4</v>
      </c>
      <c r="I630" s="87" t="s">
        <v>108</v>
      </c>
      <c r="J630" s="80">
        <f>G630-H630</f>
        <v>0</v>
      </c>
      <c r="K630" s="67"/>
      <c r="L630" s="69"/>
      <c r="M630" s="8"/>
    </row>
    <row r="631" spans="1:13" s="3" customFormat="1" ht="12.2" customHeight="1" x14ac:dyDescent="0.15">
      <c r="A631" s="21"/>
      <c r="B631" s="22"/>
      <c r="C631" s="22"/>
      <c r="D631" s="22"/>
      <c r="E631" s="22"/>
      <c r="F631" s="86" t="s">
        <v>661</v>
      </c>
      <c r="G631" s="80">
        <f>I194</f>
        <v>5621.92</v>
      </c>
      <c r="H631" s="80">
        <f>SUM(I469)</f>
        <v>5621.92</v>
      </c>
      <c r="I631" s="87" t="s">
        <v>109</v>
      </c>
      <c r="J631" s="80">
        <f>G631-H631</f>
        <v>0</v>
      </c>
      <c r="K631" s="67"/>
      <c r="L631" s="69"/>
      <c r="M631" s="8"/>
    </row>
    <row r="632" spans="1:13" s="3" customFormat="1" ht="12.2" customHeight="1" x14ac:dyDescent="0.15">
      <c r="A632" s="21"/>
      <c r="B632" s="22"/>
      <c r="C632" s="22"/>
      <c r="D632" s="22"/>
      <c r="E632" s="22"/>
      <c r="F632" s="86" t="s">
        <v>662</v>
      </c>
      <c r="G632" s="80">
        <f>J194</f>
        <v>229710.51</v>
      </c>
      <c r="H632" s="80">
        <f>SUM(J469)</f>
        <v>229710.51</v>
      </c>
      <c r="I632" s="87" t="s">
        <v>110</v>
      </c>
      <c r="J632" s="80">
        <f>G632-H632</f>
        <v>0</v>
      </c>
      <c r="K632" s="67"/>
      <c r="L632" s="69"/>
      <c r="M632" s="8"/>
    </row>
    <row r="633" spans="1:13" s="3" customFormat="1" ht="12.2" customHeight="1" x14ac:dyDescent="0.15">
      <c r="A633" s="21"/>
      <c r="B633" s="22"/>
      <c r="C633" s="22"/>
      <c r="D633" s="22"/>
      <c r="E633" s="22"/>
      <c r="F633" s="86" t="s">
        <v>394</v>
      </c>
      <c r="G633" s="80">
        <f>SUM(L272)</f>
        <v>25682050.670000002</v>
      </c>
      <c r="H633" s="80">
        <f>SUM(F473)</f>
        <v>25682050.670000002</v>
      </c>
      <c r="I633" s="87" t="s">
        <v>111</v>
      </c>
      <c r="J633" s="80">
        <f t="shared" si="51"/>
        <v>0</v>
      </c>
      <c r="K633" s="67"/>
      <c r="L633" s="69"/>
      <c r="M633" s="8"/>
    </row>
    <row r="634" spans="1:13" s="3" customFormat="1" ht="12.2" customHeight="1" x14ac:dyDescent="0.15">
      <c r="A634" s="21"/>
      <c r="B634" s="22"/>
      <c r="C634" s="22"/>
      <c r="D634" s="22"/>
      <c r="E634" s="22"/>
      <c r="F634" s="86" t="s">
        <v>395</v>
      </c>
      <c r="G634" s="80">
        <f>SUM(L353)</f>
        <v>1431021.42</v>
      </c>
      <c r="H634" s="80">
        <f>SUM(H473)</f>
        <v>1431021.42</v>
      </c>
      <c r="I634" s="87" t="s">
        <v>112</v>
      </c>
      <c r="J634" s="80">
        <f>G634-H634</f>
        <v>0</v>
      </c>
      <c r="K634" s="67"/>
      <c r="L634" s="69"/>
      <c r="M634" s="8"/>
    </row>
    <row r="635" spans="1:13" s="124" customFormat="1" ht="12.2" customHeight="1" x14ac:dyDescent="0.15">
      <c r="A635" s="21"/>
      <c r="B635" s="22"/>
      <c r="C635" s="22"/>
      <c r="D635" s="22"/>
      <c r="E635" s="22"/>
      <c r="F635" s="99" t="s">
        <v>247</v>
      </c>
      <c r="G635" s="80">
        <f>I363</f>
        <v>29700.420000000002</v>
      </c>
      <c r="H635" s="80">
        <f>I370</f>
        <v>29700.420000000002</v>
      </c>
      <c r="I635" s="100" t="s">
        <v>248</v>
      </c>
      <c r="J635" s="80">
        <f>G635-H635</f>
        <v>0</v>
      </c>
      <c r="K635" s="67"/>
      <c r="L635" s="69"/>
      <c r="M635" s="123"/>
    </row>
    <row r="636" spans="1:13" s="124" customFormat="1" ht="12.2" customHeight="1" x14ac:dyDescent="0.15">
      <c r="A636" s="21"/>
      <c r="B636" s="22"/>
      <c r="C636" s="22"/>
      <c r="D636" s="22"/>
      <c r="E636" s="22"/>
      <c r="F636" s="86" t="s">
        <v>113</v>
      </c>
      <c r="G636" s="80">
        <f>SUM(L363)</f>
        <v>430438.63</v>
      </c>
      <c r="H636" s="80">
        <f>SUM(G473)</f>
        <v>430438.63</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10210</v>
      </c>
      <c r="H637" s="80">
        <f>SUM(I473)</f>
        <v>10210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229710.51</v>
      </c>
      <c r="H638" s="108">
        <f>SUM(J469)</f>
        <v>229710.51</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563495.72</v>
      </c>
      <c r="H640" s="80">
        <f>SUM(F462)</f>
        <v>563495.72</v>
      </c>
      <c r="I640" s="87" t="s">
        <v>837</v>
      </c>
      <c r="J640" s="80">
        <f t="shared" si="51"/>
        <v>0</v>
      </c>
      <c r="K640" s="67"/>
      <c r="L640" s="69"/>
      <c r="M640" s="8"/>
    </row>
    <row r="641" spans="1:13" s="3" customFormat="1" ht="12.2" customHeight="1" x14ac:dyDescent="0.15">
      <c r="A641" s="21"/>
      <c r="B641" s="22"/>
      <c r="C641" s="22"/>
      <c r="D641" s="22"/>
      <c r="E641" s="22"/>
      <c r="F641" s="86" t="s">
        <v>119</v>
      </c>
      <c r="G641" s="80">
        <f>SUM(G447)</f>
        <v>1171114.53</v>
      </c>
      <c r="H641" s="80">
        <f>SUM(G462)</f>
        <v>1171114.53</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1734610.25</v>
      </c>
      <c r="H643" s="80">
        <f>SUM(I462)</f>
        <v>1734610.25</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17600.509999999998</v>
      </c>
      <c r="H645" s="80">
        <f>H409</f>
        <v>17600.509999999998</v>
      </c>
      <c r="I645" s="87" t="s">
        <v>480</v>
      </c>
      <c r="J645" s="80">
        <f t="shared" si="51"/>
        <v>0</v>
      </c>
      <c r="K645" s="67"/>
      <c r="L645" s="69"/>
      <c r="M645" s="8"/>
    </row>
    <row r="646" spans="1:13" s="3" customFormat="1" ht="12.2" customHeight="1" x14ac:dyDescent="0.15">
      <c r="A646" s="21"/>
      <c r="B646" s="22"/>
      <c r="C646" s="22"/>
      <c r="D646" s="22"/>
      <c r="E646" s="22"/>
      <c r="F646" s="86" t="s">
        <v>664</v>
      </c>
      <c r="G646" s="80">
        <f>J184</f>
        <v>212110</v>
      </c>
      <c r="H646" s="80">
        <f>G409</f>
        <v>212110</v>
      </c>
      <c r="I646" s="87" t="s">
        <v>481</v>
      </c>
      <c r="J646" s="80">
        <f t="shared" si="51"/>
        <v>0</v>
      </c>
      <c r="K646" s="67"/>
      <c r="L646" s="69"/>
      <c r="M646" s="8"/>
    </row>
    <row r="647" spans="1:13" s="3" customFormat="1" ht="12.2" customHeight="1" x14ac:dyDescent="0.15">
      <c r="A647" s="21"/>
      <c r="B647" s="22"/>
      <c r="C647" s="22"/>
      <c r="D647" s="22"/>
      <c r="E647" s="22"/>
      <c r="F647" s="86" t="s">
        <v>662</v>
      </c>
      <c r="G647" s="80">
        <f>J194</f>
        <v>229710.51</v>
      </c>
      <c r="H647" s="80">
        <f>L409</f>
        <v>229710.51</v>
      </c>
      <c r="I647" s="87" t="s">
        <v>477</v>
      </c>
      <c r="J647" s="80">
        <f t="shared" si="51"/>
        <v>0</v>
      </c>
      <c r="K647" s="67"/>
      <c r="L647" s="69"/>
      <c r="M647" s="8"/>
    </row>
    <row r="648" spans="1:13" s="3" customFormat="1" ht="12.2" customHeight="1" x14ac:dyDescent="0.15">
      <c r="A648" s="21"/>
      <c r="B648" s="22"/>
      <c r="C648" s="22"/>
      <c r="D648" s="22"/>
      <c r="E648" s="22"/>
      <c r="F648" s="86" t="s">
        <v>51</v>
      </c>
      <c r="G648" s="80">
        <f>K599</f>
        <v>840234.93</v>
      </c>
      <c r="H648" s="80">
        <f>L209+L227+L245</f>
        <v>840234.92999999993</v>
      </c>
      <c r="I648" s="87" t="s">
        <v>396</v>
      </c>
      <c r="J648" s="80">
        <f t="shared" si="51"/>
        <v>0</v>
      </c>
      <c r="K648" s="67"/>
      <c r="L648" s="69"/>
      <c r="M648" s="8"/>
    </row>
    <row r="649" spans="1:13" s="3" customFormat="1" ht="12.2" customHeight="1" x14ac:dyDescent="0.15">
      <c r="A649" s="21"/>
      <c r="B649" s="22"/>
      <c r="C649" s="22"/>
      <c r="D649" s="22"/>
      <c r="E649" s="22"/>
      <c r="F649" s="86" t="s">
        <v>52</v>
      </c>
      <c r="G649" s="80">
        <f>K606</f>
        <v>198681.74</v>
      </c>
      <c r="H649" s="80">
        <f>(J258+J339)-(J256+J337)</f>
        <v>198681.74</v>
      </c>
      <c r="I649" s="87" t="s">
        <v>699</v>
      </c>
      <c r="J649" s="80">
        <f t="shared" si="51"/>
        <v>0</v>
      </c>
      <c r="K649" s="67"/>
      <c r="L649" s="69"/>
      <c r="M649" s="8"/>
    </row>
    <row r="650" spans="1:13" s="3" customFormat="1" ht="12.2" customHeight="1" x14ac:dyDescent="0.15">
      <c r="A650" s="21"/>
      <c r="B650" s="22"/>
      <c r="C650" s="22"/>
      <c r="D650" s="22"/>
      <c r="E650" s="22"/>
      <c r="F650" s="86" t="s">
        <v>387</v>
      </c>
      <c r="G650" s="80">
        <f>L209</f>
        <v>533844.56999999995</v>
      </c>
      <c r="H650" s="80">
        <f>H599</f>
        <v>533844.56853061216</v>
      </c>
      <c r="I650" s="87" t="s">
        <v>388</v>
      </c>
      <c r="J650" s="80">
        <f t="shared" si="51"/>
        <v>1.4693877892568707E-3</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306390.36</v>
      </c>
      <c r="H652" s="80">
        <f>J599</f>
        <v>306390.36146938778</v>
      </c>
      <c r="I652" s="87" t="s">
        <v>390</v>
      </c>
      <c r="J652" s="80">
        <f t="shared" si="51"/>
        <v>-1.4693877892568707E-3</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212110</v>
      </c>
      <c r="H656" s="80">
        <f>K267+K348</f>
        <v>212110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16666063.220000001</v>
      </c>
      <c r="G661" s="13">
        <f>(L230+L310+L360)</f>
        <v>0</v>
      </c>
      <c r="H661" s="13">
        <f>(L248+L329+L361)</f>
        <v>7894067.4500000011</v>
      </c>
      <c r="I661" s="13">
        <f>SUM(F661:H661)</f>
        <v>24560130.670000002</v>
      </c>
      <c r="J661" s="13"/>
      <c r="K661" s="13"/>
      <c r="L661" s="13"/>
      <c r="M661" s="9"/>
    </row>
    <row r="662" spans="1:13" s="3" customFormat="1" ht="12.2" customHeight="1" x14ac:dyDescent="0.2">
      <c r="A662" s="1" t="s">
        <v>127</v>
      </c>
      <c r="F662" s="13">
        <f>(L359/IF(SUM(L359:L361)=0,1,SUM(L359:L361))*(SUM(G97:G110)))</f>
        <v>205409.63529106116</v>
      </c>
      <c r="G662" s="13">
        <f>(L360/IF(SUM(L359:L361)=0,1,SUM(L359:L361))*(SUM(G97:G110)))</f>
        <v>0</v>
      </c>
      <c r="H662" s="13">
        <f>(L361/IF(SUM(L359:L361)=0,1,SUM(L359:L361))*(SUM(G97:G110)))</f>
        <v>86632.714708938889</v>
      </c>
      <c r="I662" s="13">
        <f>SUM(F662:H662)</f>
        <v>292042.35000000003</v>
      </c>
      <c r="J662"/>
      <c r="K662" s="13"/>
      <c r="L662" s="13"/>
      <c r="M662" s="8"/>
    </row>
    <row r="663" spans="1:13" s="3" customFormat="1" ht="12.2" customHeight="1" x14ac:dyDescent="0.2">
      <c r="A663" s="1" t="s">
        <v>128</v>
      </c>
      <c r="F663" s="13">
        <f>(L209+L288)-(J209+J288)</f>
        <v>534219.56999999995</v>
      </c>
      <c r="G663" s="13">
        <f>(L227+L307)-(J227+J307)</f>
        <v>0</v>
      </c>
      <c r="H663" s="13">
        <f>(L245+L326)-(J245+J326)</f>
        <v>307515.36</v>
      </c>
      <c r="I663" s="13">
        <f>SUM(F663:H663)</f>
        <v>841734.92999999993</v>
      </c>
      <c r="J663"/>
      <c r="K663" s="13"/>
      <c r="L663" s="13"/>
      <c r="M663" s="9"/>
    </row>
    <row r="664" spans="1:13" s="3" customFormat="1" ht="12.2" customHeight="1" x14ac:dyDescent="0.15">
      <c r="A664" s="141" t="s">
        <v>129</v>
      </c>
      <c r="B664" s="124"/>
      <c r="C664" s="124"/>
      <c r="D664" s="124"/>
      <c r="E664" s="124"/>
      <c r="F664" s="142">
        <f>SUM(F576:F588)+SUM(H603:H605)+SUM(L612)</f>
        <v>378970.67285714287</v>
      </c>
      <c r="G664" s="142">
        <f>SUM(G576:G588)+SUM(I603:I605)+L613</f>
        <v>0</v>
      </c>
      <c r="H664" s="142">
        <f>SUM(H576:H588)+SUM(J603:J605)+L614</f>
        <v>991482.44714285713</v>
      </c>
      <c r="I664" s="13">
        <f>SUM(F664:H664)</f>
        <v>1370453.12</v>
      </c>
      <c r="J664" s="13"/>
      <c r="K664" s="13"/>
      <c r="L664" s="13"/>
      <c r="M664" s="9"/>
    </row>
    <row r="665" spans="1:13" s="3" customFormat="1" ht="12.2" customHeight="1" x14ac:dyDescent="0.15">
      <c r="A665" s="1" t="s">
        <v>130</v>
      </c>
      <c r="F665" s="13">
        <f>F661-SUM(F662:F664)</f>
        <v>15547463.341851797</v>
      </c>
      <c r="G665" s="13">
        <f>G661-SUM(G662:G664)</f>
        <v>0</v>
      </c>
      <c r="H665" s="13">
        <f>H661-SUM(H662:H664)</f>
        <v>6508436.9281482054</v>
      </c>
      <c r="I665" s="13">
        <f>I661-SUM(I662:I664)</f>
        <v>22055900.270000003</v>
      </c>
      <c r="J665" s="13"/>
      <c r="K665" s="13"/>
      <c r="L665" s="13"/>
      <c r="M665" s="8"/>
    </row>
    <row r="666" spans="1:13" s="3" customFormat="1" ht="12.2" customHeight="1" x14ac:dyDescent="0.2">
      <c r="A666" s="1" t="s">
        <v>131</v>
      </c>
      <c r="F666" s="182">
        <v>691.54</v>
      </c>
      <c r="G666" s="183"/>
      <c r="H666" s="183">
        <v>278.51</v>
      </c>
      <c r="I666" s="13">
        <f>SUM(F666:H666)</f>
        <v>970.05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22482.38</v>
      </c>
      <c r="G668" s="13" t="e">
        <f>ROUND(G665/G666,2)</f>
        <v>#DIV/0!</v>
      </c>
      <c r="H668" s="13">
        <f>ROUND(H665/H666,2)</f>
        <v>23368.77</v>
      </c>
      <c r="I668" s="13">
        <f>ROUND(I665/I666,2)</f>
        <v>22736.87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-22.17</v>
      </c>
      <c r="I671" s="13">
        <f>SUM(F671:H671)</f>
        <v>-22.17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22482.38</v>
      </c>
      <c r="G673" s="13" t="e">
        <f>ROUND((G665+G670)/(G666+G671),2)</f>
        <v>#DIV/0!</v>
      </c>
      <c r="H673" s="13">
        <f>ROUND((H665+H670)/(H666+H671),2)</f>
        <v>25389.86</v>
      </c>
      <c r="I673" s="13">
        <f>ROUND((I665+I670)/(I666+I671),2)</f>
        <v>23268.66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64402.03</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64402.03</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0" t="str">
        <f>'DOE25'!A2</f>
        <v>Newmarket</v>
      </c>
      <c r="C5" s="321"/>
      <c r="D5" s="321"/>
      <c r="E5" s="321"/>
      <c r="F5" s="321"/>
    </row>
    <row r="8" spans="1:9" ht="18" x14ac:dyDescent="0.25">
      <c r="A8" s="239" t="s">
        <v>1548</v>
      </c>
      <c r="F8" s="246" t="s">
        <v>1566</v>
      </c>
    </row>
    <row r="9" spans="1:9" ht="15" x14ac:dyDescent="0.2">
      <c r="A9" s="237" t="s">
        <v>1549</v>
      </c>
      <c r="B9" s="240">
        <f>'DOE25'!G97</f>
        <v>285085.32</v>
      </c>
      <c r="F9" s="237" t="s">
        <v>1562</v>
      </c>
    </row>
    <row r="10" spans="1:9" ht="15" x14ac:dyDescent="0.2">
      <c r="A10" s="237" t="s">
        <v>1550</v>
      </c>
      <c r="B10" s="240">
        <f>'DOE25'!G112-'DOE25'!G97</f>
        <v>6957.0300000000279</v>
      </c>
      <c r="F10" s="237" t="s">
        <v>1563</v>
      </c>
    </row>
    <row r="11" spans="1:9" ht="15" x14ac:dyDescent="0.2">
      <c r="A11" s="237" t="s">
        <v>1551</v>
      </c>
      <c r="B11" s="240">
        <f>'DOE25'!G140</f>
        <v>6295</v>
      </c>
      <c r="F11" s="237" t="s">
        <v>1564</v>
      </c>
    </row>
    <row r="12" spans="1:9" ht="15" x14ac:dyDescent="0.2">
      <c r="A12" s="237" t="s">
        <v>1552</v>
      </c>
      <c r="B12" s="240">
        <f>'DOE25'!G170</f>
        <v>164805.53</v>
      </c>
      <c r="F12" s="237" t="s">
        <v>1565</v>
      </c>
    </row>
    <row r="13" spans="1:9" ht="15" x14ac:dyDescent="0.2">
      <c r="A13" s="237" t="s">
        <v>1553</v>
      </c>
      <c r="B13" s="240">
        <f>'DOE25'!G193-'DOE25'!G180</f>
        <v>0</v>
      </c>
      <c r="F13" s="237" t="s">
        <v>1575</v>
      </c>
    </row>
    <row r="14" spans="1:9" ht="18" x14ac:dyDescent="0.25">
      <c r="A14" s="239" t="s">
        <v>732</v>
      </c>
      <c r="B14" s="241">
        <f>SUM(B9:B13)</f>
        <v>463142.88</v>
      </c>
    </row>
    <row r="16" spans="1:9" ht="18" x14ac:dyDescent="0.25">
      <c r="A16" s="239" t="s">
        <v>783</v>
      </c>
      <c r="F16" s="246" t="s">
        <v>1567</v>
      </c>
    </row>
    <row r="17" spans="1:6" ht="15" x14ac:dyDescent="0.2">
      <c r="A17" s="237" t="s">
        <v>1554</v>
      </c>
      <c r="B17" s="240">
        <f>'DOE25'!L363-'DOE25'!L362</f>
        <v>430438.63</v>
      </c>
      <c r="F17" s="237" t="s">
        <v>1568</v>
      </c>
    </row>
    <row r="18" spans="1:6" ht="15" x14ac:dyDescent="0.2">
      <c r="A18" s="237" t="s">
        <v>1555</v>
      </c>
      <c r="B18" s="250"/>
      <c r="F18" s="246" t="s">
        <v>1592</v>
      </c>
    </row>
    <row r="19" spans="1:6" ht="18" x14ac:dyDescent="0.25">
      <c r="A19" s="239" t="s">
        <v>725</v>
      </c>
      <c r="B19" s="241">
        <f>SUM(B17:B18)</f>
        <v>430438.63</v>
      </c>
    </row>
    <row r="21" spans="1:6" ht="18.75" thickBot="1" x14ac:dyDescent="0.3">
      <c r="A21" s="239" t="s">
        <v>1556</v>
      </c>
    </row>
    <row r="22" spans="1:6" ht="18.75" thickTop="1" x14ac:dyDescent="0.25">
      <c r="A22" s="239" t="s">
        <v>1557</v>
      </c>
      <c r="B22" s="245">
        <f>B14-B19</f>
        <v>32704.25</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120808</v>
      </c>
      <c r="F31" s="237" t="s">
        <v>1572</v>
      </c>
    </row>
    <row r="33" spans="1:6" ht="15" x14ac:dyDescent="0.2">
      <c r="A33" s="237" t="s">
        <v>1790</v>
      </c>
      <c r="B33" s="240">
        <f>'DOE25'!G477</f>
        <v>153512.25</v>
      </c>
      <c r="F33" s="237" t="s">
        <v>1573</v>
      </c>
    </row>
    <row r="36" spans="1:6" ht="15" x14ac:dyDescent="0.2">
      <c r="A36" s="237" t="s">
        <v>1559</v>
      </c>
      <c r="B36" s="251">
        <v>38348</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pageSetUpPr fitToPage="1"/>
  </sheetPr>
  <dimension ref="A1:C52"/>
  <sheetViews>
    <sheetView zoomScaleNormal="100" workbookViewId="0">
      <selection activeCell="J26" sqref="J26"/>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Newmarket</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5892799.5700000003</v>
      </c>
      <c r="C9" s="166">
        <f>'DOE25'!G198+'DOE25'!G216+'DOE25'!G234+'DOE25'!G277+'DOE25'!G296+'DOE25'!G315</f>
        <v>2847314.26</v>
      </c>
    </row>
    <row r="10" spans="1:3" x14ac:dyDescent="0.2">
      <c r="A10" t="s">
        <v>772</v>
      </c>
      <c r="B10" s="176">
        <v>5204836.21</v>
      </c>
      <c r="C10" s="176">
        <v>2719686.12</v>
      </c>
    </row>
    <row r="11" spans="1:3" x14ac:dyDescent="0.2">
      <c r="A11" t="s">
        <v>773</v>
      </c>
      <c r="B11" s="176">
        <v>320795.68</v>
      </c>
      <c r="C11" s="176">
        <v>94009.82</v>
      </c>
    </row>
    <row r="12" spans="1:3" x14ac:dyDescent="0.2">
      <c r="A12" t="s">
        <v>774</v>
      </c>
      <c r="B12" s="176">
        <v>367167.68</v>
      </c>
      <c r="C12" s="176">
        <f>C9-C10-C11</f>
        <v>33618.319999999658</v>
      </c>
    </row>
    <row r="13" spans="1:3" x14ac:dyDescent="0.2">
      <c r="A13" t="str">
        <f>IF(B9=B13,IF(C9=C13,"Check Total OK","Check Total Error"),"Check Total Error")</f>
        <v>Check Total OK</v>
      </c>
      <c r="B13" s="168">
        <f>SUM(B10:B12)</f>
        <v>5892799.5699999994</v>
      </c>
      <c r="C13" s="168">
        <f>SUM(C10:C12)</f>
        <v>2847314.26</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2648452.77</v>
      </c>
      <c r="C18" s="166">
        <f>'DOE25'!G199+'DOE25'!G217+'DOE25'!G235+'DOE25'!G278+'DOE25'!G297+'DOE25'!G316</f>
        <v>1009344.27</v>
      </c>
    </row>
    <row r="19" spans="1:3" x14ac:dyDescent="0.2">
      <c r="A19" t="s">
        <v>772</v>
      </c>
      <c r="B19" s="176">
        <v>1524374.59</v>
      </c>
      <c r="C19" s="176">
        <v>733035.13</v>
      </c>
    </row>
    <row r="20" spans="1:3" x14ac:dyDescent="0.2">
      <c r="A20" t="s">
        <v>773</v>
      </c>
      <c r="B20" s="176">
        <v>1000642.58</v>
      </c>
      <c r="C20" s="176">
        <f>191054.69+19035.09</f>
        <v>210089.78</v>
      </c>
    </row>
    <row r="21" spans="1:3" x14ac:dyDescent="0.2">
      <c r="A21" t="s">
        <v>774</v>
      </c>
      <c r="B21" s="176">
        <v>123435.6</v>
      </c>
      <c r="C21" s="176">
        <f>C18-C19-C20</f>
        <v>66219.360000000015</v>
      </c>
    </row>
    <row r="22" spans="1:3" x14ac:dyDescent="0.2">
      <c r="A22" t="str">
        <f>IF(B18=B22,IF(C18=C22,"Check Total OK","Check Total Error"),"Check Total Error")</f>
        <v>Check Total OK</v>
      </c>
      <c r="B22" s="168">
        <f>SUM(B19:B21)</f>
        <v>2648452.77</v>
      </c>
      <c r="C22" s="168">
        <f>SUM(C19:C21)</f>
        <v>1009344.27</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186670</v>
      </c>
      <c r="C36" s="172">
        <f>'DOE25'!G201+'DOE25'!G219+'DOE25'!G237+'DOE25'!G280+'DOE25'!G299+'DOE25'!G318</f>
        <v>42620.340000000004</v>
      </c>
    </row>
    <row r="37" spans="1:3" x14ac:dyDescent="0.2">
      <c r="A37" t="s">
        <v>772</v>
      </c>
      <c r="B37" s="176">
        <v>11050</v>
      </c>
      <c r="C37" s="176">
        <f>B37*(0.1964+0.0765)</f>
        <v>3015.5449999999996</v>
      </c>
    </row>
    <row r="38" spans="1:3" x14ac:dyDescent="0.2">
      <c r="A38" t="s">
        <v>773</v>
      </c>
      <c r="B38" s="176"/>
      <c r="C38" s="176"/>
    </row>
    <row r="39" spans="1:3" x14ac:dyDescent="0.2">
      <c r="A39" t="s">
        <v>774</v>
      </c>
      <c r="B39" s="176">
        <v>175620</v>
      </c>
      <c r="C39" s="176">
        <f>C36-C37</f>
        <v>39604.795000000006</v>
      </c>
    </row>
    <row r="40" spans="1:3" x14ac:dyDescent="0.2">
      <c r="A40" t="str">
        <f>IF(B36=B40,IF(C36=C40,"Check Total OK","Check Total Error"),"Check Total Error")</f>
        <v>Check Total OK</v>
      </c>
      <c r="B40" s="168">
        <f>SUM(B37:B39)</f>
        <v>186670</v>
      </c>
      <c r="C40" s="168">
        <f>SUM(C37:C39)</f>
        <v>42620.340000000004</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fitToHeight="0"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40" sqref="D4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Newmarket</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14397368.159999998</v>
      </c>
      <c r="D5" s="19">
        <f>SUM('DOE25'!L198:L201)+SUM('DOE25'!L216:L219)+SUM('DOE25'!L234:L237)-F5-G5-H5</f>
        <v>14328984.199999997</v>
      </c>
      <c r="E5" s="179"/>
      <c r="F5" s="180"/>
      <c r="G5" s="19">
        <f>SUM('DOE25'!J198:J201)+SUM('DOE25'!J216:J219)+SUM('DOE25'!J234:J237)</f>
        <v>36628.910000000003</v>
      </c>
      <c r="H5" s="19">
        <f>SUM('DOE25'!K198:K201)+SUM('DOE25'!K216:K219)+SUM('DOE25'!K234:K237)</f>
        <v>31755.050000000003</v>
      </c>
      <c r="I5" s="191"/>
    </row>
    <row r="6" spans="1:9" x14ac:dyDescent="0.2">
      <c r="A6" s="31">
        <v>2100</v>
      </c>
      <c r="B6" t="s">
        <v>793</v>
      </c>
      <c r="C6" s="205">
        <f t="shared" si="0"/>
        <v>1796024.3299999998</v>
      </c>
      <c r="D6" s="19">
        <f>'DOE25'!L203+'DOE25'!L221+'DOE25'!L239-F6-G6-H6</f>
        <v>1791204.72</v>
      </c>
      <c r="E6" s="179"/>
      <c r="F6" s="180"/>
      <c r="G6" s="19">
        <f>'DOE25'!J203+'DOE25'!J221+'DOE25'!J239</f>
        <v>682.7</v>
      </c>
      <c r="H6" s="19">
        <f>'DOE25'!K203+'DOE25'!K221+'DOE25'!K239</f>
        <v>4136.91</v>
      </c>
      <c r="I6" s="191"/>
    </row>
    <row r="7" spans="1:9" x14ac:dyDescent="0.2">
      <c r="A7" s="31">
        <v>2200</v>
      </c>
      <c r="B7" t="s">
        <v>817</v>
      </c>
      <c r="C7" s="205">
        <f t="shared" si="0"/>
        <v>1288922.33</v>
      </c>
      <c r="D7" s="19">
        <f>'DOE25'!L204+'DOE25'!L222+'DOE25'!L240-F7-G7-H7</f>
        <v>1138526.83</v>
      </c>
      <c r="E7" s="179"/>
      <c r="F7" s="180"/>
      <c r="G7" s="19">
        <f>'DOE25'!J204+'DOE25'!J222+'DOE25'!J240</f>
        <v>150055.5</v>
      </c>
      <c r="H7" s="19">
        <f>'DOE25'!K204+'DOE25'!K222+'DOE25'!K240</f>
        <v>340</v>
      </c>
      <c r="I7" s="191"/>
    </row>
    <row r="8" spans="1:9" x14ac:dyDescent="0.2">
      <c r="A8" s="31">
        <v>2300</v>
      </c>
      <c r="B8" t="s">
        <v>794</v>
      </c>
      <c r="C8" s="205">
        <f t="shared" si="0"/>
        <v>1234149.67</v>
      </c>
      <c r="D8" s="179"/>
      <c r="E8" s="19">
        <f>'DOE25'!L205+'DOE25'!L223+'DOE25'!L241-F8-G8-H8-D9-D11</f>
        <v>1216071.67</v>
      </c>
      <c r="F8" s="180"/>
      <c r="G8" s="19">
        <f>'DOE25'!J205+'DOE25'!J223+'DOE25'!J241</f>
        <v>0</v>
      </c>
      <c r="H8" s="19">
        <f>'DOE25'!K205+'DOE25'!K223+'DOE25'!K241</f>
        <v>18078</v>
      </c>
      <c r="I8" s="191"/>
    </row>
    <row r="9" spans="1:9" ht="14.25" x14ac:dyDescent="0.2">
      <c r="A9" s="31">
        <v>2310</v>
      </c>
      <c r="B9" s="71" t="s">
        <v>884</v>
      </c>
      <c r="C9" s="205">
        <f t="shared" si="0"/>
        <v>0</v>
      </c>
      <c r="D9" s="180"/>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1327654.8599999999</v>
      </c>
      <c r="D12" s="19">
        <f>'DOE25'!L206+'DOE25'!L224+'DOE25'!L242-F12-G12-H12</f>
        <v>1324430.96</v>
      </c>
      <c r="E12" s="179"/>
      <c r="F12" s="180"/>
      <c r="G12" s="19">
        <f>'DOE25'!J206+'DOE25'!J224+'DOE25'!J242</f>
        <v>126.9</v>
      </c>
      <c r="H12" s="19">
        <f>'DOE25'!K206+'DOE25'!K224+'DOE25'!K242</f>
        <v>3097</v>
      </c>
      <c r="I12" s="191"/>
    </row>
    <row r="13" spans="1:9" x14ac:dyDescent="0.2">
      <c r="A13" s="31">
        <v>2500</v>
      </c>
      <c r="B13" t="s">
        <v>795</v>
      </c>
      <c r="C13" s="205">
        <f t="shared" si="0"/>
        <v>365807.39</v>
      </c>
      <c r="D13" s="179"/>
      <c r="E13" s="19">
        <f>'DOE25'!L207+'DOE25'!L225+'DOE25'!L243-F13-G13-H13</f>
        <v>365235.79000000004</v>
      </c>
      <c r="F13" s="180"/>
      <c r="G13" s="19">
        <f>'DOE25'!J207+'DOE25'!J225+'DOE25'!J243</f>
        <v>0</v>
      </c>
      <c r="H13" s="19">
        <f>'DOE25'!K207+'DOE25'!K225+'DOE25'!K243</f>
        <v>571.6</v>
      </c>
      <c r="I13" s="191"/>
    </row>
    <row r="14" spans="1:9" x14ac:dyDescent="0.2">
      <c r="A14" s="31">
        <v>2600</v>
      </c>
      <c r="B14" t="s">
        <v>815</v>
      </c>
      <c r="C14" s="205">
        <f t="shared" si="0"/>
        <v>1732806.57</v>
      </c>
      <c r="D14" s="19">
        <f>'DOE25'!L208+'DOE25'!L226+'DOE25'!L244-F14-G14-H14</f>
        <v>1731513.58</v>
      </c>
      <c r="E14" s="179"/>
      <c r="F14" s="180"/>
      <c r="G14" s="19">
        <f>'DOE25'!J208+'DOE25'!J226+'DOE25'!J244</f>
        <v>1292.99</v>
      </c>
      <c r="H14" s="19">
        <f>'DOE25'!K208+'DOE25'!K226+'DOE25'!K244</f>
        <v>0</v>
      </c>
      <c r="I14" s="191"/>
    </row>
    <row r="15" spans="1:9" x14ac:dyDescent="0.2">
      <c r="A15" s="31">
        <v>2700</v>
      </c>
      <c r="B15" t="s">
        <v>796</v>
      </c>
      <c r="C15" s="205">
        <f t="shared" si="0"/>
        <v>840234.92999999993</v>
      </c>
      <c r="D15" s="19">
        <f>'DOE25'!L209+'DOE25'!L227+'DOE25'!L245-F15-G15-H15</f>
        <v>840234.92999999993</v>
      </c>
      <c r="E15" s="179"/>
      <c r="F15" s="180"/>
      <c r="G15" s="19">
        <f>'DOE25'!J209+'DOE25'!J227+'DOE25'!J245</f>
        <v>0</v>
      </c>
      <c r="H15" s="19">
        <f>'DOE25'!K209+'DOE25'!K227+'DOE25'!K245</f>
        <v>0</v>
      </c>
      <c r="I15" s="191"/>
    </row>
    <row r="16" spans="1:9" x14ac:dyDescent="0.2">
      <c r="A16" s="31">
        <v>2800</v>
      </c>
      <c r="B16" t="s">
        <v>797</v>
      </c>
      <c r="C16" s="205">
        <f t="shared" si="0"/>
        <v>72431.5</v>
      </c>
      <c r="D16" s="179"/>
      <c r="E16" s="19">
        <f>'DOE25'!L210+'DOE25'!L228+'DOE25'!L246-F16-G16-H16</f>
        <v>72431.5</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672292.55</v>
      </c>
      <c r="D22" s="179"/>
      <c r="E22" s="179"/>
      <c r="F22" s="179"/>
      <c r="G22" s="19">
        <f>'DOE25'!L256+'DOE25'!L337</f>
        <v>672292.55</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2098977.5</v>
      </c>
      <c r="D25" s="179"/>
      <c r="E25" s="179"/>
      <c r="F25" s="190"/>
      <c r="G25" s="179"/>
      <c r="H25" s="179"/>
      <c r="I25" s="189">
        <f>'DOE25'!L261+'DOE25'!L262+'DOE25'!L342+'DOE25'!L343</f>
        <v>2098977.5</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400738.21</v>
      </c>
      <c r="D29" s="211">
        <f>'DOE25'!L359+'DOE25'!L360+'DOE25'!L361-'DOE25'!I368-F29-G29-H29-F39</f>
        <v>400738.21</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1074292.3</v>
      </c>
      <c r="D31" s="19">
        <f>'DOE25'!L291+'DOE25'!L310+'DOE25'!L329+'DOE25'!L334+'DOE25'!L335+'DOE25'!L336-F31-G31-H31</f>
        <v>1063647.56</v>
      </c>
      <c r="E31" s="179"/>
      <c r="F31" s="180"/>
      <c r="G31" s="19">
        <f>'DOE25'!J291+'DOE25'!J310+'DOE25'!J329+'DOE25'!J334+'DOE25'!J335+'DOE25'!J336</f>
        <v>9894.7400000000016</v>
      </c>
      <c r="H31" s="19">
        <f>'DOE25'!K291+'DOE25'!K310+'DOE25'!K329+'DOE25'!K334+'DOE25'!K335+'DOE25'!K336</f>
        <v>750</v>
      </c>
      <c r="I31" s="191"/>
    </row>
    <row r="32" spans="1:9" ht="12" thickBot="1" x14ac:dyDescent="0.25">
      <c r="C32" s="206"/>
      <c r="G32" s="187"/>
      <c r="H32" s="187"/>
      <c r="I32" s="193"/>
    </row>
    <row r="33" spans="1:9" ht="12" thickTop="1" x14ac:dyDescent="0.2">
      <c r="B33" t="s">
        <v>806</v>
      </c>
      <c r="D33" s="181">
        <f t="shared" ref="D33:I33" si="1">SUM(D5:D31)</f>
        <v>22619280.989999998</v>
      </c>
      <c r="E33" s="181">
        <f t="shared" si="1"/>
        <v>1653738.96</v>
      </c>
      <c r="F33" s="181">
        <f t="shared" si="1"/>
        <v>0</v>
      </c>
      <c r="G33" s="181">
        <f t="shared" si="1"/>
        <v>870974.29</v>
      </c>
      <c r="H33" s="181">
        <f t="shared" si="1"/>
        <v>58728.560000000005</v>
      </c>
      <c r="I33" s="181">
        <f t="shared" si="1"/>
        <v>2098977.5</v>
      </c>
    </row>
    <row r="34" spans="1:9" ht="12" thickBot="1" x14ac:dyDescent="0.25"/>
    <row r="35" spans="1:9" ht="12" thickBot="1" x14ac:dyDescent="0.25">
      <c r="B35" s="187" t="s">
        <v>827</v>
      </c>
      <c r="D35" s="188">
        <f>E33</f>
        <v>1653738.96</v>
      </c>
      <c r="E35" s="184"/>
      <c r="F35" s="294" t="s">
        <v>1596</v>
      </c>
      <c r="G35" s="295"/>
      <c r="H35" s="295"/>
      <c r="I35" s="296"/>
    </row>
    <row r="36" spans="1:9" ht="12" thickTop="1" x14ac:dyDescent="0.2">
      <c r="B36" t="s">
        <v>807</v>
      </c>
      <c r="D36" s="19">
        <f>D33</f>
        <v>22619280.989999998</v>
      </c>
      <c r="F36" s="297" t="s">
        <v>1594</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c r="G42" s="304" t="str">
        <f>IF(F42=0,"&lt;&lt;&lt;&lt;&lt; YOU HAVE NOT ENTERED YOUR CAPITALIZATION THRESHOLD!!","")</f>
        <v>&lt;&lt;&lt;&lt;&lt; YOU HAVE NOT ENTERED YOUR CAPITALIZATION THRESHOLD!!</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2"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15" zoomScale="89" zoomScaleNormal="89" workbookViewId="0">
      <selection activeCell="A33" sqref="A33"/>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Newmarket</v>
      </c>
      <c r="B2">
        <f>'DOE25'!B2</f>
        <v>399</v>
      </c>
      <c r="J2" s="223" t="s">
        <v>1799</v>
      </c>
      <c r="K2" s="308">
        <f>SUM('DOE25'!L198:L201)+SUM('DOE25'!L277:L280)</f>
        <v>10103042.969999999</v>
      </c>
      <c r="L2" s="308">
        <f>'DOE25'!L203+'DOE25'!L282</f>
        <v>1445983.4</v>
      </c>
      <c r="M2" s="308">
        <f>'DOE25'!L204+'DOE25'!L283</f>
        <v>1002150.0700000001</v>
      </c>
      <c r="N2" s="308">
        <f>'DOE25'!L206+'DOE25'!L285</f>
        <v>841909.77</v>
      </c>
      <c r="O2" s="316">
        <f>'Salaries-Benefits'!B10+'Salaries-Benefits'!B12+'Salaries-Benefits'!B19+'Salaries-Benefits'!B21+'Salaries-Benefits'!B28+'Salaries-Benefits'!B30+'Salaries-Benefits'!B37+'Salaries-Benefits'!B39</f>
        <v>7406484.0799999991</v>
      </c>
      <c r="P2" s="316">
        <f>'Salaries-Benefits'!B11+'Salaries-Benefits'!B20+'Salaries-Benefits'!B29+'Salaries-Benefits'!B38</f>
        <v>1321438.26</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-1.7040800303220749E-3</v>
      </c>
      <c r="L3" s="310">
        <f t="shared" ref="L3:N3" si="0">L21-L2</f>
        <v>-2.5306122843176126E-3</v>
      </c>
      <c r="M3" s="310">
        <f t="shared" si="0"/>
        <v>2.6938775554299355E-3</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16363311.779999999</v>
      </c>
      <c r="G4" s="228">
        <f>'DOE25'!L212+'DOE25'!L291</f>
        <v>16363311.780000001</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393925.18</v>
      </c>
      <c r="E5" s="219"/>
      <c r="F5" s="231">
        <f>D5+E5</f>
        <v>393925.18</v>
      </c>
      <c r="G5" s="222"/>
      <c r="H5" s="222"/>
      <c r="J5" s="71" t="s">
        <v>1798</v>
      </c>
      <c r="K5" s="20"/>
      <c r="L5" s="20"/>
      <c r="M5" s="20"/>
      <c r="N5" s="20"/>
      <c r="O5" s="20"/>
      <c r="P5" s="20"/>
      <c r="Q5" s="20"/>
    </row>
    <row r="6" spans="1:22" x14ac:dyDescent="0.2">
      <c r="A6" t="str" cm="1">
        <f t="array" ref="A6">IFERROR(INDEX('School Tables'!$A$4:$G$365,'School Tables'!$J4,3),"")</f>
        <v>Newmarket Elementary School</v>
      </c>
      <c r="B6" s="229">
        <f>IFERROR(VLOOKUP(A6,'School Tables'!$C$3:$D$365,2,FALSE),"")</f>
        <v>21300</v>
      </c>
      <c r="C6" s="222" t="str">
        <f>IFERROR(INDEX('School Tables'!$B$3:$B$365,MATCH('School Level Expenditures'!B6,'School Tables'!$D$3:$D$365,0)),"")</f>
        <v>Newmarket</v>
      </c>
      <c r="D6" s="219">
        <v>10301868.439999999</v>
      </c>
      <c r="E6" s="219">
        <f>'DOE25'!L291-'DOE25'!L291*225/980</f>
        <v>598908.17214285722</v>
      </c>
      <c r="F6" s="231">
        <f t="shared" ref="F6:F20" si="2">D6+E6</f>
        <v>10900776.612142857</v>
      </c>
      <c r="G6" s="222"/>
      <c r="H6" s="222"/>
      <c r="J6" t="str">
        <f t="shared" ref="J6:J20" si="3">A6</f>
        <v>Newmarket Elementary School</v>
      </c>
      <c r="K6" s="20">
        <f>6636480.09+701351.27*(474/980)</f>
        <v>6975705.0920204083</v>
      </c>
      <c r="L6" s="20">
        <f>865272.6+331204.68*474/980</f>
        <v>1025467.5166530611</v>
      </c>
      <c r="M6" s="307">
        <f>239234.59+908402.76*474/980</f>
        <v>678604.90453061229</v>
      </c>
      <c r="N6" s="20">
        <f>592035.71</f>
        <v>592035.71</v>
      </c>
      <c r="O6" s="20">
        <f>3463621.72+11050*474/980</f>
        <v>3468966.3118367349</v>
      </c>
      <c r="P6" s="20">
        <v>920435.84</v>
      </c>
      <c r="Q6" s="20">
        <f>113379.54+5933.82*474/980</f>
        <v>116249.57130612244</v>
      </c>
    </row>
    <row r="7" spans="1:22" x14ac:dyDescent="0.2">
      <c r="A7" t="str" cm="1">
        <f t="array" ref="A7">IFERROR(INDEX('School Tables'!$A$4:$G$365,'School Tables'!$J5,3),"")</f>
        <v>Newmarket Jr.-Sr. High (Elem)</v>
      </c>
      <c r="B7" s="229">
        <f>IFERROR(VLOOKUP(A7,'School Tables'!$C$3:$D$365,2,FALSE),"")</f>
        <v>26560</v>
      </c>
      <c r="C7" s="222" t="str">
        <f>IFERROR(INDEX('School Tables'!$B$3:$B$365,MATCH('School Level Expenditures'!B7,'School Tables'!$D$3:$D$365,0)),"")</f>
        <v>Newmarket</v>
      </c>
      <c r="D7" s="219">
        <v>4890127.42</v>
      </c>
      <c r="E7" s="219">
        <f>'DOE25'!L291*225/980</f>
        <v>178482.56785714289</v>
      </c>
      <c r="F7" s="231">
        <f t="shared" si="2"/>
        <v>5068609.9878571425</v>
      </c>
      <c r="G7" s="222"/>
      <c r="H7" s="222"/>
      <c r="J7" t="str">
        <f t="shared" si="3"/>
        <v>Newmarket Jr.-Sr. High (Elem)</v>
      </c>
      <c r="K7" s="20">
        <f>2966313.36+701351.27*225/980-0.01</f>
        <v>3127337.8762755105</v>
      </c>
      <c r="L7" s="20">
        <f>331204.68*225/980+344473.99</f>
        <v>420515.88081632653</v>
      </c>
      <c r="M7" s="307">
        <f>908402.76*225/980+114983.31</f>
        <v>323545.16816326533</v>
      </c>
      <c r="N7" s="20">
        <v>249874.06</v>
      </c>
      <c r="O7" s="20">
        <f>1686421.2+11050*225/980</f>
        <v>1688958.1897959183</v>
      </c>
      <c r="P7" s="20">
        <v>218624.28</v>
      </c>
      <c r="Q7" s="20">
        <f>6730.98+5933.82*225/980</f>
        <v>8093.3366326530613</v>
      </c>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15585921.039999999</v>
      </c>
      <c r="E21" s="261">
        <f>SUM(E5:E20)</f>
        <v>777390.74000000011</v>
      </c>
      <c r="F21" s="216"/>
      <c r="G21" s="216"/>
      <c r="H21" s="216"/>
      <c r="K21" s="262">
        <f t="shared" ref="K21:Q21" si="4">SUM(K5:K20)</f>
        <v>10103042.968295919</v>
      </c>
      <c r="L21" s="262">
        <f t="shared" si="4"/>
        <v>1445983.3974693876</v>
      </c>
      <c r="M21" s="262">
        <f t="shared" si="4"/>
        <v>1002150.0726938776</v>
      </c>
      <c r="N21" s="262">
        <f t="shared" si="4"/>
        <v>841909.77</v>
      </c>
      <c r="O21" s="262">
        <f t="shared" si="4"/>
        <v>5157924.5016326532</v>
      </c>
      <c r="P21" s="262">
        <f t="shared" si="4"/>
        <v>1139060.1199999999</v>
      </c>
      <c r="Q21" s="262">
        <f t="shared" si="4"/>
        <v>124342.9079387755</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1798</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4863485.12</v>
      </c>
      <c r="L36" s="19">
        <f>'DOE25'!L239+'DOE25'!L320</f>
        <v>559673.92000000004</v>
      </c>
      <c r="M36" s="19">
        <f>'DOE25'!L240+'DOE25'!L321</f>
        <v>476319.53</v>
      </c>
      <c r="N36" s="19">
        <f>'DOE25'!L242+'DOE25'!L323</f>
        <v>493958.73</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-2.6938775554299355E-3</v>
      </c>
      <c r="N37" s="310">
        <f t="shared" si="9"/>
        <v>0</v>
      </c>
    </row>
    <row r="38" spans="1:17" ht="63.75" customHeight="1" thickBot="1" x14ac:dyDescent="0.25">
      <c r="A38" s="218" t="s">
        <v>1529</v>
      </c>
      <c r="B38" s="223" t="s">
        <v>1530</v>
      </c>
      <c r="C38" s="223" t="s">
        <v>893</v>
      </c>
      <c r="D38" s="223" t="s">
        <v>783</v>
      </c>
      <c r="E38" s="223" t="s">
        <v>783</v>
      </c>
      <c r="F38" s="232">
        <f>SUM(F39:F44)</f>
        <v>7766380.2599999998</v>
      </c>
      <c r="G38" s="228">
        <f>'DOE25'!L248+'DOE25'!L329</f>
        <v>7766380.2600000007</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962484.12</v>
      </c>
      <c r="E39" s="219"/>
      <c r="F39" s="231">
        <f t="shared" ref="F39:F44" si="10">D39+E39</f>
        <v>962484.12</v>
      </c>
      <c r="G39" s="222"/>
      <c r="H39" s="222"/>
      <c r="J39" s="71" t="s">
        <v>1798</v>
      </c>
      <c r="K39" s="315"/>
      <c r="L39" s="315"/>
      <c r="M39" s="315"/>
      <c r="N39" s="315"/>
      <c r="O39" s="315"/>
      <c r="P39" s="315"/>
      <c r="Q39" s="315"/>
    </row>
    <row r="40" spans="1:17" x14ac:dyDescent="0.2">
      <c r="A40" t="str" cm="1">
        <f t="array" ref="A40">IFERROR(INDEX('School Tables'!$W$4:$AC$120,'School Tables'!$AF4,3),"")</f>
        <v>Newmarket Jr.-Sr. High School</v>
      </c>
      <c r="B40" s="229">
        <f>IFERROR(VLOOKUP(A40,'School Tables'!$Y$4:$Z$120,2,FALSE),"")</f>
        <v>23115</v>
      </c>
      <c r="C40" s="222" t="str">
        <f>IFERROR(INDEX('School Tables'!$X$4:$X$120,MATCH('School Level Expenditures'!A40,'School Tables'!$Y$4:$Y$120,0)),"")</f>
        <v>Newmarket</v>
      </c>
      <c r="D40" s="219">
        <v>6506994.5800000001</v>
      </c>
      <c r="E40" s="219">
        <v>296901.56</v>
      </c>
      <c r="F40" s="231">
        <f t="shared" si="10"/>
        <v>6803896.1399999997</v>
      </c>
      <c r="G40" s="222"/>
      <c r="H40" s="222"/>
      <c r="J40" t="str">
        <f>A40</f>
        <v>Newmarket Jr.-Sr. High School</v>
      </c>
      <c r="K40" s="20">
        <v>4863485.12</v>
      </c>
      <c r="L40" s="20">
        <v>559673.92000000004</v>
      </c>
      <c r="M40" s="307">
        <f>908402.76*281/980+215848.94</f>
        <v>476319.52730612247</v>
      </c>
      <c r="N40" s="20">
        <v>493958.73</v>
      </c>
      <c r="O40" s="20">
        <f>2245391.16+11050*281/980</f>
        <v>2248559.5783673469</v>
      </c>
      <c r="P40" s="20">
        <v>182378.14</v>
      </c>
      <c r="Q40" s="20">
        <f>17265.82+5933.82*281/980</f>
        <v>18967.252061224488</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7469478.7000000002</v>
      </c>
      <c r="E45" s="262">
        <f>SUM(E39:E44)</f>
        <v>296901.56</v>
      </c>
      <c r="K45" s="262">
        <f t="shared" ref="K45:Q45" si="11">SUM(K39:K44)</f>
        <v>4863485.12</v>
      </c>
      <c r="L45" s="262">
        <f t="shared" si="11"/>
        <v>559673.92000000004</v>
      </c>
      <c r="M45" s="262">
        <f t="shared" si="11"/>
        <v>476319.52730612247</v>
      </c>
      <c r="N45" s="262">
        <f t="shared" si="11"/>
        <v>493958.73</v>
      </c>
      <c r="O45" s="262">
        <f t="shared" si="11"/>
        <v>2248559.5783673469</v>
      </c>
      <c r="P45" s="262">
        <f t="shared" si="11"/>
        <v>182378.14</v>
      </c>
      <c r="Q45" s="262">
        <f t="shared" si="11"/>
        <v>18967.252061224488</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CcS6wmr+8T2uHEXzvIgdLjB/UUSQXiFJC3NMlSVYsL/Iz1X46oNK+abDDrNhzPWUWx7VS9GGPiS4JhbzGLv26g==" saltValue="MkxYR0NHfHr5lXRlOl+Pfg=="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G21" sqref="G2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Newmarket</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1884252.69</v>
      </c>
      <c r="D8" s="73">
        <f>'DOE25'!G9</f>
        <v>167450.26999999999</v>
      </c>
      <c r="E8" s="73">
        <f>'DOE25'!H9</f>
        <v>17677.21</v>
      </c>
      <c r="F8" s="73">
        <f>'DOE25'!I9</f>
        <v>215641.29</v>
      </c>
      <c r="G8" s="73">
        <f>'DOE25'!J9</f>
        <v>0</v>
      </c>
      <c r="H8" s="13">
        <f>SUM(C8:G8)</f>
        <v>2285021.46</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-4117.57</v>
      </c>
      <c r="D11" s="73">
        <f>'DOE25'!G12</f>
        <v>0</v>
      </c>
      <c r="E11" s="73">
        <f>'DOE25'!H12</f>
        <v>0</v>
      </c>
      <c r="F11" s="73">
        <f>'DOE25'!I12</f>
        <v>0</v>
      </c>
      <c r="G11" s="73">
        <f>'DOE25'!J12</f>
        <v>1734610.25</v>
      </c>
      <c r="H11" s="13">
        <f t="shared" si="0"/>
        <v>1730492.68</v>
      </c>
      <c r="I11" s="90"/>
    </row>
    <row r="12" spans="1:9" x14ac:dyDescent="0.2">
      <c r="A12" s="1" t="s">
        <v>143</v>
      </c>
      <c r="B12" s="6">
        <v>140</v>
      </c>
      <c r="C12" s="73">
        <f>'DOE25'!F13</f>
        <v>20183.16</v>
      </c>
      <c r="D12" s="73">
        <f>'DOE25'!G13</f>
        <v>6290.65</v>
      </c>
      <c r="E12" s="73">
        <f>'DOE25'!H13</f>
        <v>193341.01</v>
      </c>
      <c r="F12" s="73">
        <f>'DOE25'!I13</f>
        <v>0</v>
      </c>
      <c r="G12" s="73">
        <f>'DOE25'!J13</f>
        <v>0</v>
      </c>
      <c r="H12" s="13">
        <f t="shared" si="0"/>
        <v>219814.82</v>
      </c>
      <c r="I12" s="90"/>
    </row>
    <row r="13" spans="1:9" x14ac:dyDescent="0.2">
      <c r="A13" s="1" t="s">
        <v>144</v>
      </c>
      <c r="B13" s="6">
        <v>150</v>
      </c>
      <c r="C13" s="73">
        <f>'DOE25'!F14</f>
        <v>8528.06</v>
      </c>
      <c r="D13" s="73">
        <f>'DOE25'!G14</f>
        <v>14425.68</v>
      </c>
      <c r="E13" s="73">
        <f>'DOE25'!H14</f>
        <v>0</v>
      </c>
      <c r="F13" s="73">
        <f>'DOE25'!I14</f>
        <v>0</v>
      </c>
      <c r="G13" s="73">
        <f>'DOE25'!J14</f>
        <v>0</v>
      </c>
      <c r="H13" s="13">
        <f t="shared" si="0"/>
        <v>22953.739999999998</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8240.69</v>
      </c>
      <c r="E15" s="73">
        <f>'DOE25'!H16</f>
        <v>0</v>
      </c>
      <c r="F15" s="73">
        <f>'DOE25'!I16</f>
        <v>0</v>
      </c>
      <c r="G15" s="23" t="s">
        <v>288</v>
      </c>
      <c r="H15" s="13">
        <f t="shared" si="0"/>
        <v>8240.69</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1908846.3399999999</v>
      </c>
      <c r="D18" s="38">
        <f>SUM(D8:D17)</f>
        <v>196407.28999999998</v>
      </c>
      <c r="E18" s="38">
        <f>SUM(E8:E17)</f>
        <v>211018.22</v>
      </c>
      <c r="F18" s="38">
        <f>SUM(F8:F17)</f>
        <v>215641.29</v>
      </c>
      <c r="G18" s="38">
        <f>SUM(G8:G17)</f>
        <v>1734610.25</v>
      </c>
      <c r="H18" s="38">
        <f t="shared" si="0"/>
        <v>4266523.3900000006</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119541.45</v>
      </c>
      <c r="D21" s="73">
        <f>'DOE25'!G22</f>
        <v>0</v>
      </c>
      <c r="E21" s="73">
        <f>'DOE25'!H22</f>
        <v>0</v>
      </c>
      <c r="F21" s="73">
        <f>'DOE25'!I22</f>
        <v>0</v>
      </c>
      <c r="G21" s="73">
        <f>'DOE25'!J22</f>
        <v>0</v>
      </c>
      <c r="H21" s="13">
        <f t="shared" ref="H21:H31" si="1">SUM(C21:G21)</f>
        <v>119541.45</v>
      </c>
      <c r="I21" s="90"/>
    </row>
    <row r="22" spans="1:9" x14ac:dyDescent="0.2">
      <c r="A22" s="1" t="s">
        <v>151</v>
      </c>
      <c r="B22" s="6">
        <v>410</v>
      </c>
      <c r="C22" s="73">
        <f>'DOE25'!F23</f>
        <v>0</v>
      </c>
      <c r="D22" s="73">
        <f>'DOE25'!G23</f>
        <v>7807.34</v>
      </c>
      <c r="E22" s="73">
        <f>'DOE25'!H23</f>
        <v>193341.00999999998</v>
      </c>
      <c r="F22" s="73">
        <f>'DOE25'!I23</f>
        <v>0</v>
      </c>
      <c r="G22" s="73">
        <f>'DOE25'!J23</f>
        <v>0</v>
      </c>
      <c r="H22" s="13">
        <f t="shared" si="1"/>
        <v>201148.34999999998</v>
      </c>
      <c r="I22" s="90"/>
    </row>
    <row r="23" spans="1:9" x14ac:dyDescent="0.2">
      <c r="A23" s="1" t="s">
        <v>152</v>
      </c>
      <c r="B23" s="6">
        <v>420</v>
      </c>
      <c r="C23" s="73">
        <f>'DOE25'!F24</f>
        <v>426258.10000000003</v>
      </c>
      <c r="D23" s="73">
        <f>'DOE25'!G24</f>
        <v>12452.7</v>
      </c>
      <c r="E23" s="73">
        <f>'DOE25'!H24</f>
        <v>750</v>
      </c>
      <c r="F23" s="73">
        <f>'DOE25'!I24</f>
        <v>0</v>
      </c>
      <c r="G23" s="73">
        <f>'DOE25'!J24</f>
        <v>0</v>
      </c>
      <c r="H23" s="13">
        <f t="shared" si="1"/>
        <v>439460.80000000005</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22635</v>
      </c>
      <c r="E29" s="73">
        <f>'DOE25'!H30</f>
        <v>0</v>
      </c>
      <c r="F29" s="73">
        <f>'DOE25'!I30</f>
        <v>0</v>
      </c>
      <c r="G29" s="23" t="s">
        <v>288</v>
      </c>
      <c r="H29" s="13">
        <f t="shared" si="1"/>
        <v>22635</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545799.55000000005</v>
      </c>
      <c r="D31" s="38">
        <f>SUM(D21:D30)</f>
        <v>42895.040000000001</v>
      </c>
      <c r="E31" s="38">
        <f>SUM(E21:E30)</f>
        <v>194091.00999999998</v>
      </c>
      <c r="F31" s="38">
        <f>SUM(F21:F30)</f>
        <v>0</v>
      </c>
      <c r="G31" s="38">
        <f>SUM(G21:G30)</f>
        <v>0</v>
      </c>
      <c r="H31" s="38">
        <f t="shared" si="1"/>
        <v>782785.60000000009</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8240.24</v>
      </c>
      <c r="E34" s="73">
        <f>'DOE25'!H35</f>
        <v>0</v>
      </c>
      <c r="F34" s="73">
        <f>'DOE25'!I35</f>
        <v>0</v>
      </c>
      <c r="G34" s="23" t="s">
        <v>288</v>
      </c>
      <c r="H34" s="13">
        <f t="shared" ref="H34:H51" si="2">SUM(C34:G34)</f>
        <v>8240.24</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145272.01</v>
      </c>
      <c r="E39" s="23" t="s">
        <v>288</v>
      </c>
      <c r="F39" s="23" t="s">
        <v>288</v>
      </c>
      <c r="G39" s="23" t="s">
        <v>288</v>
      </c>
      <c r="H39" s="13">
        <f t="shared" si="2"/>
        <v>145272.01</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125000</v>
      </c>
      <c r="D43" s="73">
        <f>'DOE25'!G44</f>
        <v>0</v>
      </c>
      <c r="E43" s="73">
        <f>'DOE25'!H44</f>
        <v>0</v>
      </c>
      <c r="F43" s="73">
        <f>'DOE25'!I44</f>
        <v>0</v>
      </c>
      <c r="G43" s="23" t="s">
        <v>288</v>
      </c>
      <c r="H43" s="13">
        <f t="shared" si="2"/>
        <v>125000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767157</v>
      </c>
      <c r="D45" s="23" t="s">
        <v>288</v>
      </c>
      <c r="E45" s="23" t="s">
        <v>288</v>
      </c>
      <c r="F45" s="23" t="s">
        <v>288</v>
      </c>
      <c r="G45" s="23" t="s">
        <v>288</v>
      </c>
      <c r="H45" s="13">
        <f t="shared" si="2"/>
        <v>767157</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16927.21</v>
      </c>
      <c r="F47" s="73">
        <f>'DOE25'!I48</f>
        <v>215641.29</v>
      </c>
      <c r="G47" s="73">
        <f>'DOE25'!J48</f>
        <v>1734610.25</v>
      </c>
      <c r="H47" s="13">
        <f t="shared" si="2"/>
        <v>1967178.75</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470889.79000000004</v>
      </c>
      <c r="D49" s="23" t="s">
        <v>288</v>
      </c>
      <c r="E49" s="23" t="s">
        <v>288</v>
      </c>
      <c r="F49" s="23" t="s">
        <v>288</v>
      </c>
      <c r="G49" s="23" t="s">
        <v>288</v>
      </c>
      <c r="H49" s="13">
        <f t="shared" si="2"/>
        <v>470889.79000000004</v>
      </c>
      <c r="I49" s="90"/>
    </row>
    <row r="50" spans="1:9" ht="12.75" thickTop="1" thickBot="1" x14ac:dyDescent="0.25">
      <c r="A50" s="35" t="s">
        <v>880</v>
      </c>
      <c r="B50" s="44"/>
      <c r="C50" s="38">
        <f>SUM(C34:C49)</f>
        <v>1363046.79</v>
      </c>
      <c r="D50" s="38">
        <f>SUM(D34:D49)</f>
        <v>153512.25</v>
      </c>
      <c r="E50" s="38">
        <f>SUM(E34:E49)</f>
        <v>16927.21</v>
      </c>
      <c r="F50" s="38">
        <f>SUM(F34:F49)</f>
        <v>215641.29</v>
      </c>
      <c r="G50" s="38">
        <f>SUM(G34:G49)</f>
        <v>1734610.25</v>
      </c>
      <c r="H50" s="38">
        <f t="shared" si="2"/>
        <v>3483737.79</v>
      </c>
      <c r="I50" s="90"/>
    </row>
    <row r="51" spans="1:9" ht="12" thickTop="1" x14ac:dyDescent="0.2">
      <c r="A51" s="35" t="s">
        <v>881</v>
      </c>
      <c r="B51" s="2"/>
      <c r="C51" s="38">
        <f>C50+C31</f>
        <v>1908846.34</v>
      </c>
      <c r="D51" s="38">
        <f>D50+D31</f>
        <v>196407.29</v>
      </c>
      <c r="E51" s="38">
        <f>E50+E31</f>
        <v>211018.21999999997</v>
      </c>
      <c r="F51" s="38">
        <f>F50+F31</f>
        <v>215641.29</v>
      </c>
      <c r="G51" s="38">
        <f>G50+G31</f>
        <v>1734610.25</v>
      </c>
      <c r="H51" s="38">
        <f t="shared" si="2"/>
        <v>4266523.3899999997</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19945288.010000002</v>
      </c>
      <c r="D56" s="73">
        <f>'DOE25'!G60</f>
        <v>0</v>
      </c>
      <c r="E56" s="73">
        <f>'DOE25'!H60</f>
        <v>0</v>
      </c>
      <c r="F56" s="73">
        <f>'DOE25'!I60</f>
        <v>0</v>
      </c>
      <c r="G56" s="73">
        <f>'DOE25'!J60</f>
        <v>0</v>
      </c>
      <c r="H56" s="13">
        <f t="shared" ref="H56:H63" si="3">SUM(C56:G56)</f>
        <v>19945288.010000002</v>
      </c>
      <c r="I56"/>
    </row>
    <row r="57" spans="1:9" x14ac:dyDescent="0.2">
      <c r="A57" s="1" t="s">
        <v>164</v>
      </c>
      <c r="B57" s="6" t="s">
        <v>165</v>
      </c>
      <c r="C57" s="73">
        <f>'DOE25'!F79</f>
        <v>61420.740000000005</v>
      </c>
      <c r="D57" s="23" t="s">
        <v>288</v>
      </c>
      <c r="E57" s="73">
        <f>'DOE25'!H79</f>
        <v>0</v>
      </c>
      <c r="F57" s="23" t="s">
        <v>288</v>
      </c>
      <c r="G57" s="23" t="s">
        <v>288</v>
      </c>
      <c r="H57" s="13">
        <f t="shared" si="3"/>
        <v>61420.740000000005</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120427.44</v>
      </c>
      <c r="D59" s="73">
        <f>'DOE25'!G96</f>
        <v>0</v>
      </c>
      <c r="E59" s="73">
        <f>'DOE25'!H96</f>
        <v>0</v>
      </c>
      <c r="F59" s="73">
        <f>'DOE25'!I96</f>
        <v>5621.92</v>
      </c>
      <c r="G59" s="73">
        <f>'DOE25'!J96</f>
        <v>17600.509999999998</v>
      </c>
      <c r="H59" s="13">
        <f t="shared" si="3"/>
        <v>143649.87</v>
      </c>
      <c r="I59"/>
    </row>
    <row r="60" spans="1:9" x14ac:dyDescent="0.2">
      <c r="A60" s="1" t="s">
        <v>170</v>
      </c>
      <c r="B60" s="22" t="s">
        <v>171</v>
      </c>
      <c r="C60" s="23" t="s">
        <v>288</v>
      </c>
      <c r="D60" s="73">
        <f>'DOE25'!G97</f>
        <v>285085.32</v>
      </c>
      <c r="E60" s="23" t="s">
        <v>288</v>
      </c>
      <c r="F60" s="23" t="s">
        <v>288</v>
      </c>
      <c r="G60" s="23" t="s">
        <v>288</v>
      </c>
      <c r="H60" s="13">
        <f t="shared" si="3"/>
        <v>285085.32</v>
      </c>
      <c r="I60"/>
    </row>
    <row r="61" spans="1:9" ht="12" thickBot="1" x14ac:dyDescent="0.25">
      <c r="A61" s="1" t="s">
        <v>172</v>
      </c>
      <c r="B61" s="22" t="s">
        <v>173</v>
      </c>
      <c r="C61" s="73">
        <f>SUM('DOE25'!F98:F110)</f>
        <v>64895.87</v>
      </c>
      <c r="D61" s="73">
        <f>SUM('DOE25'!G98:G110)</f>
        <v>6957.03</v>
      </c>
      <c r="E61" s="73">
        <f>SUM('DOE25'!H98:H110)</f>
        <v>0</v>
      </c>
      <c r="F61" s="73">
        <f>SUM('DOE25'!I98:I110)</f>
        <v>0</v>
      </c>
      <c r="G61" s="73">
        <f>SUM('DOE25'!J98:J110)</f>
        <v>0</v>
      </c>
      <c r="H61" s="13">
        <f t="shared" si="3"/>
        <v>71852.900000000009</v>
      </c>
      <c r="I61"/>
    </row>
    <row r="62" spans="1:9" ht="12.75" thickTop="1" thickBot="1" x14ac:dyDescent="0.25">
      <c r="A62" s="28" t="s">
        <v>174</v>
      </c>
      <c r="B62" s="6"/>
      <c r="C62" s="93">
        <f>SUM(C57:C61)</f>
        <v>246744.05</v>
      </c>
      <c r="D62" s="93">
        <f>SUM(D57:D61)</f>
        <v>292042.35000000003</v>
      </c>
      <c r="E62" s="93">
        <f>SUM(E57:E61)</f>
        <v>0</v>
      </c>
      <c r="F62" s="93">
        <f>SUM(F57:F61)</f>
        <v>5621.92</v>
      </c>
      <c r="G62" s="93">
        <f>SUM(G57:G61)</f>
        <v>17600.509999999998</v>
      </c>
      <c r="H62" s="13">
        <f t="shared" si="3"/>
        <v>562008.83000000007</v>
      </c>
      <c r="I62"/>
    </row>
    <row r="63" spans="1:9" ht="12" thickTop="1" x14ac:dyDescent="0.2">
      <c r="A63" s="28" t="s">
        <v>175</v>
      </c>
      <c r="B63" s="6"/>
      <c r="C63" s="21">
        <f>C56+C62</f>
        <v>20192032.060000002</v>
      </c>
      <c r="D63" s="21">
        <f>D56+D62</f>
        <v>292042.35000000003</v>
      </c>
      <c r="E63" s="21">
        <f>E56+E62</f>
        <v>0</v>
      </c>
      <c r="F63" s="21">
        <f>F56+F62</f>
        <v>5621.92</v>
      </c>
      <c r="G63" s="21">
        <f>G56+G62</f>
        <v>17600.509999999998</v>
      </c>
      <c r="H63" s="13">
        <f t="shared" si="3"/>
        <v>20507296.840000007</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2609234.0699999998</v>
      </c>
      <c r="D66" s="23" t="s">
        <v>288</v>
      </c>
      <c r="E66" s="23" t="s">
        <v>288</v>
      </c>
      <c r="F66" s="23" t="s">
        <v>288</v>
      </c>
      <c r="G66" s="23" t="s">
        <v>288</v>
      </c>
      <c r="H66" s="13">
        <f t="shared" ref="H66:H81" si="4">SUM(C66:G66)</f>
        <v>2609234.0699999998</v>
      </c>
      <c r="I66"/>
    </row>
    <row r="67" spans="1:9" x14ac:dyDescent="0.2">
      <c r="A67" s="1" t="s">
        <v>767</v>
      </c>
      <c r="B67" s="6">
        <v>3112</v>
      </c>
      <c r="C67" s="73">
        <f>'DOE25'!F118</f>
        <v>1973497.02</v>
      </c>
      <c r="D67" s="23"/>
      <c r="E67" s="23"/>
      <c r="F67" s="23"/>
      <c r="G67" s="23"/>
      <c r="H67" s="13">
        <f t="shared" si="4"/>
        <v>1973497.02</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15982.54</v>
      </c>
      <c r="D69" s="73">
        <f>'DOE25'!G120</f>
        <v>0</v>
      </c>
      <c r="E69" s="73">
        <f>'DOE25'!H120</f>
        <v>0</v>
      </c>
      <c r="F69" s="73">
        <f>'DOE25'!I120</f>
        <v>0</v>
      </c>
      <c r="G69" s="73">
        <f>'DOE25'!J120</f>
        <v>0</v>
      </c>
      <c r="H69" s="13">
        <f t="shared" si="4"/>
        <v>15982.54</v>
      </c>
      <c r="I69"/>
    </row>
    <row r="70" spans="1:9" ht="12" thickTop="1" x14ac:dyDescent="0.2">
      <c r="A70" s="28" t="s">
        <v>252</v>
      </c>
      <c r="B70" s="2"/>
      <c r="C70" s="97">
        <f>SUM(C66:C69)</f>
        <v>4598713.63</v>
      </c>
      <c r="D70" s="97">
        <f>D69</f>
        <v>0</v>
      </c>
      <c r="E70" s="97">
        <f>E69</f>
        <v>0</v>
      </c>
      <c r="F70" s="97">
        <f>F69</f>
        <v>0</v>
      </c>
      <c r="G70" s="97">
        <f>G69</f>
        <v>0</v>
      </c>
      <c r="H70" s="13">
        <f t="shared" si="4"/>
        <v>4598713.63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365820.09</v>
      </c>
      <c r="D75" s="23" t="s">
        <v>288</v>
      </c>
      <c r="E75" s="23" t="s">
        <v>288</v>
      </c>
      <c r="F75" s="23" t="s">
        <v>288</v>
      </c>
      <c r="G75" s="23" t="s">
        <v>288</v>
      </c>
      <c r="H75" s="13">
        <f t="shared" si="4"/>
        <v>365820.09</v>
      </c>
      <c r="I75"/>
    </row>
    <row r="76" spans="1:9" x14ac:dyDescent="0.2">
      <c r="A76" s="1" t="s">
        <v>257</v>
      </c>
      <c r="B76" s="6" t="s">
        <v>179</v>
      </c>
      <c r="C76" s="73">
        <f>SUM('DOE25'!F127:F130)</f>
        <v>17500</v>
      </c>
      <c r="D76" s="23" t="s">
        <v>288</v>
      </c>
      <c r="E76" s="73">
        <f>SUM('DOE25'!H127:H130)</f>
        <v>0</v>
      </c>
      <c r="F76" s="73">
        <f>SUM('DOE25'!I127:I130)</f>
        <v>0</v>
      </c>
      <c r="G76" s="23" t="s">
        <v>288</v>
      </c>
      <c r="H76" s="13">
        <f t="shared" si="4"/>
        <v>17500</v>
      </c>
      <c r="I76"/>
    </row>
    <row r="77" spans="1:9" ht="12" thickBot="1" x14ac:dyDescent="0.25">
      <c r="A77" s="1" t="s">
        <v>258</v>
      </c>
      <c r="B77" s="6" t="s">
        <v>180</v>
      </c>
      <c r="C77" s="73">
        <f>SUM('DOE25'!F131:F135)</f>
        <v>0</v>
      </c>
      <c r="D77" s="73">
        <f>SUM('DOE25'!G131:G135)</f>
        <v>6295</v>
      </c>
      <c r="E77" s="73">
        <f>SUM('DOE25'!H131:H135)</f>
        <v>0</v>
      </c>
      <c r="F77" s="73">
        <f>SUM('DOE25'!I131:I135)</f>
        <v>0</v>
      </c>
      <c r="G77" s="73">
        <f>SUM('DOE25'!J131:J135)</f>
        <v>0</v>
      </c>
      <c r="H77" s="13">
        <f t="shared" si="4"/>
        <v>6295</v>
      </c>
      <c r="I77"/>
    </row>
    <row r="78" spans="1:9" ht="12.75" thickTop="1" thickBot="1" x14ac:dyDescent="0.25">
      <c r="A78" s="28" t="s">
        <v>259</v>
      </c>
      <c r="B78" s="6"/>
      <c r="C78" s="93">
        <f>SUM(C72:C77)</f>
        <v>383320.09</v>
      </c>
      <c r="D78" s="93">
        <f>SUM(D72:D77)</f>
        <v>6295</v>
      </c>
      <c r="E78" s="93">
        <f>SUM(E72:E77)</f>
        <v>0</v>
      </c>
      <c r="F78" s="93">
        <f>SUM(F72:F77)</f>
        <v>0</v>
      </c>
      <c r="G78" s="93">
        <f>SUM(G72:G77)</f>
        <v>0</v>
      </c>
      <c r="H78" s="13">
        <f t="shared" si="4"/>
        <v>389615.09</v>
      </c>
      <c r="I78"/>
    </row>
    <row r="79" spans="1:9" ht="12" thickTop="1" x14ac:dyDescent="0.2">
      <c r="A79" s="1" t="s">
        <v>260</v>
      </c>
      <c r="B79" s="6">
        <v>3700</v>
      </c>
      <c r="C79" s="73">
        <f>'DOE25'!F137</f>
        <v>0</v>
      </c>
      <c r="D79" s="73">
        <f>'DOE25'!G137</f>
        <v>0</v>
      </c>
      <c r="E79" s="73">
        <f>'DOE25'!H137</f>
        <v>14955.77</v>
      </c>
      <c r="F79" s="23" t="s">
        <v>288</v>
      </c>
      <c r="G79" s="23" t="s">
        <v>288</v>
      </c>
      <c r="H79" s="13">
        <f t="shared" si="4"/>
        <v>14955.77</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4982033.72</v>
      </c>
      <c r="D81" s="93">
        <f>SUM(D79:D80)+D78+D70</f>
        <v>6295</v>
      </c>
      <c r="E81" s="93">
        <f>SUM(E79:E80)+E78+E70</f>
        <v>14955.77</v>
      </c>
      <c r="F81" s="93">
        <f>SUM(F79:F80)+F78+F70</f>
        <v>0</v>
      </c>
      <c r="G81" s="93">
        <f>SUM(G79:G80)+G78+G70</f>
        <v>0</v>
      </c>
      <c r="H81" s="93">
        <f t="shared" si="4"/>
        <v>5003284.4899999993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91506.44</v>
      </c>
      <c r="D88" s="252">
        <f>SUM('DOE25'!G153:G162)</f>
        <v>164805.53</v>
      </c>
      <c r="E88" s="252">
        <f>SUM('DOE25'!H153:H162)</f>
        <v>1415386.63</v>
      </c>
      <c r="F88" s="252">
        <f>SUM('DOE25'!I153:I162)</f>
        <v>0</v>
      </c>
      <c r="G88" s="23" t="s">
        <v>288</v>
      </c>
      <c r="H88" s="13">
        <f t="shared" si="5"/>
        <v>1671698.5999999999</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91506.44</v>
      </c>
      <c r="D91" s="94">
        <f>SUM(D85:D90)</f>
        <v>164805.53</v>
      </c>
      <c r="E91" s="94">
        <f>SUM(E85:E90)</f>
        <v>1415386.63</v>
      </c>
      <c r="F91" s="94">
        <f>SUM(F85:F90)</f>
        <v>0</v>
      </c>
      <c r="G91" s="23" t="s">
        <v>288</v>
      </c>
      <c r="H91" s="13">
        <f t="shared" si="5"/>
        <v>1671698.5999999999</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212110</v>
      </c>
      <c r="H96" s="13">
        <f t="shared" si="5"/>
        <v>212110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212110</v>
      </c>
      <c r="H103" s="68">
        <f t="shared" si="5"/>
        <v>212110</v>
      </c>
    </row>
    <row r="104" spans="1:8" ht="12.75" thickTop="1" thickBot="1" x14ac:dyDescent="0.25">
      <c r="A104" s="32" t="s">
        <v>758</v>
      </c>
      <c r="C104" s="68">
        <f>C63+C81+C91+C103</f>
        <v>25265572.220000003</v>
      </c>
      <c r="D104" s="68">
        <f>D63+D81+D91+D103</f>
        <v>463142.88</v>
      </c>
      <c r="E104" s="68">
        <f>E63+E81+E91+E103</f>
        <v>1430342.4</v>
      </c>
      <c r="F104" s="68">
        <f>F63+F81+F91+F103</f>
        <v>5621.92</v>
      </c>
      <c r="G104" s="68">
        <f>G63+G81+G103</f>
        <v>229710.51</v>
      </c>
      <c r="H104" s="68">
        <f t="shared" si="5"/>
        <v>27394389.930000003</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8854917.0199999996</v>
      </c>
      <c r="D109" s="23" t="s">
        <v>288</v>
      </c>
      <c r="E109" s="73">
        <f>('DOE25'!L277)+('DOE25'!L296)+('DOE25'!L315)</f>
        <v>268693.11</v>
      </c>
      <c r="F109" s="23" t="s">
        <v>288</v>
      </c>
      <c r="G109" s="23" t="s">
        <v>288</v>
      </c>
      <c r="H109" s="13">
        <f t="shared" ref="H109:H115" si="6">SUM(C109:G109)</f>
        <v>9123610.129999999</v>
      </c>
    </row>
    <row r="110" spans="1:8" x14ac:dyDescent="0.2">
      <c r="A110" t="s">
        <v>198</v>
      </c>
      <c r="B110" s="31" t="s">
        <v>199</v>
      </c>
      <c r="C110" s="73">
        <f>('DOE25'!L199)+('DOE25'!L217)+('DOE25'!L235)</f>
        <v>4944647.8499999996</v>
      </c>
      <c r="D110" s="23" t="s">
        <v>288</v>
      </c>
      <c r="E110" s="73">
        <f>('DOE25'!L278)+('DOE25'!L297)+('DOE25'!L316)</f>
        <v>277668.90999999997</v>
      </c>
      <c r="F110" s="23" t="s">
        <v>288</v>
      </c>
      <c r="G110" s="23" t="s">
        <v>288</v>
      </c>
      <c r="H110" s="13">
        <f t="shared" si="6"/>
        <v>5222316.76</v>
      </c>
    </row>
    <row r="111" spans="1:8" x14ac:dyDescent="0.2">
      <c r="A111" t="s">
        <v>200</v>
      </c>
      <c r="B111" s="31" t="s">
        <v>165</v>
      </c>
      <c r="C111" s="73">
        <f>('DOE25'!L200)+('DOE25'!L218)+('DOE25'!L236)</f>
        <v>279843.99</v>
      </c>
      <c r="D111" s="23" t="s">
        <v>288</v>
      </c>
      <c r="E111" s="73">
        <f>('DOE25'!L279)+('DOE25'!L298)+('DOE25'!L317)</f>
        <v>0</v>
      </c>
      <c r="F111" s="23" t="s">
        <v>288</v>
      </c>
      <c r="G111" s="23" t="s">
        <v>288</v>
      </c>
      <c r="H111" s="13">
        <f t="shared" si="6"/>
        <v>279843.99</v>
      </c>
    </row>
    <row r="112" spans="1:8" x14ac:dyDescent="0.2">
      <c r="A112" t="s">
        <v>201</v>
      </c>
      <c r="B112" s="31" t="s">
        <v>167</v>
      </c>
      <c r="C112" s="73">
        <f>('DOE25'!L201)+('DOE25'!L219)+('DOE25'!L237)</f>
        <v>317959.3</v>
      </c>
      <c r="D112" s="23" t="s">
        <v>288</v>
      </c>
      <c r="E112" s="73">
        <f>+('DOE25'!L280)+('DOE25'!L299)+('DOE25'!L318)</f>
        <v>22797.910000000003</v>
      </c>
      <c r="F112" s="23" t="s">
        <v>288</v>
      </c>
      <c r="G112" s="23" t="s">
        <v>288</v>
      </c>
      <c r="H112" s="13">
        <f t="shared" si="6"/>
        <v>340757.20999999996</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14397368.16</v>
      </c>
      <c r="D115" s="68">
        <f>SUM(D109:D114)</f>
        <v>0</v>
      </c>
      <c r="E115" s="68">
        <f>SUM(E109:E114)</f>
        <v>569159.93000000005</v>
      </c>
      <c r="F115" s="68">
        <f>SUM(F109:F114)</f>
        <v>0</v>
      </c>
      <c r="G115" s="68">
        <f>SUM(G109:G114)</f>
        <v>0</v>
      </c>
      <c r="H115" s="68">
        <f t="shared" si="6"/>
        <v>14966528.09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1796024.3299999998</v>
      </c>
      <c r="D118" s="23" t="s">
        <v>288</v>
      </c>
      <c r="E118" s="73">
        <f>+('DOE25'!L282)+('DOE25'!L301)+('DOE25'!L320)</f>
        <v>209632.99</v>
      </c>
      <c r="F118" s="23" t="s">
        <v>288</v>
      </c>
      <c r="G118" s="23" t="s">
        <v>288</v>
      </c>
      <c r="H118" s="13">
        <f t="shared" ref="H118:H145" si="7">SUM(C118:G118)</f>
        <v>2005657.3199999998</v>
      </c>
    </row>
    <row r="119" spans="1:8" x14ac:dyDescent="0.2">
      <c r="A119" t="s">
        <v>208</v>
      </c>
      <c r="B119" s="31" t="s">
        <v>209</v>
      </c>
      <c r="C119" s="73">
        <f>('DOE25'!L204)+('DOE25'!L222)+('DOE25'!L240)</f>
        <v>1288922.33</v>
      </c>
      <c r="D119" s="23" t="s">
        <v>288</v>
      </c>
      <c r="E119" s="73">
        <f>+('DOE25'!L283)+('DOE25'!L302)+('DOE25'!L321)</f>
        <v>189547.27</v>
      </c>
      <c r="F119" s="23" t="s">
        <v>288</v>
      </c>
      <c r="G119" s="23" t="s">
        <v>288</v>
      </c>
      <c r="H119" s="13">
        <f t="shared" si="7"/>
        <v>1478469.6</v>
      </c>
    </row>
    <row r="120" spans="1:8" x14ac:dyDescent="0.2">
      <c r="A120" t="s">
        <v>210</v>
      </c>
      <c r="B120" s="31" t="s">
        <v>211</v>
      </c>
      <c r="C120" s="73">
        <f>('DOE25'!L205)+('DOE25'!L223)+('DOE25'!L241)</f>
        <v>1234149.67</v>
      </c>
      <c r="D120" s="23" t="s">
        <v>288</v>
      </c>
      <c r="E120" s="73">
        <f>+('DOE25'!L284)+('DOE25'!L303)+('DOE25'!L322)</f>
        <v>3520.11</v>
      </c>
      <c r="F120" s="23" t="s">
        <v>288</v>
      </c>
      <c r="G120" s="23" t="s">
        <v>288</v>
      </c>
      <c r="H120" s="13">
        <f t="shared" si="7"/>
        <v>1237669.78</v>
      </c>
    </row>
    <row r="121" spans="1:8" x14ac:dyDescent="0.2">
      <c r="A121" t="s">
        <v>212</v>
      </c>
      <c r="B121" s="31" t="s">
        <v>213</v>
      </c>
      <c r="C121" s="73">
        <f>('DOE25'!L206)+('DOE25'!L224)+('DOE25'!L242)</f>
        <v>1327654.8599999999</v>
      </c>
      <c r="D121" s="23" t="s">
        <v>288</v>
      </c>
      <c r="E121" s="73">
        <f>+('DOE25'!L285)+('DOE25'!L304)+('DOE25'!L323)</f>
        <v>8213.64</v>
      </c>
      <c r="F121" s="23" t="s">
        <v>288</v>
      </c>
      <c r="G121" s="23" t="s">
        <v>288</v>
      </c>
      <c r="H121" s="13">
        <f t="shared" si="7"/>
        <v>1335868.4999999998</v>
      </c>
    </row>
    <row r="122" spans="1:8" x14ac:dyDescent="0.2">
      <c r="A122" t="s">
        <v>214</v>
      </c>
      <c r="B122" s="31" t="s">
        <v>215</v>
      </c>
      <c r="C122" s="73">
        <f>('DOE25'!L207)+('DOE25'!L225)+('DOE25'!L243)</f>
        <v>365807.39</v>
      </c>
      <c r="D122" s="23" t="s">
        <v>288</v>
      </c>
      <c r="E122" s="73">
        <f>+('DOE25'!L286)+('DOE25'!L305)+('DOE25'!L324)</f>
        <v>7050</v>
      </c>
      <c r="F122" s="23" t="s">
        <v>288</v>
      </c>
      <c r="G122" s="23" t="s">
        <v>288</v>
      </c>
      <c r="H122" s="13">
        <f t="shared" si="7"/>
        <v>372857.39</v>
      </c>
    </row>
    <row r="123" spans="1:8" x14ac:dyDescent="0.2">
      <c r="A123" t="s">
        <v>216</v>
      </c>
      <c r="B123" s="31" t="s">
        <v>217</v>
      </c>
      <c r="C123" s="73">
        <f>('DOE25'!L208)+('DOE25'!L226)+('DOE25'!L244)</f>
        <v>1732806.57</v>
      </c>
      <c r="D123" s="23" t="s">
        <v>288</v>
      </c>
      <c r="E123" s="73">
        <f>+('DOE25'!L287)+('DOE25'!L306)+('DOE25'!L325)</f>
        <v>85668.36</v>
      </c>
      <c r="F123" s="23" t="s">
        <v>288</v>
      </c>
      <c r="G123" s="23" t="s">
        <v>288</v>
      </c>
      <c r="H123" s="13">
        <f t="shared" si="7"/>
        <v>1818474.9300000002</v>
      </c>
    </row>
    <row r="124" spans="1:8" x14ac:dyDescent="0.2">
      <c r="A124" t="s">
        <v>218</v>
      </c>
      <c r="B124" s="31" t="s">
        <v>219</v>
      </c>
      <c r="C124" s="73">
        <f>('DOE25'!L209)+('DOE25'!L227)+('DOE25'!L245+'DOE25'!L255)</f>
        <v>840234.92999999993</v>
      </c>
      <c r="D124" s="23" t="s">
        <v>288</v>
      </c>
      <c r="E124" s="73">
        <f>+('DOE25'!L288)+('DOE25'!L307)+('DOE25'!L326)</f>
        <v>1500</v>
      </c>
      <c r="F124" s="23" t="s">
        <v>288</v>
      </c>
      <c r="G124" s="23" t="s">
        <v>288</v>
      </c>
      <c r="H124" s="13">
        <f t="shared" si="7"/>
        <v>841734.92999999993</v>
      </c>
    </row>
    <row r="125" spans="1:8" x14ac:dyDescent="0.2">
      <c r="A125" t="s">
        <v>220</v>
      </c>
      <c r="B125" s="31" t="s">
        <v>221</v>
      </c>
      <c r="C125" s="73">
        <f>('DOE25'!L210)+('DOE25'!L228)+('DOE25'!L246)</f>
        <v>72431.5</v>
      </c>
      <c r="D125" s="23" t="s">
        <v>288</v>
      </c>
      <c r="E125" s="73">
        <f>+('DOE25'!L289)+('DOE25'!L308)+('DOE25'!L327)</f>
        <v>0</v>
      </c>
      <c r="F125" s="23" t="s">
        <v>288</v>
      </c>
      <c r="G125" s="23" t="s">
        <v>288</v>
      </c>
      <c r="H125" s="13">
        <f t="shared" si="7"/>
        <v>72431.5</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430438.63</v>
      </c>
      <c r="E127" s="23" t="s">
        <v>288</v>
      </c>
      <c r="F127" s="23" t="s">
        <v>288</v>
      </c>
      <c r="G127" s="23" t="s">
        <v>288</v>
      </c>
      <c r="H127" s="13">
        <f t="shared" si="7"/>
        <v>430438.63</v>
      </c>
    </row>
    <row r="128" spans="1:8" ht="12.75" thickTop="1" thickBot="1" x14ac:dyDescent="0.25">
      <c r="A128" s="32" t="s">
        <v>226</v>
      </c>
      <c r="C128" s="68">
        <f>SUM(C118:C127)</f>
        <v>8658031.5800000001</v>
      </c>
      <c r="D128" s="68">
        <f>SUM(D118:D127)</f>
        <v>430438.63</v>
      </c>
      <c r="E128" s="68">
        <f>SUM(E118:E127)</f>
        <v>505132.37</v>
      </c>
      <c r="F128" s="68">
        <f>SUM(F118:F127)</f>
        <v>0</v>
      </c>
      <c r="G128" s="68">
        <f>SUM(G118:G127)</f>
        <v>0</v>
      </c>
      <c r="H128" s="68">
        <f t="shared" si="7"/>
        <v>9593602.5800000001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315563.43</v>
      </c>
      <c r="D130" s="23" t="s">
        <v>288</v>
      </c>
      <c r="E130" s="92">
        <f>'DOE25'!L337</f>
        <v>356729.12</v>
      </c>
      <c r="F130" s="92">
        <f>SUM('DOE25'!L375:'DOE25'!L381)</f>
        <v>10210</v>
      </c>
      <c r="G130" s="23" t="s">
        <v>288</v>
      </c>
      <c r="H130" s="13">
        <f t="shared" si="7"/>
        <v>682502.55</v>
      </c>
    </row>
    <row r="131" spans="1:8" x14ac:dyDescent="0.2">
      <c r="A131" t="s">
        <v>229</v>
      </c>
      <c r="B131" s="31">
        <v>5110</v>
      </c>
      <c r="C131" s="73">
        <f>'DOE25'!L261</f>
        <v>805000</v>
      </c>
      <c r="D131" s="23" t="s">
        <v>288</v>
      </c>
      <c r="E131" s="92">
        <f>'DOE25'!L342</f>
        <v>0</v>
      </c>
      <c r="F131" s="23" t="s">
        <v>288</v>
      </c>
      <c r="G131" s="23" t="s">
        <v>288</v>
      </c>
      <c r="H131" s="13">
        <f t="shared" si="7"/>
        <v>805000</v>
      </c>
    </row>
    <row r="132" spans="1:8" x14ac:dyDescent="0.2">
      <c r="A132" t="s">
        <v>230</v>
      </c>
      <c r="B132" s="31">
        <v>5120</v>
      </c>
      <c r="C132" s="73">
        <f>'DOE25'!L262</f>
        <v>1293977.5</v>
      </c>
      <c r="D132" s="23" t="s">
        <v>288</v>
      </c>
      <c r="E132" s="92">
        <f>'DOE25'!L343</f>
        <v>0</v>
      </c>
      <c r="F132" s="23" t="s">
        <v>288</v>
      </c>
      <c r="G132" s="23" t="s">
        <v>288</v>
      </c>
      <c r="H132" s="13">
        <f t="shared" si="7"/>
        <v>1293977.5</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167805.71000000002</v>
      </c>
      <c r="D138" s="23" t="s">
        <v>288</v>
      </c>
      <c r="E138" s="23" t="s">
        <v>288</v>
      </c>
      <c r="F138" s="23" t="s">
        <v>288</v>
      </c>
      <c r="G138" s="23" t="s">
        <v>288</v>
      </c>
      <c r="H138" s="13">
        <f t="shared" si="7"/>
        <v>167805.71000000002</v>
      </c>
    </row>
    <row r="139" spans="1:8" x14ac:dyDescent="0.2">
      <c r="A139" t="s">
        <v>239</v>
      </c>
      <c r="B139" s="31">
        <v>5252</v>
      </c>
      <c r="C139" s="73">
        <f>'DOE25'!L402</f>
        <v>61904.800000000003</v>
      </c>
      <c r="D139" s="23" t="s">
        <v>288</v>
      </c>
      <c r="E139" s="23" t="s">
        <v>288</v>
      </c>
      <c r="F139" s="23" t="s">
        <v>288</v>
      </c>
      <c r="G139" s="23" t="s">
        <v>288</v>
      </c>
      <c r="H139" s="13">
        <f t="shared" si="7"/>
        <v>61904.800000000003</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-17600.510000000009</v>
      </c>
      <c r="D141" s="23" t="s">
        <v>288</v>
      </c>
      <c r="E141" s="23" t="s">
        <v>288</v>
      </c>
      <c r="F141" s="23" t="s">
        <v>288</v>
      </c>
      <c r="G141" s="23" t="s">
        <v>288</v>
      </c>
      <c r="H141" s="13">
        <f t="shared" si="7"/>
        <v>-17600.510000000009</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2626650.9299999997</v>
      </c>
      <c r="D144" s="98">
        <f>SUM(D130:D143)</f>
        <v>0</v>
      </c>
      <c r="E144" s="98">
        <f>SUM(E130:E143)</f>
        <v>356729.12</v>
      </c>
      <c r="F144" s="98">
        <f>SUM(F130:F143)</f>
        <v>10210</v>
      </c>
      <c r="G144" s="98">
        <f>SUM(G130:G143)</f>
        <v>0</v>
      </c>
      <c r="H144" s="98">
        <f t="shared" si="7"/>
        <v>2993590.05</v>
      </c>
    </row>
    <row r="145" spans="1:9" ht="12.75" thickTop="1" thickBot="1" x14ac:dyDescent="0.25">
      <c r="A145" s="32" t="s">
        <v>244</v>
      </c>
      <c r="C145" s="68">
        <f>(C115+C128+C144)</f>
        <v>25682050.670000002</v>
      </c>
      <c r="D145" s="68">
        <f>(D115+D128+D144)</f>
        <v>430438.63</v>
      </c>
      <c r="E145" s="68">
        <f>(E115+E128+E144)</f>
        <v>1431021.42</v>
      </c>
      <c r="F145" s="68">
        <f>(F115+F128+F144)</f>
        <v>10210</v>
      </c>
      <c r="G145" s="68">
        <f>(G115+G128+G144)</f>
        <v>0</v>
      </c>
      <c r="H145" s="68">
        <f t="shared" si="7"/>
        <v>27553720.719999999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35816700</v>
      </c>
      <c r="C154" s="19">
        <f>'DOE25'!G494</f>
        <v>0</v>
      </c>
      <c r="D154" s="19">
        <f>'DOE25'!H494</f>
        <v>0</v>
      </c>
      <c r="E154" s="19">
        <f>'DOE25'!I494</f>
        <v>0</v>
      </c>
      <c r="F154" s="19">
        <f>'DOE25'!J494</f>
        <v>0</v>
      </c>
      <c r="G154" s="23" t="s">
        <v>288</v>
      </c>
    </row>
    <row r="155" spans="1:9" x14ac:dyDescent="0.2">
      <c r="A155" s="21" t="s">
        <v>31</v>
      </c>
      <c r="B155" s="19">
        <f>'DOE25'!F495</f>
        <v>3.33</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805000</v>
      </c>
      <c r="C158" s="19">
        <f>'DOE25'!G498</f>
        <v>0</v>
      </c>
      <c r="D158" s="19">
        <f>'DOE25'!H498</f>
        <v>0</v>
      </c>
      <c r="E158" s="19">
        <f>'DOE25'!I498</f>
        <v>0</v>
      </c>
      <c r="F158" s="19">
        <f>'DOE25'!J498</f>
        <v>0</v>
      </c>
      <c r="G158" s="96">
        <f t="shared" si="8"/>
        <v>805000</v>
      </c>
    </row>
    <row r="159" spans="1:9" x14ac:dyDescent="0.2">
      <c r="A159" s="21" t="s">
        <v>35</v>
      </c>
      <c r="B159" s="19">
        <f>'DOE25'!F499</f>
        <v>31550000</v>
      </c>
      <c r="C159" s="19">
        <f>'DOE25'!G499</f>
        <v>0</v>
      </c>
      <c r="D159" s="19">
        <f>'DOE25'!H499</f>
        <v>0</v>
      </c>
      <c r="E159" s="19">
        <f>'DOE25'!I499</f>
        <v>0</v>
      </c>
      <c r="F159" s="19">
        <f>'DOE25'!J499</f>
        <v>0</v>
      </c>
      <c r="G159" s="96">
        <f t="shared" si="8"/>
        <v>31550000</v>
      </c>
    </row>
    <row r="160" spans="1:9" x14ac:dyDescent="0.2">
      <c r="A160" s="21" t="s">
        <v>36</v>
      </c>
      <c r="B160" s="19">
        <f>'DOE25'!F500</f>
        <v>16347760</v>
      </c>
      <c r="C160" s="19">
        <f>'DOE25'!G500</f>
        <v>0</v>
      </c>
      <c r="D160" s="19">
        <f>'DOE25'!H500</f>
        <v>0</v>
      </c>
      <c r="E160" s="19">
        <f>'DOE25'!I500</f>
        <v>0</v>
      </c>
      <c r="F160" s="19">
        <f>'DOE25'!J500</f>
        <v>0</v>
      </c>
      <c r="G160" s="96">
        <f t="shared" si="8"/>
        <v>16347760</v>
      </c>
    </row>
    <row r="161" spans="1:7" x14ac:dyDescent="0.2">
      <c r="A161" s="21" t="s">
        <v>37</v>
      </c>
      <c r="B161" s="19">
        <f>'DOE25'!F501</f>
        <v>47897760</v>
      </c>
      <c r="C161" s="19">
        <f>'DOE25'!G501</f>
        <v>0</v>
      </c>
      <c r="D161" s="19">
        <f>'DOE25'!H501</f>
        <v>0</v>
      </c>
      <c r="E161" s="19">
        <f>'DOE25'!I501</f>
        <v>0</v>
      </c>
      <c r="F161" s="19">
        <f>'DOE25'!J501</f>
        <v>0</v>
      </c>
      <c r="G161" s="96">
        <f t="shared" si="8"/>
        <v>47897760</v>
      </c>
    </row>
    <row r="162" spans="1:7" x14ac:dyDescent="0.2">
      <c r="A162" s="21" t="s">
        <v>38</v>
      </c>
      <c r="B162" s="19">
        <f>'DOE25'!F502</f>
        <v>845000</v>
      </c>
      <c r="C162" s="19">
        <f>'DOE25'!G502</f>
        <v>0</v>
      </c>
      <c r="D162" s="19">
        <f>'DOE25'!H502</f>
        <v>0</v>
      </c>
      <c r="E162" s="19">
        <f>'DOE25'!I502</f>
        <v>0</v>
      </c>
      <c r="F162" s="19">
        <f>'DOE25'!J502</f>
        <v>0</v>
      </c>
      <c r="G162" s="96">
        <f t="shared" si="8"/>
        <v>845000</v>
      </c>
    </row>
    <row r="163" spans="1:7" x14ac:dyDescent="0.2">
      <c r="A163" s="21" t="s">
        <v>39</v>
      </c>
      <c r="B163" s="19">
        <f>'DOE25'!F503</f>
        <v>1251902.5</v>
      </c>
      <c r="C163" s="19">
        <f>'DOE25'!G503</f>
        <v>0</v>
      </c>
      <c r="D163" s="19">
        <f>'DOE25'!H503</f>
        <v>0</v>
      </c>
      <c r="E163" s="19">
        <f>'DOE25'!I503</f>
        <v>0</v>
      </c>
      <c r="F163" s="19">
        <f>'DOE25'!J503</f>
        <v>0</v>
      </c>
      <c r="G163" s="96">
        <f t="shared" si="8"/>
        <v>1251902.5</v>
      </c>
    </row>
    <row r="164" spans="1:7" x14ac:dyDescent="0.2">
      <c r="A164" s="21" t="s">
        <v>246</v>
      </c>
      <c r="B164" s="19">
        <f>'DOE25'!F504</f>
        <v>2096902.5</v>
      </c>
      <c r="C164" s="19">
        <f>'DOE25'!G504</f>
        <v>0</v>
      </c>
      <c r="D164" s="19">
        <f>'DOE25'!H504</f>
        <v>0</v>
      </c>
      <c r="E164" s="19">
        <f>'DOE25'!I504</f>
        <v>0</v>
      </c>
      <c r="F164" s="19">
        <f>'DOE25'!J504</f>
        <v>0</v>
      </c>
      <c r="G164" s="96">
        <f t="shared" si="8"/>
        <v>2096902.5</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4" sqref="C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Newmarket</v>
      </c>
    </row>
    <row r="3" spans="1:4" x14ac:dyDescent="0.2">
      <c r="B3" s="136" t="s">
        <v>1792</v>
      </c>
    </row>
    <row r="4" spans="1:4" x14ac:dyDescent="0.2">
      <c r="B4" t="s">
        <v>61</v>
      </c>
      <c r="C4" s="128">
        <f>IF('DOE25'!F666+'DOE25'!F671=0,0,ROUND('DOE25'!F673,0))</f>
        <v>22482</v>
      </c>
    </row>
    <row r="5" spans="1:4" x14ac:dyDescent="0.2">
      <c r="B5" t="s">
        <v>700</v>
      </c>
      <c r="C5" s="128">
        <f>IF('DOE25'!G666+'DOE25'!G671=0,0,ROUND('DOE25'!G673,0))</f>
        <v>0</v>
      </c>
    </row>
    <row r="6" spans="1:4" x14ac:dyDescent="0.2">
      <c r="B6" t="s">
        <v>62</v>
      </c>
      <c r="C6" s="128">
        <f>IF('DOE25'!H666+'DOE25'!H671=0,0,ROUND('DOE25'!H673,0))</f>
        <v>25390</v>
      </c>
    </row>
    <row r="7" spans="1:4" x14ac:dyDescent="0.2">
      <c r="B7" t="s">
        <v>701</v>
      </c>
      <c r="C7" s="128">
        <f>IF('DOE25'!I666+'DOE25'!I671=0,0,ROUND('DOE25'!I673,0))</f>
        <v>23269</v>
      </c>
    </row>
    <row r="9" spans="1:4" x14ac:dyDescent="0.2">
      <c r="A9" s="135" t="s">
        <v>94</v>
      </c>
      <c r="B9" s="136" t="s">
        <v>1793</v>
      </c>
      <c r="C9" s="130" t="s">
        <v>720</v>
      </c>
      <c r="D9" s="130" t="s">
        <v>721</v>
      </c>
    </row>
    <row r="10" spans="1:4" x14ac:dyDescent="0.2">
      <c r="A10">
        <v>1100</v>
      </c>
      <c r="B10" t="s">
        <v>702</v>
      </c>
      <c r="C10" s="128">
        <f>ROUND('DOE25'!L198+'DOE25'!L216+'DOE25'!L234+'DOE25'!L277+'DOE25'!L296+'DOE25'!L315,0)</f>
        <v>9123610</v>
      </c>
      <c r="D10" s="131">
        <f>ROUND((C10/$C$28)*100,1)</f>
        <v>35.700000000000003</v>
      </c>
    </row>
    <row r="11" spans="1:4" x14ac:dyDescent="0.2">
      <c r="A11">
        <v>1200</v>
      </c>
      <c r="B11" t="s">
        <v>703</v>
      </c>
      <c r="C11" s="128">
        <f>ROUND('DOE25'!L199+'DOE25'!L217+'DOE25'!L235+'DOE25'!L278+'DOE25'!L297+'DOE25'!L316,0)</f>
        <v>5222317</v>
      </c>
      <c r="D11" s="131">
        <f>ROUND((C11/$C$28)*100,1)</f>
        <v>20.399999999999999</v>
      </c>
    </row>
    <row r="12" spans="1:4" x14ac:dyDescent="0.2">
      <c r="A12">
        <v>1300</v>
      </c>
      <c r="B12" t="s">
        <v>704</v>
      </c>
      <c r="C12" s="128">
        <f>ROUND('DOE25'!L200+'DOE25'!L218+'DOE25'!L236+'DOE25'!L279+'DOE25'!L298+'DOE25'!L317,0)</f>
        <v>279844</v>
      </c>
      <c r="D12" s="131">
        <f>ROUND((C12/$C$28)*100,1)</f>
        <v>1.1000000000000001</v>
      </c>
    </row>
    <row r="13" spans="1:4" x14ac:dyDescent="0.2">
      <c r="A13">
        <v>1400</v>
      </c>
      <c r="B13" t="s">
        <v>705</v>
      </c>
      <c r="C13" s="128">
        <f>ROUND('DOE25'!L201+'DOE25'!L219+'DOE25'!L237+'DOE25'!L280+'DOE25'!L299+'DOE25'!L318,0)</f>
        <v>340757</v>
      </c>
      <c r="D13" s="131">
        <f>ROUND((C13/$C$28)*100,1)</f>
        <v>1.3</v>
      </c>
    </row>
    <row r="14" spans="1:4" x14ac:dyDescent="0.2">
      <c r="D14" s="131"/>
    </row>
    <row r="15" spans="1:4" x14ac:dyDescent="0.2">
      <c r="A15">
        <v>2100</v>
      </c>
      <c r="B15" t="s">
        <v>706</v>
      </c>
      <c r="C15" s="128">
        <f>ROUND('DOE25'!L203+'DOE25'!L221+'DOE25'!L239+'DOE25'!L282+'DOE25'!L301+'DOE25'!L320,0)</f>
        <v>2005657</v>
      </c>
      <c r="D15" s="131">
        <f t="shared" ref="D15:D27" si="0">ROUND((C15/$C$28)*100,1)</f>
        <v>7.8</v>
      </c>
    </row>
    <row r="16" spans="1:4" x14ac:dyDescent="0.2">
      <c r="A16">
        <v>2200</v>
      </c>
      <c r="B16" t="s">
        <v>707</v>
      </c>
      <c r="C16" s="128">
        <f>ROUND('DOE25'!L204+'DOE25'!L222+'DOE25'!L240+'DOE25'!L283+'DOE25'!L302+'DOE25'!L321,0)</f>
        <v>1478470</v>
      </c>
      <c r="D16" s="131">
        <f t="shared" si="0"/>
        <v>5.8</v>
      </c>
    </row>
    <row r="17" spans="1:4" x14ac:dyDescent="0.2">
      <c r="A17" s="132" t="s">
        <v>723</v>
      </c>
      <c r="B17" t="s">
        <v>738</v>
      </c>
      <c r="C17" s="128">
        <f>ROUND('DOE25'!L205+'DOE25'!L210+'DOE25'!L223+'DOE25'!L228+'DOE25'!L241+'DOE25'!L246+'DOE25'!L284+'DOE25'!L289+'DOE25'!L303+'DOE25'!L308+'DOE25'!L322+'DOE25'!L327,0)</f>
        <v>1310101</v>
      </c>
      <c r="D17" s="131">
        <f t="shared" si="0"/>
        <v>5.0999999999999996</v>
      </c>
    </row>
    <row r="18" spans="1:4" x14ac:dyDescent="0.2">
      <c r="A18">
        <v>2400</v>
      </c>
      <c r="B18" t="s">
        <v>711</v>
      </c>
      <c r="C18" s="128">
        <f>ROUND('DOE25'!L206+'DOE25'!L224+'DOE25'!L242+'DOE25'!L285+'DOE25'!L304+'DOE25'!L323,0)</f>
        <v>1335869</v>
      </c>
      <c r="D18" s="131">
        <f t="shared" si="0"/>
        <v>5.2</v>
      </c>
    </row>
    <row r="19" spans="1:4" x14ac:dyDescent="0.2">
      <c r="A19">
        <v>2500</v>
      </c>
      <c r="B19" t="s">
        <v>708</v>
      </c>
      <c r="C19" s="128">
        <f>ROUND('DOE25'!L207+'DOE25'!L225+'DOE25'!L243+'DOE25'!L286+'DOE25'!L305+'DOE25'!L324,0)</f>
        <v>372857</v>
      </c>
      <c r="D19" s="131">
        <f t="shared" si="0"/>
        <v>1.5</v>
      </c>
    </row>
    <row r="20" spans="1:4" x14ac:dyDescent="0.2">
      <c r="A20">
        <v>2600</v>
      </c>
      <c r="B20" t="s">
        <v>709</v>
      </c>
      <c r="C20" s="128">
        <f>ROUND('DOE25'!L208+'DOE25'!L226+'DOE25'!L244+'DOE25'!L287+'DOE25'!L306+'DOE25'!L325,0)</f>
        <v>1818475</v>
      </c>
      <c r="D20" s="131">
        <f t="shared" si="0"/>
        <v>7.1</v>
      </c>
    </row>
    <row r="21" spans="1:4" x14ac:dyDescent="0.2">
      <c r="A21">
        <v>2700</v>
      </c>
      <c r="B21" t="s">
        <v>710</v>
      </c>
      <c r="C21" s="128">
        <f>ROUND('DOE25'!L209+'DOE25'!L227+'DOE25'!L245+'DOE25'!L288+'DOE25'!L307+'DOE25'!L326,0)</f>
        <v>841735</v>
      </c>
      <c r="D21" s="131">
        <f t="shared" si="0"/>
        <v>3.3</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1293978</v>
      </c>
      <c r="D25" s="131">
        <f t="shared" si="0"/>
        <v>5.0999999999999996</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138396.64999999997</v>
      </c>
      <c r="D27" s="131">
        <f t="shared" si="0"/>
        <v>0.5</v>
      </c>
    </row>
    <row r="28" spans="1:4" x14ac:dyDescent="0.2">
      <c r="B28" s="135" t="s">
        <v>719</v>
      </c>
      <c r="C28" s="129">
        <f>SUM(C10:C27)</f>
        <v>25562066.649999999</v>
      </c>
      <c r="D28" s="133">
        <f>ROUND(SUM(D10:D27),0)</f>
        <v>100</v>
      </c>
    </row>
    <row r="29" spans="1:4" x14ac:dyDescent="0.2">
      <c r="A29">
        <v>4000</v>
      </c>
      <c r="B29" t="s">
        <v>724</v>
      </c>
      <c r="C29" s="128">
        <f>ROUND('DOE25'!L256+'DOE25'!L337+'DOE25'!L375+'DOE25'!L376+'DOE25'!L377+'DOE25'!L378+'DOE25'!L379+'DOE25'!L380+'DOE25'!L381,0)</f>
        <v>682503</v>
      </c>
    </row>
    <row r="30" spans="1:4" x14ac:dyDescent="0.2">
      <c r="B30" s="135" t="s">
        <v>725</v>
      </c>
      <c r="C30" s="129">
        <f>SUM(C28:C29)</f>
        <v>26244569.649999999</v>
      </c>
    </row>
    <row r="31" spans="1:4" x14ac:dyDescent="0.2">
      <c r="B31" s="32"/>
      <c r="C31" s="129"/>
    </row>
    <row r="32" spans="1:4" x14ac:dyDescent="0.2">
      <c r="A32">
        <v>5100</v>
      </c>
      <c r="B32" s="32" t="s">
        <v>726</v>
      </c>
      <c r="C32" s="129">
        <f>ROUND('DOE25'!L261+'DOE25'!L342,0)</f>
        <v>805000</v>
      </c>
    </row>
    <row r="34" spans="1:4" x14ac:dyDescent="0.2">
      <c r="A34" s="135" t="s">
        <v>94</v>
      </c>
      <c r="B34" s="136" t="s">
        <v>1794</v>
      </c>
      <c r="C34" s="130" t="s">
        <v>720</v>
      </c>
      <c r="D34" s="130" t="s">
        <v>721</v>
      </c>
    </row>
    <row r="35" spans="1:4" x14ac:dyDescent="0.2">
      <c r="A35">
        <v>1100</v>
      </c>
      <c r="B35" s="71" t="s">
        <v>727</v>
      </c>
      <c r="C35" s="128">
        <f>ROUND('DOE25'!F60+'DOE25'!G60+'DOE25'!H60+'DOE25'!I60+'DOE25'!J60,0)</f>
        <v>19945288</v>
      </c>
      <c r="D35" s="131">
        <f t="shared" ref="D35:D40" si="1">ROUND((C35/$C$41)*100,1)</f>
        <v>74.2</v>
      </c>
    </row>
    <row r="36" spans="1:4" x14ac:dyDescent="0.2">
      <c r="B36" s="71" t="s">
        <v>739</v>
      </c>
      <c r="C36" s="128">
        <f>SUM('DOE25'!F112:J112)-SUM('DOE25'!G97:G110)+('DOE25'!F175+'DOE25'!F176+'DOE25'!I175+'DOE25'!I176)-C35</f>
        <v>269966.49000000209</v>
      </c>
      <c r="D36" s="131">
        <f t="shared" si="1"/>
        <v>1</v>
      </c>
    </row>
    <row r="37" spans="1:4" x14ac:dyDescent="0.2">
      <c r="A37" s="132" t="s">
        <v>831</v>
      </c>
      <c r="B37" s="71" t="s">
        <v>728</v>
      </c>
      <c r="C37" s="128">
        <f>ROUND('DOE25'!F117+'DOE25'!F118,0)</f>
        <v>4582731</v>
      </c>
      <c r="D37" s="131">
        <f t="shared" si="1"/>
        <v>17</v>
      </c>
    </row>
    <row r="38" spans="1:4" x14ac:dyDescent="0.2">
      <c r="A38" s="132" t="s">
        <v>734</v>
      </c>
      <c r="B38" s="71" t="s">
        <v>729</v>
      </c>
      <c r="C38" s="128">
        <f>ROUND(SUM('DOE25'!F140:J140)-SUM('DOE25'!F117:F119),0)</f>
        <v>420553</v>
      </c>
      <c r="D38" s="131">
        <f t="shared" si="1"/>
        <v>1.6</v>
      </c>
    </row>
    <row r="39" spans="1:4" x14ac:dyDescent="0.2">
      <c r="A39">
        <v>4000</v>
      </c>
      <c r="B39" s="71" t="s">
        <v>730</v>
      </c>
      <c r="C39" s="128">
        <f>ROUND('DOE25'!F170+'DOE25'!G170+'DOE25'!H170+'DOE25'!I170,0)</f>
        <v>1671699</v>
      </c>
      <c r="D39" s="131">
        <f t="shared" si="1"/>
        <v>6.2</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26890237.490000002</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Newmarket</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222</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66</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IFERROR(SMALL($I$4:$I$325,ROWS($I$4:I5)),"")</f>
        <v>223</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f>IF('School Level Expenditures'!$B$2='School Tables'!W69,'School Tables'!AD69,"")</f>
        <v>66</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f>IF('School Level Expenditures'!$B$2=A225,'School Tables'!H225,"")</f>
        <v>222</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f>IF('School Level Expenditures'!$B$2=A226,'School Tables'!H226,"")</f>
        <v>223</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2024-08-25T23:02:28Z</cp:lastPrinted>
  <dcterms:created xsi:type="dcterms:W3CDTF">1997-12-04T19:04:30Z</dcterms:created>
  <dcterms:modified xsi:type="dcterms:W3CDTF">2024-12-20T19:20:16Z</dcterms:modified>
</cp:coreProperties>
</file>