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EF9E1DA-C704-44F6-9783-B4F778CBAA28}"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4" i="1" l="1"/>
  <c r="J593" i="1" l="1"/>
  <c r="H161" i="1"/>
  <c r="H155" i="1"/>
  <c r="E9" i="17" l="1"/>
  <c r="O40" i="14" l="1"/>
  <c r="O27" i="14"/>
  <c r="O6" i="14"/>
  <c r="P27" i="14"/>
  <c r="P40" i="14"/>
  <c r="D40" i="14"/>
  <c r="D27" i="14"/>
  <c r="B30" i="12"/>
  <c r="K6" i="14"/>
  <c r="E6" i="14"/>
  <c r="D6" i="14"/>
  <c r="G614" i="1" l="1"/>
  <c r="I544" i="1"/>
  <c r="I543" i="1"/>
  <c r="I542" i="1"/>
  <c r="H544" i="1"/>
  <c r="I524" i="1"/>
  <c r="H524" i="1"/>
  <c r="G524" i="1"/>
  <c r="F524" i="1"/>
  <c r="I523" i="1"/>
  <c r="H523" i="1"/>
  <c r="G523" i="1"/>
  <c r="F523" i="1"/>
  <c r="I522" i="1"/>
  <c r="H522" i="1"/>
  <c r="G522" i="1"/>
  <c r="F522" i="1"/>
  <c r="G503" i="1"/>
  <c r="F503" i="1"/>
  <c r="F443" i="1"/>
  <c r="I48" i="1" l="1"/>
  <c r="H473" i="1"/>
  <c r="H469" i="1"/>
  <c r="H380" i="1"/>
  <c r="G380" i="1"/>
  <c r="H337" i="1"/>
  <c r="H162" i="1"/>
  <c r="J605" i="1"/>
  <c r="H605" i="1"/>
  <c r="H593" i="1"/>
  <c r="H576" i="1"/>
  <c r="F474" i="1"/>
  <c r="F86" i="1"/>
  <c r="F57" i="1"/>
  <c r="H154" i="1"/>
  <c r="H102" i="1"/>
  <c r="H120" i="1"/>
  <c r="H159" i="1"/>
  <c r="H156" i="1"/>
  <c r="G321" i="1" l="1"/>
  <c r="F321" i="1"/>
  <c r="G302" i="1"/>
  <c r="F302" i="1"/>
  <c r="I301" i="1"/>
  <c r="F288" i="1"/>
  <c r="G283" i="1"/>
  <c r="F283" i="1"/>
  <c r="I282" i="1"/>
  <c r="K224" i="1"/>
  <c r="H227" i="1"/>
  <c r="H226" i="1"/>
  <c r="I223" i="1"/>
  <c r="I205" i="1"/>
  <c r="I204" i="1"/>
  <c r="G204" i="1"/>
  <c r="I199" i="1"/>
  <c r="G246" i="1"/>
  <c r="I245" i="1"/>
  <c r="H245" i="1"/>
  <c r="G245" i="1"/>
  <c r="F245" i="1"/>
  <c r="J244" i="1"/>
  <c r="I244" i="1"/>
  <c r="H244" i="1"/>
  <c r="G244" i="1"/>
  <c r="F244" i="1"/>
  <c r="H243" i="1"/>
  <c r="G243" i="1"/>
  <c r="F243" i="1"/>
  <c r="K240" i="1"/>
  <c r="J240" i="1"/>
  <c r="I240" i="1"/>
  <c r="H240" i="1"/>
  <c r="G240" i="1"/>
  <c r="F240" i="1"/>
  <c r="G228" i="1"/>
  <c r="I227" i="1"/>
  <c r="G227" i="1"/>
  <c r="F227" i="1"/>
  <c r="J226" i="1"/>
  <c r="I226" i="1"/>
  <c r="G226" i="1"/>
  <c r="F226" i="1"/>
  <c r="H223" i="1"/>
  <c r="K223" i="1"/>
  <c r="G223" i="1"/>
  <c r="H225" i="1"/>
  <c r="G225" i="1"/>
  <c r="F225" i="1"/>
  <c r="F223" i="1"/>
  <c r="K222" i="1"/>
  <c r="J222" i="1"/>
  <c r="I222" i="1"/>
  <c r="H222" i="1"/>
  <c r="G222" i="1"/>
  <c r="F222" i="1"/>
  <c r="J242" i="1"/>
  <c r="I242" i="1"/>
  <c r="H242" i="1"/>
  <c r="G242" i="1"/>
  <c r="F242" i="1"/>
  <c r="G236" i="1"/>
  <c r="I235" i="1"/>
  <c r="G235" i="1"/>
  <c r="F235" i="1"/>
  <c r="I217" i="1"/>
  <c r="G217" i="1"/>
  <c r="F217" i="1"/>
  <c r="H234" i="1"/>
  <c r="F237" i="1"/>
  <c r="G234" i="1"/>
  <c r="G224" i="1"/>
  <c r="G219" i="1"/>
  <c r="F219" i="1"/>
  <c r="G216" i="1"/>
  <c r="K199" i="1"/>
  <c r="H199" i="1"/>
  <c r="G199" i="1"/>
  <c r="F199" i="1"/>
  <c r="G198" i="1"/>
  <c r="F198" i="1"/>
  <c r="G209" i="1"/>
  <c r="F209" i="1"/>
  <c r="J208" i="1"/>
  <c r="I208" i="1"/>
  <c r="H208" i="1"/>
  <c r="G208" i="1"/>
  <c r="F208" i="1"/>
  <c r="F207" i="1"/>
  <c r="G207" i="1"/>
  <c r="G206" i="1"/>
  <c r="K204" i="1"/>
  <c r="J204" i="1"/>
  <c r="H204" i="1"/>
  <c r="F204" i="1"/>
  <c r="G201" i="1"/>
  <c r="I209" i="1"/>
  <c r="H209" i="1"/>
  <c r="H207" i="1"/>
  <c r="K205" i="1"/>
  <c r="H205" i="1"/>
  <c r="G205" i="1"/>
  <c r="F205" i="1"/>
  <c r="I361" i="1"/>
  <c r="I360" i="1"/>
  <c r="I359" i="1"/>
  <c r="H361" i="1"/>
  <c r="H360" i="1"/>
  <c r="H359" i="1"/>
  <c r="G161" i="1"/>
  <c r="G158" i="1"/>
  <c r="G132" i="1"/>
  <c r="F29" i="1"/>
  <c r="F50"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H43" i="2" l="1"/>
  <c r="E125" i="2"/>
  <c r="E111" i="2"/>
  <c r="D18" i="13"/>
  <c r="C18" i="13" s="1"/>
  <c r="F409" i="1"/>
  <c r="H644" i="1" s="1"/>
  <c r="J644" i="1" s="1"/>
  <c r="H47" i="2"/>
  <c r="G477" i="1"/>
  <c r="H137" i="2"/>
  <c r="H17" i="2"/>
  <c r="H25" i="2"/>
  <c r="H94" i="2"/>
  <c r="H98" i="2"/>
  <c r="H58" i="2"/>
  <c r="H93" i="2"/>
  <c r="H13" i="2"/>
  <c r="H73" i="2"/>
  <c r="I112" i="1"/>
  <c r="G646" i="1"/>
  <c r="J646" i="1" s="1"/>
  <c r="H27" i="2"/>
  <c r="H15" i="2"/>
  <c r="H143" i="2"/>
  <c r="H48" i="2"/>
  <c r="H101" i="2"/>
  <c r="H34" i="2"/>
  <c r="H22" i="2"/>
  <c r="H28" i="2"/>
  <c r="J112" i="1"/>
  <c r="J194" i="1" s="1"/>
  <c r="G647" i="1" s="1"/>
  <c r="J652" i="1"/>
  <c r="I409" i="1"/>
  <c r="H97" i="2"/>
  <c r="H72" i="2"/>
  <c r="H477" i="1"/>
  <c r="H625" i="1" s="1"/>
  <c r="J625" i="1" s="1"/>
  <c r="H102" i="2"/>
  <c r="H99" i="2"/>
  <c r="H23" i="2"/>
  <c r="H61" i="2"/>
  <c r="H100" i="2"/>
  <c r="H79" i="2"/>
  <c r="H9" i="2"/>
  <c r="H96" i="2"/>
  <c r="H87" i="2"/>
  <c r="H35" i="2"/>
  <c r="H76" i="2"/>
  <c r="H11" i="2"/>
  <c r="H80" i="2"/>
  <c r="H24" i="2"/>
  <c r="H135" i="2"/>
  <c r="H89" i="2"/>
  <c r="H132" i="2"/>
  <c r="H36" i="2"/>
  <c r="I170" i="1"/>
  <c r="D144" i="2"/>
  <c r="H59" i="2"/>
  <c r="H113" i="2"/>
  <c r="H38" i="2"/>
  <c r="H44" i="2"/>
  <c r="E70" i="2"/>
  <c r="H69" i="2"/>
  <c r="H30" i="2"/>
  <c r="H29" i="2"/>
  <c r="H12" i="2"/>
  <c r="E124" i="2"/>
  <c r="E120" i="2"/>
  <c r="E112" i="2"/>
  <c r="C32" i="10"/>
  <c r="C125" i="2"/>
  <c r="H125" i="2" s="1"/>
  <c r="E13" i="13"/>
  <c r="C13" i="13" s="1"/>
  <c r="C12" i="10"/>
  <c r="C112" i="2"/>
  <c r="K36" i="14"/>
  <c r="K37" i="14" s="1"/>
  <c r="G663" i="1"/>
  <c r="C13" i="10"/>
  <c r="K2" i="14"/>
  <c r="K3" i="14" s="1"/>
  <c r="D15" i="13"/>
  <c r="C15" i="13" s="1"/>
  <c r="C120" i="2"/>
  <c r="C119" i="2"/>
  <c r="G662" i="1"/>
  <c r="D29" i="13"/>
  <c r="C29" i="13" s="1"/>
  <c r="D78" i="2"/>
  <c r="H77"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20" i="2" l="1"/>
  <c r="L572" i="1"/>
  <c r="H91" i="2"/>
  <c r="H134" i="2"/>
  <c r="H122" i="2"/>
  <c r="H124" i="2"/>
  <c r="H112" i="2"/>
  <c r="H85" i="2"/>
  <c r="D51" i="2"/>
  <c r="C81" i="2"/>
  <c r="H78" i="2"/>
  <c r="H21" i="2"/>
  <c r="H42" i="2"/>
  <c r="H70" i="2"/>
  <c r="H123" i="2"/>
  <c r="E81" i="2"/>
  <c r="E104" i="2" s="1"/>
  <c r="H16" i="2"/>
  <c r="H131" i="2"/>
  <c r="H103" i="2"/>
  <c r="H57" i="2"/>
  <c r="F194" i="1"/>
  <c r="G628" i="1" s="1"/>
  <c r="J628" i="1" s="1"/>
  <c r="E51" i="2"/>
  <c r="I663" i="1"/>
  <c r="H119" i="2"/>
  <c r="I662" i="1"/>
  <c r="D128" i="2"/>
  <c r="D145" i="2" s="1"/>
  <c r="H127" i="2"/>
  <c r="D63" i="2"/>
  <c r="H62" i="2"/>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C104" i="2"/>
  <c r="H104" i="2" s="1"/>
  <c r="C144" i="2"/>
  <c r="C145" i="2" s="1"/>
  <c r="H141" i="2"/>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<sst xmlns="http://schemas.openxmlformats.org/spreadsheetml/2006/main" count="6646" uniqueCount="1848">
  <si>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</si>
  <si>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</si>
  <si>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</si>
  <si>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</si>
  <si>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</si>
  <si>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</si>
  <si>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</si>
  <si>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</si>
  <si>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</si>
  <si>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</si>
  <si>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</si>
  <si>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</si>
  <si>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</si>
  <si>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</si>
  <si>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</si>
  <si>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</si>
  <si>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</si>
  <si>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</si>
  <si>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</si>
  <si>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</si>
  <si>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</si>
  <si>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</si>
  <si>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</si>
  <si>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</si>
  <si>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</si>
  <si>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</si>
  <si>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</si>
  <si>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</si>
  <si>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</si>
  <si>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</si>
  <si>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</si>
  <si>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</si>
  <si>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</si>
  <si>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</si>
  <si>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</si>
  <si>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</si>
  <si>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</si>
  <si>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</si>
  <si>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</si>
  <si>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</si>
  <si>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</si>
  <si>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</si>
  <si>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</si>
  <si>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</si>
  <si>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</si>
  <si>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</si>
  <si>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</si>
  <si>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</si>
  <si>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</si>
  <si>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</si>
  <si>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</si>
  <si>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</si>
  <si>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</si>
  <si>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</si>
  <si>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</si>
  <si>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</si>
  <si>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</si>
  <si>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</si>
  <si>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</si>
  <si>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</si>
  <si>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</si>
  <si>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</si>
  <si>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</si>
  <si>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</si>
  <si>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</si>
  <si>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</si>
  <si>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</si>
  <si>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</si>
  <si>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</si>
  <si>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</si>
  <si>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</si>
  <si>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</si>
  <si>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</si>
  <si>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</si>
  <si>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</si>
  <si>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</si>
  <si>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</si>
  <si>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</si>
  <si>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</si>
  <si>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</si>
  <si>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</si>
  <si>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</si>
  <si>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</si>
  <si>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</si>
  <si>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</si>
  <si>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</si>
  <si>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</si>
  <si>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</si>
  <si>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</si>
  <si>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</si>
  <si>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</si>
  <si>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</si>
  <si>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</si>
  <si>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</si>
  <si>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</si>
  <si>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</si>
  <si>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</si>
  <si>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</si>
  <si>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</si>
  <si>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</si>
  <si>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</si>
  <si>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</si>
  <si>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</si>
  <si>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</si>
  <si>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</si>
  <si>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</si>
  <si>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</si>
  <si>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</si>
  <si>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</si>
  <si>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</si>
  <si>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</si>
  <si>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</si>
  <si>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</si>
  <si>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</si>
  <si>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</si>
  <si>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</si>
  <si>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</si>
  <si>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</si>
  <si>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</si>
  <si>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</si>
  <si>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</si>
  <si>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</si>
  <si>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</si>
  <si>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</si>
  <si>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</si>
  <si>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</si>
  <si>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</si>
  <si>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</si>
  <si>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</si>
  <si>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</si>
  <si>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</si>
  <si>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</si>
  <si>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</si>
  <si>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</si>
  <si>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</si>
  <si>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</si>
  <si>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</si>
  <si>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</si>
  <si>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</si>
  <si>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</si>
  <si>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</si>
  <si>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</si>
  <si>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</si>
  <si>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</si>
  <si>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</si>
  <si>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</si>
  <si>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</si>
  <si>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</si>
  <si>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</si>
  <si>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</si>
  <si>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</si>
  <si>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</si>
  <si>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</si>
  <si>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</si>
  <si>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</si>
  <si>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</si>
  <si>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</si>
  <si>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</si>
  <si>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</si>
  <si>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</si>
  <si>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</si>
  <si>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</si>
  <si>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</si>
  <si>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</si>
  <si>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</si>
  <si>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</si>
  <si>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</si>
  <si>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</si>
  <si>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</si>
  <si>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</si>
  <si>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</si>
  <si>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</si>
  <si>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</si>
  <si>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</si>
  <si>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</si>
  <si>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</si>
  <si>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</si>
  <si>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</si>
  <si>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</si>
  <si>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</si>
  <si>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</si>
  <si>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</si>
  <si>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</si>
  <si>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</si>
  <si>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</si>
  <si>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</si>
  <si>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</si>
  <si>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</si>
  <si>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</si>
  <si>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</si>
  <si>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</si>
  <si>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</si>
  <si>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</si>
  <si>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</si>
  <si>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</si>
  <si>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</si>
  <si>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</si>
  <si>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</si>
  <si>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</si>
  <si>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</si>
  <si>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</si>
  <si>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</si>
  <si>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</si>
  <si>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</si>
  <si>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</si>
  <si>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</si>
  <si>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</si>
  <si>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</si>
  <si>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</si>
  <si>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</si>
  <si>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</si>
  <si>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</si>
  <si>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</si>
  <si>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</si>
  <si>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</si>
  <si>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</si>
  <si>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</si>
  <si>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</si>
  <si>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</si>
  <si>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</si>
  <si>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</si>
  <si>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</si>
  <si>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</si>
  <si>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</si>
  <si>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</si>
  <si>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</si>
  <si>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</si>
  <si>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</si>
  <si>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</si>
  <si>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</si>
  <si>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</si>
  <si>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</si>
  <si>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</si>
  <si>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</si>
  <si>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</si>
  <si>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</si>
  <si>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</si>
  <si>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</si>
  <si>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</si>
  <si>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</si>
  <si>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</si>
  <si>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</si>
  <si>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</si>
  <si>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</si>
  <si>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</si>
  <si>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</si>
  <si>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</si>
  <si>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</si>
  <si>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</si>
  <si>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</si>
  <si>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</si>
  <si>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</si>
  <si>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</si>
  <si>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</si>
  <si>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</si>
  <si>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</si>
  <si>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</si>
  <si>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</si>
  <si>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</si>
  <si>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</si>
  <si>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</si>
  <si>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</si>
  <si>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</si>
  <si>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</si>
  <si>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</si>
  <si>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</si>
  <si>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</si>
  <si>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</si>
  <si>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</si>
  <si>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</si>
  <si>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</si>
  <si>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</si>
  <si>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</si>
  <si>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</si>
  <si>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</si>
  <si>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</si>
  <si>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</si>
  <si>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</si>
  <si>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</si>
  <si>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</si>
  <si>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</si>
  <si>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</si>
  <si>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</si>
  <si>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</si>
  <si>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</si>
  <si>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</si>
  <si>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</si>
  <si>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</si>
  <si>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</si>
  <si>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</si>
  <si>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</si>
  <si>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</si>
  <si>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</si>
  <si>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</si>
  <si>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</si>
  <si>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</si>
  <si>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</si>
  <si>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</si>
  <si>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</si>
  <si>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</si>
  <si>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</si>
  <si>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</si>
  <si>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</si>
  <si>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</si>
  <si>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</si>
  <si>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</si>
  <si>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</si>
  <si>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</si>
  <si>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</si>
  <si>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</si>
  <si>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</si>
  <si>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</si>
  <si>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</si>
  <si>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</si>
  <si>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</si>
  <si>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</si>
  <si>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</si>
  <si>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</si>
  <si>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</si>
  <si>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</si>
  <si>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</si>
  <si>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</si>
  <si>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</si>
  <si>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</si>
  <si>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</si>
  <si>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</si>
  <si>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</si>
  <si>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</si>
  <si>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</si>
  <si>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</si>
  <si>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</si>
  <si>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</si>
  <si>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</si>
  <si>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</si>
  <si>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</si>
  <si>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</si>
  <si>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</si>
  <si>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</si>
  <si>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</si>
  <si>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</si>
  <si>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</si>
  <si>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</si>
  <si>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</si>
  <si>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</si>
  <si>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</si>
  <si>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</si>
  <si>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</si>
  <si>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</si>
  <si>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</si>
  <si>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</si>
  <si>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</si>
  <si>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</si>
  <si>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</si>
  <si>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</si>
  <si>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</si>
  <si>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</si>
  <si>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</si>
  <si>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</si>
  <si>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</si>
  <si>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</si>
  <si>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</si>
  <si>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</si>
  <si>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</si>
  <si>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</si>
  <si>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</si>
  <si>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</si>
  <si>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</si>
  <si>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</si>
  <si>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</si>
  <si>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</si>
  <si>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</si>
  <si>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</si>
  <si>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</si>
  <si>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</si>
  <si>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</si>
  <si>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</si>
  <si>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</si>
  <si>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</si>
  <si>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</si>
  <si>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</si>
  <si>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</si>
  <si>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</si>
  <si>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</si>
  <si>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</si>
  <si>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</si>
  <si>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</si>
  <si>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</si>
  <si>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</si>
  <si>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</si>
  <si>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</si>
  <si>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</si>
  <si>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</si>
  <si>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</si>
  <si>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</si>
  <si>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</si>
  <si>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</si>
  <si>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</si>
  <si>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</si>
  <si>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</si>
  <si>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</si>
  <si>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</si>
  <si>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</si>
  <si>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</si>
  <si>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</si>
  <si>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</si>
  <si>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</si>
  <si>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</si>
  <si>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</si>
  <si>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</si>
  <si>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</si>
  <si>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</si>
  <si>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</si>
  <si>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</si>
  <si>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</si>
  <si>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</si>
  <si>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</si>
  <si>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</si>
  <si>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</si>
  <si>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</si>
  <si>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</si>
  <si>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</si>
  <si>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</si>
  <si>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</si>
  <si>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</si>
  <si>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</si>
  <si>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</si>
  <si>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</si>
  <si>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</si>
  <si>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</si>
  <si>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</si>
  <si>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</si>
  <si>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</si>
  <si>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</si>
  <si>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</si>
  <si>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</si>
  <si>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</si>
  <si>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</si>
  <si>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</si>
  <si>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</si>
  <si>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</si>
  <si>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</si>
  <si>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</si>
  <si>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</si>
  <si>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</si>
  <si>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</si>
  <si>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</si>
  <si>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</si>
  <si>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</si>
  <si>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</si>
  <si>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</si>
  <si>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</si>
  <si>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</si>
  <si>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</si>
  <si>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</si>
  <si>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</si>
  <si>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</si>
  <si>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</si>
  <si>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</si>
  <si>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</si>
  <si>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</si>
  <si>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</si>
  <si>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</si>
  <si>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</si>
  <si>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</si>
  <si>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</si>
  <si>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</si>
  <si>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</si>
  <si>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</si>
  <si>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</si>
  <si>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</si>
  <si>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</si>
  <si>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</si>
  <si>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</si>
  <si>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</si>
  <si>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</si>
  <si>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</si>
  <si>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</si>
  <si>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</si>
  <si>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</si>
  <si>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</si>
  <si>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</si>
  <si>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</si>
  <si>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</si>
  <si>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</si>
  <si>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</si>
  <si>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</si>
  <si>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</si>
  <si>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</si>
  <si>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</si>
  <si>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</si>
  <si>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</si>
  <si>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</si>
  <si>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</si>
  <si>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</si>
  <si>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</si>
  <si>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</si>
  <si>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</si>
  <si>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</si>
  <si>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</si>
  <si>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</si>
  <si>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</si>
  <si>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</si>
  <si>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</si>
  <si>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</si>
  <si>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</si>
  <si>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</si>
  <si>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</si>
  <si>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</si>
  <si>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</si>
  <si>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</si>
  <si>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</si>
  <si>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</si>
  <si>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</si>
  <si>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</si>
  <si>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</si>
  <si>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</si>
  <si>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</si>
  <si>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</si>
  <si>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</si>
  <si>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</si>
  <si>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</si>
  <si>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</si>
  <si>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</si>
  <si>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</si>
  <si>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</si>
  <si>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</si>
  <si>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</si>
  <si>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</si>
  <si>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</si>
  <si>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</si>
  <si>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</si>
  <si>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</si>
  <si>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</si>
  <si>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</si>
  <si>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</si>
  <si>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</si>
  <si>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</si>
  <si>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</si>
  <si>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</si>
  <si>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</si>
  <si>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</si>
  <si>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</si>
  <si>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</si>
  <si>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</si>
  <si>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</si>
  <si>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</si>
  <si>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</si>
  <si>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</si>
  <si>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</si>
  <si>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</si>
  <si>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</si>
  <si>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</si>
  <si>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</si>
  <si>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</si>
  <si>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</si>
  <si>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</si>
  <si>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</si>
  <si>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</si>
  <si>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</si>
  <si>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</si>
  <si>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</si>
  <si>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</si>
  <si>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</si>
  <si>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</si>
  <si>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</si>
  <si>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</si>
  <si>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</si>
  <si>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</si>
  <si>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</si>
  <si>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</si>
  <si>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</si>
  <si>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</si>
  <si>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</si>
  <si>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</si>
  <si>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</si>
  <si>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</si>
  <si>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</si>
  <si>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</si>
  <si>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</si>
  <si>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</si>
  <si>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</si>
  <si>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</si>
  <si>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</si>
  <si>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</si>
  <si>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</si>
  <si>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</si>
  <si>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</si>
  <si>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</si>
  <si>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</si>
  <si>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</si>
  <si>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</si>
  <si>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</si>
  <si>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</si>
  <si>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</si>
  <si>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</si>
  <si>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</si>
  <si>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</si>
  <si>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</si>
  <si>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</si>
  <si>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</si>
  <si>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</si>
  <si>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</si>
  <si>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</si>
  <si>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</si>
  <si>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</si>
  <si>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</si>
  <si>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</si>
  <si>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</si>
  <si>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</si>
  <si>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</si>
  <si>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</si>
  <si>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</si>
  <si>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</si>
  <si>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</si>
  <si>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</si>
  <si>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</si>
  <si>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</si>
  <si>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</si>
  <si>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</si>
  <si>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</si>
  <si>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</si>
  <si>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</si>
  <si>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</si>
  <si>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</si>
  <si>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</si>
  <si>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</si>
  <si>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</si>
  <si>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</si>
  <si>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</si>
  <si>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</si>
  <si>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</si>
  <si>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</si>
  <si>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</si>
  <si>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</si>
  <si>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</si>
  <si>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</si>
  <si>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</si>
  <si>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</si>
  <si>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</si>
  <si>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</si>
  <si>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</si>
  <si>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</si>
  <si>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</si>
  <si>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</si>
  <si>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</si>
  <si>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</si>
  <si>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</si>
  <si>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</si>
  <si>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</si>
  <si>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</si>
  <si>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</si>
  <si>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</si>
  <si>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</si>
  <si>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</si>
  <si>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</si>
  <si>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</si>
  <si>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</si>
  <si>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</si>
  <si>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</si>
  <si>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</si>
  <si>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</si>
  <si>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</si>
  <si>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</si>
  <si>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</si>
  <si>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</si>
  <si>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</si>
  <si>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</si>
  <si>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</si>
  <si>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</si>
  <si>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</si>
  <si>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</si>
  <si>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</si>
  <si>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</si>
  <si>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</si>
  <si>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</si>
  <si>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</si>
  <si>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</si>
  <si>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</si>
  <si>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</si>
  <si>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</si>
  <si>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</si>
  <si>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</si>
  <si>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</si>
  <si>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</si>
  <si>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</si>
  <si>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</si>
  <si>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</si>
  <si>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</si>
  <si>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</si>
  <si>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</si>
  <si>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</si>
  <si>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</si>
  <si>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</si>
  <si>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</si>
  <si>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</si>
  <si>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</si>
  <si>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</si>
  <si>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</si>
  <si>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</si>
  <si>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</si>
  <si>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</si>
  <si>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</si>
  <si>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</si>
  <si>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</si>
  <si>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</si>
  <si>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</si>
  <si>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</si>
  <si>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</si>
  <si>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</si>
  <si>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</si>
  <si>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</si>
  <si>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</si>
  <si>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</si>
  <si>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</si>
  <si>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</si>
  <si>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</si>
  <si>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</si>
  <si>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</si>
  <si>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</si>
  <si>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</si>
  <si>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</si>
  <si>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</si>
  <si>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</si>
  <si>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</si>
  <si>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</si>
  <si>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</si>
  <si>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</si>
  <si>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</si>
  <si>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</si>
  <si>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</si>
  <si>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</si>
  <si>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</si>
  <si>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</si>
  <si>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</si>
  <si>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</si>
  <si>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</si>
  <si>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</si>
  <si>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</si>
  <si>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</si>
  <si>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</si>
  <si>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</si>
  <si>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</si>
  <si>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</si>
  <si>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</si>
  <si>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</si>
  <si>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</si>
  <si>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</si>
  <si>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</si>
  <si>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</si>
  <si>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</si>
  <si>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</si>
  <si>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</si>
  <si>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</si>
  <si>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</si>
  <si>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</si>
  <si>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</si>
  <si>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</si>
  <si>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</si>
  <si>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</si>
  <si>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</si>
  <si>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</si>
  <si>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</si>
  <si>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</si>
  <si>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</si>
  <si>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</si>
  <si>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</si>
  <si>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</si>
  <si>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</si>
  <si>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</si>
  <si>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</si>
  <si>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</si>
  <si>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</si>
  <si>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</si>
  <si>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</si>
  <si>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</si>
  <si>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</si>
  <si>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</si>
  <si>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</si>
  <si>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</si>
  <si>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</si>
  <si>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</si>
  <si>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</si>
  <si>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</si>
  <si>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</si>
  <si>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</si>
  <si>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</si>
  <si>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</si>
  <si>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</si>
  <si>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</si>
  <si>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</si>
  <si>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</si>
  <si>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</si>
  <si>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</si>
  <si>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</si>
  <si>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</si>
  <si>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</si>
  <si>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</si>
  <si>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</si>
  <si>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</si>
  <si>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</si>
  <si>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</si>
  <si>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</si>
  <si>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</si>
  <si>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</si>
  <si>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</si>
  <si>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</si>
  <si>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</si>
  <si>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</si>
  <si>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</si>
  <si>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</si>
  <si>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</si>
  <si>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</si>
  <si>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</si>
  <si>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</si>
  <si>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</si>
  <si>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</si>
  <si>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</si>
  <si>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</si>
  <si>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</si>
  <si>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</si>
  <si>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</si>
  <si>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</si>
  <si>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</si>
  <si>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</si>
  <si>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</si>
  <si>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</si>
  <si>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</si>
  <si>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</si>
  <si>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</si>
  <si>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</si>
  <si>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</si>
  <si>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</si>
  <si>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</si>
  <si>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</si>
  <si>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</si>
  <si>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</si>
  <si>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</si>
  <si>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</si>
  <si>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</si>
  <si>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</si>
  <si>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</si>
  <si>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</si>
  <si>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</si>
  <si>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</si>
  <si>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</si>
  <si>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</si>
  <si>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</si>
  <si>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</si>
  <si>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</si>
  <si>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</si>
  <si>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</si>
  <si>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</si>
  <si>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</si>
  <si>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</si>
  <si>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</si>
  <si>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</si>
  <si>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</si>
  <si>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</si>
  <si>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</si>
  <si>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</si>
  <si>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</si>
  <si>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</si>
  <si>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</si>
  <si>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</si>
  <si>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</si>
  <si>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</si>
  <si>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</si>
  <si>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</si>
  <si>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</si>
  <si>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</si>
  <si>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</si>
  <si>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</si>
  <si>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</si>
  <si>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</si>
  <si>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</si>
  <si>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</si>
  <si>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</si>
  <si>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</si>
  <si>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</si>
  <si>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</si>
  <si>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</si>
  <si>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</si>
  <si>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</si>
  <si>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</si>
  <si>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</si>
  <si>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</si>
  <si>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</si>
  <si>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</si>
  <si>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</si>
  <si>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</si>
  <si>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</si>
  <si>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</si>
  <si>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</si>
  <si>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</si>
  <si>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</si>
  <si>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</si>
  <si>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</si>
  <si>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</si>
  <si>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</si>
  <si>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</si>
  <si>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</si>
  <si>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</si>
  <si>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</si>
  <si>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</si>
  <si>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</si>
  <si>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</si>
  <si>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</si>
  <si>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</si>
  <si>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</si>
  <si>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</si>
  <si>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</si>
  <si>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</si>
  <si>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</si>
  <si>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</si>
  <si>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</si>
  <si>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</si>
  <si>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</si>
  <si>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</si>
  <si>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</si>
  <si>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</si>
  <si>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</si>
  <si>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</si>
  <si>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</si>
  <si>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</si>
  <si>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</si>
  <si>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</si>
  <si>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</si>
  <si>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</si>
  <si>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</si>
  <si>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</si>
  <si>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</si>
  <si>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</si>
  <si>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</si>
  <si>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</si>
  <si>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</si>
  <si>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</si>
  <si>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</si>
  <si>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</si>
  <si>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</si>
  <si>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</si>
  <si>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</si>
  <si>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</si>
  <si>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</si>
  <si>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</si>
  <si>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</si>
  <si>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</si>
  <si>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</si>
  <si>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</si>
  <si>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</si>
  <si>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</si>
  <si>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</si>
  <si>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</si>
  <si>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</si>
  <si>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</si>
  <si>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</si>
  <si>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</si>
  <si>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</si>
  <si>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</si>
  <si>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</si>
  <si>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</si>
  <si>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</si>
  <si>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</si>
  <si>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</si>
  <si>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</si>
  <si>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</si>
  <si>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</si>
  <si>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</si>
  <si>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</si>
  <si>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</si>
  <si>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</si>
  <si>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</si>
  <si>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</si>
  <si>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</si>
  <si>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</si>
  <si>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</si>
  <si>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</si>
  <si>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</si>
  <si>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</si>
  <si>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</si>
  <si>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</si>
  <si>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</si>
  <si>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</si>
  <si>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</si>
  <si>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</si>
  <si>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</si>
  <si>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</si>
  <si>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</si>
  <si>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</si>
  <si>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</si>
  <si>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</si>
  <si>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</si>
  <si>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</si>
  <si>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</si>
  <si>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</si>
  <si>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</si>
  <si>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</si>
  <si>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</si>
  <si>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</si>
  <si>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</si>
  <si>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</si>
  <si>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</si>
  <si>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</si>
  <si>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</si>
  <si>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</si>
  <si>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</si>
  <si>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</si>
  <si>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</si>
  <si>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</si>
  <si>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</si>
  <si>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</si>
  <si>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</si>
  <si>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</si>
  <si>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</si>
  <si>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</si>
  <si>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</si>
  <si>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</si>
  <si>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</si>
  <si>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</si>
  <si>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</si>
  <si>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</si>
  <si>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</si>
  <si>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</si>
  <si>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</si>
  <si>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</si>
  <si>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</si>
  <si>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</si>
  <si>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</si>
  <si>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</si>
  <si>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</si>
  <si>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</si>
  <si>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</si>
  <si>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</si>
  <si>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</si>
  <si>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</si>
  <si>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</si>
  <si>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</si>
  <si>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</si>
  <si>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</si>
  <si>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</si>
  <si>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</si>
  <si>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</si>
  <si>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</si>
  <si>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</si>
  <si>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</si>
  <si>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</si>
  <si>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</si>
  <si>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</si>
  <si>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</si>
  <si>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</si>
  <si>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</si>
  <si>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</si>
  <si>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</si>
  <si>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</si>
  <si>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</si>
  <si>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</si>
  <si>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</si>
  <si>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</si>
  <si>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</si>
  <si>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</si>
  <si>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</si>
  <si>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</si>
  <si>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</si>
  <si>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</si>
  <si>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</si>
  <si>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</si>
  <si>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</si>
  <si>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</si>
  <si>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</si>
  <si>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</si>
  <si>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</si>
  <si>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</si>
  <si>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</si>
  <si>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</si>
  <si>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</si>
  <si>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</si>
  <si>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</si>
  <si>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</si>
  <si>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</si>
  <si>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</si>
  <si>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</si>
  <si>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</si>
  <si>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</si>
  <si>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</si>
  <si>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</si>
  <si>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</si>
  <si>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</si>
  <si>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</si>
  <si>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</si>
  <si>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</si>
  <si>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</si>
  <si>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</si>
  <si>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</si>
  <si>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</si>
  <si>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</si>
  <si>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</si>
  <si>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</si>
  <si>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</si>
  <si>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</si>
  <si>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</si>
  <si>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</si>
  <si>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</si>
  <si>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</si>
  <si>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</si>
  <si>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</si>
  <si>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</si>
  <si>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</si>
  <si>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</si>
  <si>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</si>
  <si>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</si>
  <si>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</si>
  <si>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</si>
  <si>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</si>
  <si>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</si>
  <si>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</si>
  <si>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</si>
  <si>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</si>
  <si>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</si>
  <si>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</si>
  <si>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</si>
  <si>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</si>
  <si>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</si>
  <si>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</si>
  <si>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</si>
  <si>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</si>
  <si>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</si>
  <si>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</si>
  <si>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</si>
  <si>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</si>
  <si>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</si>
  <si>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</si>
  <si>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</si>
  <si>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</si>
  <si>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</si>
  <si>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</si>
  <si>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</si>
  <si>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</si>
  <si>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</si>
  <si>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</si>
  <si>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</si>
  <si>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</si>
  <si>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</si>
  <si>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</si>
  <si>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</si>
  <si>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</si>
  <si>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</si>
  <si>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</si>
  <si>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</si>
  <si>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</si>
  <si>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</si>
  <si>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</si>
  <si>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</si>
  <si>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</si>
  <si>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</si>
  <si>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</si>
  <si>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</si>
  <si>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</si>
  <si>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</si>
  <si>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</si>
  <si>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</si>
  <si>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</si>
  <si>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</si>
  <si>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</si>
  <si>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</si>
  <si>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</si>
  <si>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</si>
  <si>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</si>
  <si>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</si>
  <si>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</si>
  <si>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</si>
  <si>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</si>
  <si>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</si>
  <si>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</si>
  <si>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</si>
  <si>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</si>
  <si>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</si>
  <si>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</si>
  <si>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</si>
  <si>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</si>
  <si>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</si>
  <si>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</si>
  <si>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</si>
  <si>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</si>
  <si>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</si>
  <si>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</si>
  <si>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</si>
  <si>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</si>
  <si>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</si>
  <si>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</si>
  <si>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</si>
  <si>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</si>
  <si>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</si>
  <si>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</si>
  <si>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</si>
  <si>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</si>
  <si>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</si>
  <si>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</si>
  <si>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</si>
  <si>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</si>
  <si>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</si>
  <si>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</si>
  <si>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</si>
  <si>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</si>
  <si>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</si>
  <si>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</si>
  <si>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</si>
  <si>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</si>
  <si>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</si>
  <si>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</si>
  <si>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</si>
  <si>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</si>
  <si>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</si>
  <si>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</si>
  <si>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</si>
  <si>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</si>
  <si>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</si>
  <si>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</si>
  <si>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</si>
  <si>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</si>
  <si>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</si>
  <si>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</si>
  <si>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</si>
  <si>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</si>
  <si>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</si>
  <si>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</si>
  <si>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</si>
  <si>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</si>
  <si>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</si>
  <si>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</si>
  <si>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</si>
  <si>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</si>
  <si>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</si>
  <si>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</si>
  <si>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</si>
  <si>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</si>
  <si>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</si>
  <si>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</si>
  <si>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</si>
  <si>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</si>
  <si>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</si>
  <si>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</si>
  <si>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</si>
  <si>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</si>
  <si>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</si>
  <si>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</si>
  <si>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</si>
  <si>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</si>
  <si>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</si>
  <si>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</si>
  <si>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</si>
  <si>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</si>
  <si>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</si>
  <si>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</si>
  <si>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</si>
  <si>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</si>
  <si>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</si>
  <si>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</si>
  <si>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</si>
  <si>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</si>
  <si>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</si>
  <si>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</si>
  <si>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</si>
  <si>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</si>
  <si>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</si>
  <si>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</si>
  <si>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</si>
  <si>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</si>
  <si>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</si>
  <si>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</si>
  <si>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</si>
  <si>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</si>
  <si>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</si>
  <si>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</si>
  <si>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</si>
  <si>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</si>
  <si>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</si>
  <si>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</si>
  <si>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</si>
  <si>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</si>
  <si>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</si>
  <si>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</si>
  <si>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</si>
  <si>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</si>
  <si>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</si>
  <si>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</si>
  <si>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</si>
  <si>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</si>
  <si>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</si>
  <si>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</si>
  <si>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</si>
  <si>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</si>
  <si>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</si>
  <si>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</si>
  <si>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</si>
  <si>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</si>
  <si>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</si>
  <si>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</si>
  <si>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</si>
  <si>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</si>
  <si>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</si>
  <si>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</si>
  <si>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</si>
  <si>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</si>
  <si>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</si>
  <si>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</si>
  <si>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</si>
  <si>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</si>
  <si>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</si>
  <si>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</si>
  <si>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</si>
  <si>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</si>
  <si>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</si>
  <si>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</si>
  <si>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</si>
  <si>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</si>
  <si>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</si>
  <si>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</si>
  <si>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</si>
  <si>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</si>
  <si>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</si>
  <si>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</si>
  <si>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</si>
  <si>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</si>
  <si>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</si>
  <si>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</si>
  <si>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</si>
  <si>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</si>
  <si>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</si>
  <si>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</si>
  <si>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</si>
  <si>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</si>
  <si>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</si>
  <si>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</si>
  <si>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</si>
  <si>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</si>
  <si>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</si>
  <si>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</si>
  <si>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</si>
  <si>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</si>
  <si>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</si>
  <si>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</si>
  <si>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</si>
  <si>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</si>
  <si>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</si>
  <si>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</si>
  <si>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</si>
  <si>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</si>
  <si>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</si>
  <si>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</si>
  <si>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</si>
  <si>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</si>
  <si>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</si>
  <si>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</si>
  <si>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</si>
  <si>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</si>
  <si>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</si>
  <si>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</si>
  <si>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</si>
  <si>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</si>
  <si>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</si>
  <si>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</si>
  <si>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</si>
  <si>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</si>
  <si>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</si>
  <si>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</si>
  <si>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</si>
  <si>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</si>
  <si>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</si>
  <si>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</si>
  <si>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</si>
  <si>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</si>
  <si>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</si>
  <si>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</si>
  <si>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</si>
  <si>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</si>
  <si>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</si>
  <si>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</si>
  <si>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</si>
  <si>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</si>
  <si>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</si>
  <si>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</si>
  <si>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</si>
  <si>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</si>
  <si>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</si>
  <si>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</si>
  <si>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</si>
  <si>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</si>
  <si>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</si>
  <si>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</si>
  <si>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</si>
  <si>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</si>
  <si>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</si>
  <si>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</si>
  <si>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</si>
  <si>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</si>
  <si>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</si>
  <si>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</si>
  <si>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</si>
  <si>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</si>
  <si>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</si>
  <si>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</si>
  <si>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</si>
  <si>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</si>
  <si>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</si>
  <si>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</si>
  <si>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</si>
  <si>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</si>
  <si>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</si>
  <si>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</si>
  <si>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</si>
  <si>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</si>
  <si>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</si>
  <si>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</si>
  <si>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</si>
  <si>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</si>
  <si>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</si>
  <si>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</si>
  <si>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</si>
  <si>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</si>
  <si>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</si>
  <si>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</si>
  <si>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</si>
  <si>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</si>
  <si>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</si>
  <si>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</si>
  <si>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</si>
  <si>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</si>
  <si>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</si>
  <si>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</si>
  <si>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</si>
  <si>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</si>
  <si>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</si>
  <si>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</si>
  <si>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</si>
  <si>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</si>
  <si>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</si>
  <si>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</si>
  <si>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</si>
  <si>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</si>
  <si>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</si>
  <si>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</si>
  <si>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</si>
  <si>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</si>
  <si>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</si>
  <si>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</si>
  <si>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</si>
  <si>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</si>
  <si>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</si>
  <si>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</si>
  <si>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</si>
  <si>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</si>
  <si>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</si>
  <si>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</si>
  <si>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</si>
  <si>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</si>
  <si>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</si>
  <si>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</si>
  <si>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</si>
  <si>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</si>
  <si>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</si>
  <si>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</si>
  <si>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</si>
  <si>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</si>
  <si>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</si>
  <si>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</si>
  <si>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</si>
  <si>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</si>
  <si>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</si>
  <si>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</si>
  <si>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</si>
  <si>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</si>
  <si>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</si>
  <si>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</si>
  <si>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</si>
  <si>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</si>
  <si>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</si>
  <si>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</si>
  <si>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</si>
  <si>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</si>
  <si>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</si>
  <si>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</si>
  <si>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</si>
  <si>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</si>
  <si>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</si>
  <si>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</si>
  <si>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</si>
  <si>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</si>
  <si>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</si>
  <si>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</si>
  <si>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</si>
  <si>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</si>
  <si>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</si>
  <si>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</si>
  <si>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</si>
  <si>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</si>
  <si>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</si>
  <si>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</si>
  <si>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</si>
  <si>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</si>
  <si>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</si>
  <si>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</si>
  <si>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</si>
  <si>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</si>
  <si>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</si>
  <si>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</si>
  <si>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</si>
  <si>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</si>
  <si>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</si>
  <si>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</si>
  <si>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</si>
  <si>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</si>
  <si>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</si>
  <si>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</si>
  <si>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</si>
  <si>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</si>
  <si>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</si>
  <si>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</si>
  <si>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</si>
  <si>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</si>
  <si>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</si>
  <si>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</si>
  <si>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</si>
  <si>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</si>
  <si>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</si>
  <si>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</si>
  <si>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</si>
  <si>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</si>
  <si>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</si>
  <si>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</si>
  <si>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</si>
  <si>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</si>
  <si>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</si>
  <si>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</si>
  <si>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</si>
  <si>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</si>
  <si>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</si>
  <si>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</si>
  <si>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</si>
  <si>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</si>
  <si>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</si>
  <si>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</si>
  <si>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</si>
  <si>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</si>
  <si>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</si>
  <si>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</si>
  <si>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</si>
  <si>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</si>
  <si>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</si>
  <si>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</si>
  <si>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</si>
  <si>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</si>
  <si>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</si>
  <si>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</si>
  <si>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</si>
  <si>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</si>
  <si>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</si>
  <si>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</si>
  <si>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</si>
  <si>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</si>
  <si>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</si>
  <si>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</si>
  <si>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</si>
  <si>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</si>
  <si>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</si>
  <si>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</si>
  <si>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</si>
  <si>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</si>
  <si>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</si>
  <si>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</si>
  <si>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</si>
  <si>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</si>
  <si>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</si>
  <si>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</si>
  <si>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</si>
  <si>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</si>
  <si>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</si>
  <si>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</si>
  <si>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</si>
  <si>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</si>
  <si>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</si>
  <si>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</si>
  <si>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</si>
  <si>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</si>
  <si>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</si>
  <si>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</si>
  <si>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</si>
  <si>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</si>
  <si>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</si>
  <si>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</si>
  <si>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</si>
  <si>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</si>
  <si>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</si>
  <si>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</si>
  <si>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</si>
  <si>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</si>
  <si>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</si>
  <si>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</si>
  <si>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</si>
  <si>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</si>
  <si>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</si>
  <si>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</si>
  <si>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</si>
  <si>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</si>
  <si>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</si>
  <si>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</si>
  <si>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</si>
  <si>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</si>
  <si>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</si>
  <si>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</si>
  <si>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</si>
  <si>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</si>
  <si>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</si>
  <si>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</si>
  <si>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</si>
  <si>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</si>
  <si>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</si>
  <si>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</si>
  <si>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</si>
  <si>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</si>
  <si>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</si>
  <si>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</si>
  <si>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</si>
  <si>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</si>
  <si>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</si>
  <si>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</si>
  <si>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</si>
  <si>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</si>
  <si>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</si>
  <si>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</si>
  <si>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</si>
  <si>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</si>
  <si>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</si>
  <si>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</si>
  <si>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</si>
  <si>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</si>
  <si>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</si>
  <si>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</si>
  <si>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</si>
  <si>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</si>
  <si>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</si>
  <si>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</si>
  <si>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</si>
  <si>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</si>
  <si>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</si>
  <si>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</si>
  <si>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</si>
  <si>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</si>
  <si>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</si>
  <si>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</si>
  <si>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</si>
  <si>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</si>
  <si>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</si>
  <si>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</si>
  <si>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</si>
  <si>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</si>
  <si>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</si>
  <si>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</si>
  <si>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</si>
  <si>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</si>
  <si>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</si>
  <si>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</si>
  <si>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</si>
  <si>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</si>
  <si>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</si>
  <si>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</si>
  <si>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</si>
  <si>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</si>
  <si>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</si>
  <si>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</si>
  <si>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</si>
  <si>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</si>
  <si>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</si>
  <si>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</si>
  <si>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</si>
  <si>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</si>
  <si>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</si>
  <si>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</si>
  <si>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</si>
  <si>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</si>
  <si>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</si>
  <si>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</si>
  <si>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</si>
  <si>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</si>
  <si>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</si>
  <si>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</si>
  <si>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</si>
  <si>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</si>
  <si>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</si>
  <si>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</si>
  <si>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</si>
  <si>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</si>
  <si>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</si>
  <si>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</si>
  <si>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</si>
  <si>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</si>
  <si>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</si>
  <si>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</si>
  <si>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</si>
  <si>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</si>
  <si>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</si>
  <si>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</si>
  <si>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</si>
  <si>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</si>
  <si>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</si>
  <si>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</si>
  <si>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</si>
  <si>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</si>
  <si>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</si>
  <si>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</si>
  <si>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</si>
  <si>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</si>
  <si>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</si>
  <si>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</si>
  <si>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</si>
  <si>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</si>
  <si>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</si>
  <si>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</si>
  <si>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</si>
  <si>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</si>
  <si>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</si>
  <si>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</si>
  <si>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</si>
  <si>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</si>
  <si>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</si>
  <si>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</si>
  <si>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</si>
  <si>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</si>
  <si>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</si>
  <si>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</si>
  <si>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</si>
  <si>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</si>
  <si>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</si>
  <si>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</si>
  <si>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</si>
  <si>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</si>
  <si>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</si>
  <si>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</si>
  <si>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</si>
  <si>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</si>
  <si>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</si>
  <si>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</si>
  <si>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</si>
  <si>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</si>
  <si>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</si>
  <si>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</si>
  <si>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</si>
  <si>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</si>
  <si>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</si>
  <si>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</si>
  <si>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</si>
  <si>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</si>
  <si>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</si>
  <si>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</si>
  <si>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</si>
  <si>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</si>
  <si>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</si>
  <si>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</si>
  <si>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</si>
  <si>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</si>
  <si>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</si>
  <si>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</si>
  <si>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</si>
  <si>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</si>
  <si>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</si>
  <si>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</si>
  <si>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</si>
  <si>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</si>
  <si>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</si>
  <si>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</si>
  <si>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</si>
  <si>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</si>
  <si>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</si>
  <si>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</si>
  <si>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</si>
  <si>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</si>
  <si>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</si>
  <si>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</si>
  <si>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</si>
  <si>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</si>
  <si>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</si>
  <si>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</si>
  <si>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</si>
  <si>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</si>
  <si>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</si>
  <si>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</si>
  <si>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</si>
  <si>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</si>
  <si>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</si>
  <si>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</si>
  <si>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</si>
  <si>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</si>
  <si>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</si>
  <si>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</si>
  <si>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</si>
  <si>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</si>
  <si>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</si>
  <si>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</si>
  <si>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</si>
  <si>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</si>
  <si>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</si>
  <si>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</si>
  <si>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</si>
  <si>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</si>
  <si>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</si>
  <si>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</si>
  <si>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</si>
  <si>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</si>
  <si>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</si>
  <si>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</si>
  <si>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</si>
  <si>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</si>
  <si>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</si>
  <si>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</si>
  <si>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</si>
  <si>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</si>
  <si>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</si>
  <si>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</si>
  <si>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</si>
  <si>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</si>
  <si>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</si>
  <si>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</si>
  <si>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</si>
  <si>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</si>
  <si>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</si>
  <si>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</si>
  <si>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</si>
  <si>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</si>
  <si>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</si>
  <si>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</si>
  <si>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</si>
  <si>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</si>
  <si>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</si>
  <si>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</si>
  <si>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</si>
  <si>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</si>
  <si>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</si>
  <si>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</si>
  <si>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</si>
  <si>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</si>
  <si>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</si>
  <si>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</si>
  <si>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</si>
  <si>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Prior year income not posted</t>
  </si>
  <si>
    <t>Prior year adjustments</t>
  </si>
  <si>
    <t>07/22</t>
  </si>
  <si>
    <t>08/07</t>
  </si>
  <si>
    <t>08/42</t>
  </si>
  <si>
    <t>08/27</t>
  </si>
  <si>
    <t>change in deferred revenue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</si>
</sst>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1306</v>
      </c>
      <c r="B2">
        <f>INDEX('School Tables'!$AH$3:$AH$213,MATCH('DOE25'!A2,'School Tables'!$AJ$3:$AJ$213,0))</f>
        <v>401</v>
      </c>
      <c r="C2">
        <f>INDEX('School Tables'!$AI$3:$AI$213,MATCH('DOE25'!A2,'School Tables'!$AJ$3:$AJ$213,0))</f>
        <v>401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22334.04</v>
      </c>
      <c r="G9" s="18">
        <v>200</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1612615.67</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187143.2</v>
      </c>
      <c r="G12" s="18">
        <v>-7739.24</v>
      </c>
      <c r="H12" s="18">
        <v>-471297.82</v>
      </c>
      <c r="I12" s="18">
        <v>291893.86</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42997.41</v>
      </c>
      <c r="H13" s="18">
        <v>504254.1</v>
      </c>
      <c r="I13" s="18">
        <v>66738.48</v>
      </c>
      <c r="J13" s="13">
        <f>SUM(I443)</f>
        <v>331568.68000000005</v>
      </c>
      <c r="K13" s="23" t="s">
        <v>288</v>
      </c>
      <c r="L13" s="23" t="s">
        <v>288</v>
      </c>
      <c r="M13" s="8"/>
      <c r="N13" s="164"/>
    </row>
    <row r="14" spans="1:14" s="3" customFormat="1" ht="12.2" customHeight="1" x14ac:dyDescent="0.15">
      <c r="A14" s="1" t="s">
        <v>565</v>
      </c>
      <c r="B14" s="2" t="s">
        <v>289</v>
      </c>
      <c r="C14" s="6">
        <v>6</v>
      </c>
      <c r="D14" s="2" t="s">
        <v>428</v>
      </c>
      <c r="E14" s="6">
        <v>150</v>
      </c>
      <c r="F14" s="18">
        <v>168906.45</v>
      </c>
      <c r="G14" s="18"/>
      <c r="H14" s="18">
        <v>31523.9</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9031.64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v>9223.64</v>
      </c>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1369.98</v>
      </c>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1992369.3399999999</v>
      </c>
      <c r="G19" s="38">
        <f>SUM(G9:G18)</f>
        <v>53713.450000000004</v>
      </c>
      <c r="H19" s="38">
        <f>SUM(H9:H18)</f>
        <v>64480.179999999971</v>
      </c>
      <c r="I19" s="38">
        <f>SUM(I9:I18)</f>
        <v>358632.33999999997</v>
      </c>
      <c r="J19" s="38">
        <f>SUM(J9:J18)</f>
        <v>331568.68000000005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977199.64</v>
      </c>
      <c r="G24" s="18"/>
      <c r="H24" s="18">
        <v>3947.39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34504.14</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5365.02+459356.9+1254.74+3062.29</f>
        <v>469038.95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31251.99</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4206.18</v>
      </c>
      <c r="H31" s="18">
        <v>50</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1480742.73</v>
      </c>
      <c r="G32" s="38">
        <f>SUM(G22:G31)</f>
        <v>35458.17</v>
      </c>
      <c r="H32" s="38">
        <f>SUM(H22:H31)</f>
        <v>3997.39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9031.64</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v>9223.64</v>
      </c>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60482.79</v>
      </c>
      <c r="I48" s="18">
        <f>1439714.25-1081081.91</f>
        <v>358632.34000000008</v>
      </c>
      <c r="J48" s="13">
        <f>SUM(I460)</f>
        <v>331568.68000000005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-22605.88+21823062.78-21288830.28-0.01</f>
        <v>511626.61000000103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511626.61000000103</v>
      </c>
      <c r="G51" s="38">
        <f>SUM(G35:G50)</f>
        <v>18255.28</v>
      </c>
      <c r="H51" s="38">
        <f>SUM(H35:H50)</f>
        <v>60482.79</v>
      </c>
      <c r="I51" s="38">
        <f>SUM(I35:I50)</f>
        <v>358632.34000000008</v>
      </c>
      <c r="J51" s="38">
        <f>SUM(J35:J50)</f>
        <v>331568.68000000005</v>
      </c>
      <c r="K51" s="42" t="s">
        <v>288</v>
      </c>
      <c r="L51" s="42" t="s">
        <v>288</v>
      </c>
      <c r="N51" s="130"/>
    </row>
    <row r="52" spans="1:14" s="3" customFormat="1" ht="12.2" customHeight="1" thickTop="1" x14ac:dyDescent="0.15">
      <c r="A52" s="35" t="s">
        <v>455</v>
      </c>
      <c r="B52" s="36" t="s">
        <v>289</v>
      </c>
      <c r="C52" s="6">
        <v>37</v>
      </c>
      <c r="D52" s="36" t="s">
        <v>653</v>
      </c>
      <c r="E52" s="36"/>
      <c r="F52" s="38">
        <f>F51+F32</f>
        <v>1992369.340000001</v>
      </c>
      <c r="G52" s="38">
        <f>G51+G32</f>
        <v>53713.45</v>
      </c>
      <c r="H52" s="38">
        <f>H51+H32</f>
        <v>64480.18</v>
      </c>
      <c r="I52" s="38">
        <f>I51+I32</f>
        <v>358632.34000000008</v>
      </c>
      <c r="J52" s="38">
        <f>J51+J32</f>
        <v>331568.68000000005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9504536</f>
        <v>9504536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9504536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15731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46625</v>
      </c>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1242522.8700000001</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158414.89000000001</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31350.22</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1494643.9800000002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f>1810.03+3037.08</f>
        <v>4847.1099999999997</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4"/>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4847.1099999999997</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2738.3</v>
      </c>
      <c r="G96" s="18"/>
      <c r="H96" s="18"/>
      <c r="I96" s="18">
        <v>84487.52</v>
      </c>
      <c r="J96" s="18">
        <v>314.85000000000002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86215.77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1631.26+940.56+2306.75+3947.39+986.7+1470.97+1988.1+30000+1447.7</f>
        <v>44719.429999999993</v>
      </c>
      <c r="I102" s="18">
        <v>147900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8059.59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10797.89</v>
      </c>
      <c r="G111" s="38">
        <f>SUM(G96:G110)</f>
        <v>86215.77</v>
      </c>
      <c r="H111" s="38">
        <f>SUM(H96:H110)</f>
        <v>44719.429999999993</v>
      </c>
      <c r="I111" s="38">
        <f>SUM(I96:I110)</f>
        <v>232387.52000000002</v>
      </c>
      <c r="J111" s="38">
        <f>SUM(J96:J110)</f>
        <v>314.85000000000002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11014824.98</v>
      </c>
      <c r="G112" s="38">
        <f>G60+G111</f>
        <v>86215.77</v>
      </c>
      <c r="H112" s="38">
        <f>H60+H79+H94+H111</f>
        <v>44719.429999999993</v>
      </c>
      <c r="I112" s="38">
        <f>I60+I111</f>
        <v>232387.52000000002</v>
      </c>
      <c r="J112" s="38">
        <f>J60+J111</f>
        <v>314.85000000000002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7487319.9299999997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889205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17757.16</v>
      </c>
      <c r="G120" s="18"/>
      <c r="H120" s="18">
        <f>3473.38+9965</f>
        <v>13438.380000000001</v>
      </c>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8394282.0899999999</v>
      </c>
      <c r="G121" s="38">
        <f>SUM(G117:G120)</f>
        <v>0</v>
      </c>
      <c r="H121" s="38">
        <f>SUM(H117:H120)</f>
        <v>13438.380000000001</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336744.38</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68026.67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101091.48</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3908</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v>5719191.3399999999</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4307.91+1478.31</f>
        <v>5786.2199999999993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509770.52999999997</v>
      </c>
      <c r="G136" s="38">
        <f>SUM(G123:G135)</f>
        <v>5786.2199999999993</v>
      </c>
      <c r="H136" s="38">
        <f>SUM(H123:H135)</f>
        <v>0</v>
      </c>
      <c r="I136" s="38">
        <f>SUM(I123:I135)</f>
        <v>5719191.3399999999</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8904052.6199999992</v>
      </c>
      <c r="G140" s="38">
        <f>G121+SUM(G136:G137)</f>
        <v>5786.2199999999993</v>
      </c>
      <c r="H140" s="38">
        <f>H121+SUM(H136:H139)</f>
        <v>13438.380000000001</v>
      </c>
      <c r="I140" s="38">
        <f>I121+I136</f>
        <v>5719191.3399999999</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16038.67</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16038.67</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35544.7+580710.02+5981.16+127681.74</f>
        <v>749917.62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6056.97+5500+936.62+35770.81+12495.65+15318.65+61317.09+14415.54+11073.47</f>
        <v>162884.79999999999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10534.54+36678.45</f>
        <v>47212.99</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74363.490000000005</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182562.85+50059.1</f>
        <v>232621.95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77753.81+29574.53+261462.25</f>
        <v>368790.58999999997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133980.51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f>26370.34+34612.59+35944.26</f>
        <v>96927.19</v>
      </c>
      <c r="H161" s="18">
        <f>131469.06+7364.46+19755.42+21087+84059.31+81628.56+81201.85+25000+3375.23</f>
        <v>454940.89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166811.42+932328.17+1663409.05</f>
        <v>2762548.64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133980.51</v>
      </c>
      <c r="G163" s="38">
        <f>SUM(G150:G162)</f>
        <v>329549.14</v>
      </c>
      <c r="H163" s="38">
        <f>SUM(H150:H162)</f>
        <v>4620659.0199999996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150019.18000000002</v>
      </c>
      <c r="G170" s="38">
        <f>G147+G163+SUM(G164:G169)</f>
        <v>329549.14</v>
      </c>
      <c r="H170" s="38">
        <f>H147+H163+SUM(H164:H169)</f>
        <v>4620659.0199999996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53635.14</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53635.14</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53635.14</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20068896.780000001</v>
      </c>
      <c r="G194" s="38">
        <f>G112+G140+G170+G193</f>
        <v>475186.27</v>
      </c>
      <c r="H194" s="38">
        <f>H112+H140+H170+H193</f>
        <v>4678816.8299999991</v>
      </c>
      <c r="I194" s="38">
        <f>I112+I140+I170+I193</f>
        <v>5951578.8599999994</v>
      </c>
      <c r="J194" s="38">
        <f>J112+J140+J193</f>
        <v>314.85000000000002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1237104.61+40328</f>
        <v>1277432.6100000001</v>
      </c>
      <c r="G198" s="18">
        <f>26494.13+651270.71+863.67+22232.45</f>
        <v>700860.96</v>
      </c>
      <c r="H198" s="18">
        <v>900</v>
      </c>
      <c r="I198" s="18">
        <v>41676.29</v>
      </c>
      <c r="J198" s="18">
        <v>276.5</v>
      </c>
      <c r="K198" s="18">
        <v>550</v>
      </c>
      <c r="L198" s="13">
        <f>SUM(F198:K198)</f>
        <v>2021696.36</v>
      </c>
      <c r="M198" s="8"/>
      <c r="N198" s="164"/>
    </row>
    <row r="199" spans="1:14" s="3" customFormat="1" ht="12.2" customHeight="1" x14ac:dyDescent="0.15">
      <c r="A199" s="1" t="s">
        <v>439</v>
      </c>
      <c r="B199" s="2" t="s">
        <v>341</v>
      </c>
      <c r="C199" s="2" t="s">
        <v>291</v>
      </c>
      <c r="D199" s="2" t="s">
        <v>431</v>
      </c>
      <c r="E199" s="6">
        <v>1200</v>
      </c>
      <c r="F199" s="18">
        <f>659299.95+119447.71</f>
        <v>778747.65999999992</v>
      </c>
      <c r="G199" s="18">
        <f>14119.72+262514.16+2558.12+53528.6</f>
        <v>332720.59999999992</v>
      </c>
      <c r="H199" s="18">
        <f>109007.77+7.03</f>
        <v>109014.8</v>
      </c>
      <c r="I199" s="18">
        <f>7430.23+517.99</f>
        <v>7948.2199999999993</v>
      </c>
      <c r="J199" s="18"/>
      <c r="K199" s="18">
        <f>1616.33+819.92</f>
        <v>2436.25</v>
      </c>
      <c r="L199" s="13">
        <f>SUM(F199:K199)</f>
        <v>1230867.5299999998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18941.919999999998</v>
      </c>
      <c r="G201" s="18">
        <f>405.66+5030.28</f>
        <v>5435.94</v>
      </c>
      <c r="H201" s="18"/>
      <c r="I201" s="18"/>
      <c r="J201" s="18"/>
      <c r="K201" s="18"/>
      <c r="L201" s="13">
        <f>SUM(F201:K201)</f>
        <v>24377.859999999997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364139.31</v>
      </c>
      <c r="G203" s="18">
        <v>189157.71</v>
      </c>
      <c r="H203" s="18">
        <v>485416.66</v>
      </c>
      <c r="I203" s="18">
        <v>5709.35</v>
      </c>
      <c r="J203" s="18"/>
      <c r="K203" s="18"/>
      <c r="L203" s="13">
        <f t="shared" ref="L203:L209" si="0">SUM(F203:K203)</f>
        <v>1044423.0299999999</v>
      </c>
      <c r="M203" s="8"/>
      <c r="N203" s="164"/>
    </row>
    <row r="204" spans="1:14" s="3" customFormat="1" ht="12.2" customHeight="1" x14ac:dyDescent="0.15">
      <c r="A204" s="1" t="s">
        <v>443</v>
      </c>
      <c r="B204" s="2" t="s">
        <v>341</v>
      </c>
      <c r="C204" s="2" t="s">
        <v>295</v>
      </c>
      <c r="D204" s="2" t="s">
        <v>431</v>
      </c>
      <c r="E204" s="6">
        <v>2200</v>
      </c>
      <c r="F204" s="18">
        <f>39234.84+49761.46+6470.41+38909</f>
        <v>134375.71</v>
      </c>
      <c r="G204" s="18">
        <f>24305.21+512.25+6416.57+14481.57+8241.8+494.63+706.01+833.28+21621.56+1175</f>
        <v>78787.87999999999</v>
      </c>
      <c r="H204" s="18">
        <f>2062.28+110.23+2697.22+2415.78+6117.93+378.83+768.21+33624.58</f>
        <v>48175.06</v>
      </c>
      <c r="I204" s="18">
        <f>2763.88+74976.38+453.01+20002.74+1619.74+34013.18</f>
        <v>133828.93000000002</v>
      </c>
      <c r="J204" s="18">
        <f>0+12174.44+36673.42</f>
        <v>48847.86</v>
      </c>
      <c r="K204" s="18">
        <f>131.98+0+655.85+120</f>
        <v>907.83</v>
      </c>
      <c r="L204" s="13">
        <f t="shared" si="0"/>
        <v>444923.26999999996</v>
      </c>
      <c r="M204" s="8"/>
      <c r="N204" s="164"/>
    </row>
    <row r="205" spans="1:14" s="3" customFormat="1" ht="12.2" customHeight="1" x14ac:dyDescent="0.15">
      <c r="A205" s="1" t="s">
        <v>444</v>
      </c>
      <c r="B205" s="2" t="s">
        <v>341</v>
      </c>
      <c r="C205" s="2" t="s">
        <v>296</v>
      </c>
      <c r="D205" s="2" t="s">
        <v>431</v>
      </c>
      <c r="E205" s="6">
        <v>2300</v>
      </c>
      <c r="F205" s="18">
        <f>2464.52+3208.19+55229.6+22173.06+39594.75+53808.25+17270.43</f>
        <v>193748.8</v>
      </c>
      <c r="G205" s="18">
        <f>433.99+0+32708.4+526.89+8072.42+19331.23+3248.8+351.26+6157.52+10472.55+976.67+955.96</f>
        <v>83235.69</v>
      </c>
      <c r="H205" s="18">
        <f>12731.24+26090.46+1868.06+384.5+1631.71+1100.87</f>
        <v>43806.84</v>
      </c>
      <c r="I205" s="18">
        <f>2299.25+3220.09</f>
        <v>5519.34</v>
      </c>
      <c r="J205" s="18"/>
      <c r="K205" s="18">
        <f>0+1872.34+1504.6+60.51</f>
        <v>3437.45</v>
      </c>
      <c r="L205" s="13">
        <f t="shared" si="0"/>
        <v>329748.12</v>
      </c>
      <c r="M205" s="8"/>
      <c r="N205" s="164"/>
    </row>
    <row r="206" spans="1:14" s="3" customFormat="1" ht="12.2" customHeight="1" x14ac:dyDescent="0.15">
      <c r="A206" s="1" t="s">
        <v>445</v>
      </c>
      <c r="B206" s="2" t="s">
        <v>341</v>
      </c>
      <c r="C206" s="2" t="s">
        <v>297</v>
      </c>
      <c r="D206" s="2" t="s">
        <v>431</v>
      </c>
      <c r="E206" s="6">
        <v>2400</v>
      </c>
      <c r="F206" s="18">
        <v>313112.59999999998</v>
      </c>
      <c r="G206" s="18">
        <f>6705.69+134763.69</f>
        <v>141469.38</v>
      </c>
      <c r="H206" s="18">
        <v>3603.26</v>
      </c>
      <c r="I206" s="18"/>
      <c r="J206" s="18"/>
      <c r="K206" s="18"/>
      <c r="L206" s="13">
        <f t="shared" si="0"/>
        <v>458185.24</v>
      </c>
      <c r="M206" s="8"/>
      <c r="N206" s="164"/>
    </row>
    <row r="207" spans="1:14" s="3" customFormat="1" ht="12.2" customHeight="1" x14ac:dyDescent="0.15">
      <c r="A207" s="1" t="s">
        <v>446</v>
      </c>
      <c r="B207" s="2" t="s">
        <v>341</v>
      </c>
      <c r="C207" s="2" t="s">
        <v>298</v>
      </c>
      <c r="D207" s="2" t="s">
        <v>431</v>
      </c>
      <c r="E207" s="6">
        <v>2500</v>
      </c>
      <c r="F207" s="18">
        <f>37361.2+100465.08</f>
        <v>137826.28</v>
      </c>
      <c r="G207" s="18">
        <f>25630.6+702.52+10239.2+15456.36+60.51</f>
        <v>52089.19</v>
      </c>
      <c r="H207" s="18">
        <f>5664.57+139.4+365.49+1311.55+27.4</f>
        <v>7508.4099999999989</v>
      </c>
      <c r="I207" s="18">
        <v>2742.11</v>
      </c>
      <c r="J207" s="18"/>
      <c r="K207" s="18">
        <v>194.52</v>
      </c>
      <c r="L207" s="13">
        <f t="shared" si="0"/>
        <v>200360.50999999998</v>
      </c>
      <c r="M207" s="8"/>
      <c r="N207" s="164"/>
    </row>
    <row r="208" spans="1:14" s="3" customFormat="1" ht="12.2" customHeight="1" x14ac:dyDescent="0.15">
      <c r="A208" s="1" t="s">
        <v>447</v>
      </c>
      <c r="B208" s="2" t="s">
        <v>341</v>
      </c>
      <c r="C208" s="2" t="s">
        <v>299</v>
      </c>
      <c r="D208" s="2" t="s">
        <v>431</v>
      </c>
      <c r="E208" s="6">
        <v>2600</v>
      </c>
      <c r="F208" s="18">
        <f>58469.23+0+170008.43</f>
        <v>228477.66</v>
      </c>
      <c r="G208" s="18">
        <f>80722.42+3640.94+125104.96</f>
        <v>209468.32</v>
      </c>
      <c r="H208" s="18">
        <f>27633.69+136870.2</f>
        <v>164503.89000000001</v>
      </c>
      <c r="I208" s="18">
        <f>24232.88+163467.94</f>
        <v>187700.82</v>
      </c>
      <c r="J208" s="18">
        <f>30784.41+5916.78</f>
        <v>36701.19</v>
      </c>
      <c r="K208" s="18">
        <v>381.73</v>
      </c>
      <c r="L208" s="13">
        <f t="shared" si="0"/>
        <v>827233.60999999987</v>
      </c>
      <c r="M208" s="8"/>
      <c r="N208" s="164"/>
    </row>
    <row r="209" spans="1:14" s="3" customFormat="1" ht="12.2" customHeight="1" x14ac:dyDescent="0.15">
      <c r="A209" s="1" t="s">
        <v>448</v>
      </c>
      <c r="B209" s="2" t="s">
        <v>341</v>
      </c>
      <c r="C209" s="2" t="s">
        <v>300</v>
      </c>
      <c r="D209" s="2" t="s">
        <v>431</v>
      </c>
      <c r="E209" s="6">
        <v>2700</v>
      </c>
      <c r="F209" s="18">
        <f>143876.4+28538.17+5617.41+210.49+1747.25</f>
        <v>179989.72</v>
      </c>
      <c r="G209" s="18">
        <f>41444.78+1218.3+2722.21+37.42+133.66</f>
        <v>45556.37</v>
      </c>
      <c r="H209" s="18">
        <f>7491.79+6768.59</f>
        <v>14260.380000000001</v>
      </c>
      <c r="I209" s="18">
        <f>30897.01+3950.54+6781.86</f>
        <v>41629.409999999996</v>
      </c>
      <c r="J209" s="18"/>
      <c r="K209" s="18">
        <v>874.92</v>
      </c>
      <c r="L209" s="13">
        <f t="shared" si="0"/>
        <v>282310.8</v>
      </c>
      <c r="M209" s="8"/>
      <c r="N209" s="164"/>
    </row>
    <row r="210" spans="1:14" s="3" customFormat="1" ht="12.2" customHeight="1" x14ac:dyDescent="0.15">
      <c r="A210" s="1" t="s">
        <v>449</v>
      </c>
      <c r="B210" s="2" t="s">
        <v>341</v>
      </c>
      <c r="C210" s="2" t="s">
        <v>343</v>
      </c>
      <c r="D210" s="2" t="s">
        <v>431</v>
      </c>
      <c r="E210" s="6">
        <v>2800</v>
      </c>
      <c r="F210" s="18">
        <v>43420.45</v>
      </c>
      <c r="G210" s="18">
        <v>15232.91</v>
      </c>
      <c r="H210" s="18"/>
      <c r="I210" s="18"/>
      <c r="J210" s="18"/>
      <c r="K210" s="18"/>
      <c r="L210" s="13">
        <f>SUM(F210:K210)</f>
        <v>58653.36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3670212.72</v>
      </c>
      <c r="G212" s="38">
        <f t="shared" si="1"/>
        <v>1854014.9499999997</v>
      </c>
      <c r="H212" s="38">
        <f t="shared" si="1"/>
        <v>877189.3</v>
      </c>
      <c r="I212" s="38">
        <f t="shared" si="1"/>
        <v>426754.47000000003</v>
      </c>
      <c r="J212" s="38">
        <f t="shared" si="1"/>
        <v>85825.55</v>
      </c>
      <c r="K212" s="38">
        <f t="shared" si="1"/>
        <v>8782.7000000000007</v>
      </c>
      <c r="L212" s="38">
        <f t="shared" si="1"/>
        <v>6922779.6899999995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844669.68</v>
      </c>
      <c r="G216" s="18">
        <f>18089.65+436169.05</f>
        <v>454258.7</v>
      </c>
      <c r="H216" s="18"/>
      <c r="I216" s="18">
        <v>30722.19</v>
      </c>
      <c r="J216" s="18">
        <v>544.95000000000005</v>
      </c>
      <c r="K216" s="18">
        <v>2730</v>
      </c>
      <c r="L216" s="13">
        <f>SUM(F216:K216)</f>
        <v>1332925.52</v>
      </c>
      <c r="M216" s="8"/>
      <c r="N216" s="164"/>
    </row>
    <row r="217" spans="1:14" s="3" customFormat="1" ht="12.2" customHeight="1" x14ac:dyDescent="0.15">
      <c r="A217" s="1" t="s">
        <v>439</v>
      </c>
      <c r="B217" s="2" t="s">
        <v>346</v>
      </c>
      <c r="C217" s="2" t="s">
        <v>291</v>
      </c>
      <c r="D217" s="2" t="s">
        <v>431</v>
      </c>
      <c r="E217" s="6">
        <v>1200</v>
      </c>
      <c r="F217" s="18">
        <f>268924.68</f>
        <v>268924.68</v>
      </c>
      <c r="G217" s="18">
        <f>5759.35+112900.94</f>
        <v>118660.29000000001</v>
      </c>
      <c r="H217" s="18">
        <v>516926.08</v>
      </c>
      <c r="I217" s="18">
        <f>6592.49</f>
        <v>6592.49</v>
      </c>
      <c r="J217" s="18"/>
      <c r="K217" s="18"/>
      <c r="L217" s="13">
        <f>SUM(F217:K217)</f>
        <v>911103.54</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25088.7+16000</f>
        <v>41088.699999999997</v>
      </c>
      <c r="G219" s="18">
        <f>537.31+6723.47+342.66+3358.7</f>
        <v>10962.14</v>
      </c>
      <c r="H219" s="18"/>
      <c r="I219" s="18"/>
      <c r="J219" s="18"/>
      <c r="K219" s="18"/>
      <c r="L219" s="13">
        <f>SUM(F219:K219)</f>
        <v>52050.84</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182551.88</v>
      </c>
      <c r="G221" s="18">
        <v>119094.08</v>
      </c>
      <c r="H221" s="18">
        <v>38142.949999999997</v>
      </c>
      <c r="I221" s="18">
        <v>3453.94</v>
      </c>
      <c r="J221" s="18"/>
      <c r="K221" s="18"/>
      <c r="L221" s="13">
        <f t="shared" ref="L221:L227" si="2">SUM(F221:K221)</f>
        <v>343242.85000000003</v>
      </c>
      <c r="M221" s="8"/>
      <c r="N221" s="164"/>
    </row>
    <row r="222" spans="1:14" s="3" customFormat="1" ht="12.2" customHeight="1" x14ac:dyDescent="0.15">
      <c r="A222" s="1" t="s">
        <v>443</v>
      </c>
      <c r="B222" s="2" t="s">
        <v>346</v>
      </c>
      <c r="C222" s="2" t="s">
        <v>295</v>
      </c>
      <c r="D222" s="2" t="s">
        <v>431</v>
      </c>
      <c r="E222" s="6">
        <v>2200</v>
      </c>
      <c r="F222" s="18">
        <f>9933.52+22704.23+28795.73+3744.26</f>
        <v>65177.74</v>
      </c>
      <c r="G222" s="18">
        <f>400+212.74+5470.4+14064.83+296.43+3713.11+8380.13+4769.33+286.23+408.55</f>
        <v>38001.750000000007</v>
      </c>
      <c r="H222" s="18">
        <f>16073.29+1193.39+63.79+1560.81+1397.95+3540.3+219.22</f>
        <v>24048.750000000004</v>
      </c>
      <c r="I222" s="18">
        <f>16052.36+1599.39+43386.97+262.14+11575.09</f>
        <v>72875.95</v>
      </c>
      <c r="J222" s="18">
        <f>27361.73+7045.05</f>
        <v>34406.78</v>
      </c>
      <c r="K222" s="18">
        <f>76.38+379.53</f>
        <v>455.90999999999997</v>
      </c>
      <c r="L222" s="13">
        <f t="shared" si="2"/>
        <v>234966.88</v>
      </c>
      <c r="M222" s="8"/>
      <c r="N222" s="164"/>
    </row>
    <row r="223" spans="1:14" s="3" customFormat="1" ht="12.2" customHeight="1" x14ac:dyDescent="0.15">
      <c r="A223" s="1" t="s">
        <v>444</v>
      </c>
      <c r="B223" s="2" t="s">
        <v>346</v>
      </c>
      <c r="C223" s="2" t="s">
        <v>296</v>
      </c>
      <c r="D223" s="2" t="s">
        <v>431</v>
      </c>
      <c r="E223" s="6">
        <v>2300</v>
      </c>
      <c r="F223" s="18">
        <f>1426.16+1856.5+31960+12831+22912.5+31137.5+9993.97</f>
        <v>112117.63</v>
      </c>
      <c r="G223" s="18">
        <f>251.14+18927.54+304.9+4671.31+11186.5+1880+203.27+3563.21+6060.2+565.18+553.19</f>
        <v>48166.439999999995</v>
      </c>
      <c r="H223" s="18">
        <f>637.05+7367.25+15097.9+1081+222.5+944.23</f>
        <v>25349.93</v>
      </c>
      <c r="I223" s="18">
        <f>1330.52+1863.39</f>
        <v>3193.91</v>
      </c>
      <c r="J223" s="18"/>
      <c r="K223" s="18">
        <f>1083.47+870.68+35.02</f>
        <v>1989.17</v>
      </c>
      <c r="L223" s="13">
        <f t="shared" si="2"/>
        <v>190817.08000000002</v>
      </c>
      <c r="M223" s="8"/>
      <c r="N223" s="164"/>
    </row>
    <row r="224" spans="1:14" s="3" customFormat="1" ht="12.2" customHeight="1" x14ac:dyDescent="0.15">
      <c r="A224" s="1" t="s">
        <v>445</v>
      </c>
      <c r="B224" s="2" t="s">
        <v>346</v>
      </c>
      <c r="C224" s="2" t="s">
        <v>297</v>
      </c>
      <c r="D224" s="2" t="s">
        <v>431</v>
      </c>
      <c r="E224" s="6">
        <v>2400</v>
      </c>
      <c r="F224" s="18">
        <v>212359.36</v>
      </c>
      <c r="G224" s="18">
        <f>4547.94+73511.52</f>
        <v>78059.460000000006</v>
      </c>
      <c r="H224" s="18">
        <v>1194.33</v>
      </c>
      <c r="I224" s="18">
        <v>2959.41</v>
      </c>
      <c r="J224" s="18">
        <v>269.99</v>
      </c>
      <c r="K224" s="18">
        <f>660</f>
        <v>660</v>
      </c>
      <c r="L224" s="13">
        <f t="shared" si="2"/>
        <v>295502.55</v>
      </c>
      <c r="M224" s="8"/>
      <c r="N224" s="164"/>
    </row>
    <row r="225" spans="1:14" s="3" customFormat="1" ht="12.2" customHeight="1" x14ac:dyDescent="0.15">
      <c r="A225" s="1" t="s">
        <v>446</v>
      </c>
      <c r="B225" s="2" t="s">
        <v>346</v>
      </c>
      <c r="C225" s="2" t="s">
        <v>298</v>
      </c>
      <c r="D225" s="2" t="s">
        <v>431</v>
      </c>
      <c r="E225" s="6">
        <v>2500</v>
      </c>
      <c r="F225" s="18">
        <f>21620+58136.65</f>
        <v>79756.649999999994</v>
      </c>
      <c r="G225" s="18">
        <f>14831.79+406.53+5925.17+8944.21+35.02</f>
        <v>30142.720000000001</v>
      </c>
      <c r="H225" s="18">
        <f>3277.94+80.67+211.5+758.96+15.86</f>
        <v>4344.9299999999994</v>
      </c>
      <c r="I225" s="18">
        <v>1586.79</v>
      </c>
      <c r="J225" s="18"/>
      <c r="K225" s="18">
        <v>112.57</v>
      </c>
      <c r="L225" s="13">
        <f t="shared" si="2"/>
        <v>115943.65999999999</v>
      </c>
      <c r="M225" s="8"/>
      <c r="N225" s="164"/>
    </row>
    <row r="226" spans="1:14" s="3" customFormat="1" ht="12.2" customHeight="1" x14ac:dyDescent="0.15">
      <c r="A226" s="1" t="s">
        <v>447</v>
      </c>
      <c r="B226" s="2" t="s">
        <v>346</v>
      </c>
      <c r="C226" s="2" t="s">
        <v>299</v>
      </c>
      <c r="D226" s="2" t="s">
        <v>431</v>
      </c>
      <c r="E226" s="6">
        <v>2600</v>
      </c>
      <c r="F226" s="18">
        <f>114108.8+31915.52+1919.17</f>
        <v>147943.49000000002</v>
      </c>
      <c r="G226" s="18">
        <f>2443.78+33867.41+10205.48+194.8+2500.36+4577.83</f>
        <v>53789.66</v>
      </c>
      <c r="H226" s="18">
        <f>201731.41+29233.6+531.97+1860.03+5920.12+4287.61+2872.88+518.33</f>
        <v>246955.94999999998</v>
      </c>
      <c r="I226" s="18">
        <f>100027.34+3226+7228.77-33.77+2964.32+637.64</f>
        <v>114050.3</v>
      </c>
      <c r="J226" s="18">
        <f>5074.1+6444.07+11370.1</f>
        <v>22888.27</v>
      </c>
      <c r="K226" s="18">
        <v>220.9</v>
      </c>
      <c r="L226" s="13">
        <f t="shared" si="2"/>
        <v>585848.57000000007</v>
      </c>
      <c r="M226" s="8"/>
      <c r="N226" s="164"/>
    </row>
    <row r="227" spans="1:14" s="3" customFormat="1" ht="12.2" customHeight="1" x14ac:dyDescent="0.15">
      <c r="A227" s="1" t="s">
        <v>448</v>
      </c>
      <c r="B227" s="2" t="s">
        <v>346</v>
      </c>
      <c r="C227" s="2" t="s">
        <v>300</v>
      </c>
      <c r="D227" s="2" t="s">
        <v>431</v>
      </c>
      <c r="E227" s="6">
        <v>2700</v>
      </c>
      <c r="F227" s="18">
        <f>2416.57+478.5+15815.58+52668.45+275.39+14001.84+496.44+16514.33+3250.66+121.8</f>
        <v>106039.56000000001</v>
      </c>
      <c r="G227" s="18">
        <f>283.45+13255+226.99+6248.15+4252.93+705+1575.27</f>
        <v>26546.79</v>
      </c>
      <c r="H227" s="18">
        <f>243.77+650.72+62.04+348.49+0.24+2872.88+157.18+3916.81</f>
        <v>8252.130000000001</v>
      </c>
      <c r="I227" s="18">
        <f>2286.08+3924.49+9048.52+8830.82</f>
        <v>24089.91</v>
      </c>
      <c r="J227" s="18"/>
      <c r="K227" s="18">
        <v>506.3</v>
      </c>
      <c r="L227" s="13">
        <f t="shared" si="2"/>
        <v>165434.69</v>
      </c>
      <c r="M227" s="8"/>
      <c r="N227" s="164"/>
    </row>
    <row r="228" spans="1:14" s="3" customFormat="1" ht="12.2" customHeight="1" x14ac:dyDescent="0.15">
      <c r="A228" s="1" t="s">
        <v>449</v>
      </c>
      <c r="B228" s="2" t="s">
        <v>346</v>
      </c>
      <c r="C228" s="2" t="s">
        <v>343</v>
      </c>
      <c r="D228" s="2" t="s">
        <v>431</v>
      </c>
      <c r="E228" s="6">
        <v>2800</v>
      </c>
      <c r="F228" s="18">
        <v>25126.34</v>
      </c>
      <c r="G228" s="18">
        <f>3343.59+88.93+1982.79+3399.59</f>
        <v>8814.9</v>
      </c>
      <c r="H228" s="18"/>
      <c r="I228" s="18"/>
      <c r="J228" s="18"/>
      <c r="K228" s="18"/>
      <c r="L228" s="13">
        <f>SUM(F228:K228)</f>
        <v>33941.24</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2085755.71</v>
      </c>
      <c r="G230" s="38">
        <f>SUM(G216:G229)</f>
        <v>986496.92999999993</v>
      </c>
      <c r="H230" s="38">
        <f>SUM(H216:H229)</f>
        <v>865215.05</v>
      </c>
      <c r="I230" s="38">
        <f>SUM(I216:I229)</f>
        <v>259524.89</v>
      </c>
      <c r="J230" s="38">
        <f>SUM(J216:J229)</f>
        <v>58109.989999999991</v>
      </c>
      <c r="K230" s="38">
        <f t="shared" si="3"/>
        <v>6674.8499999999995</v>
      </c>
      <c r="L230" s="38">
        <f t="shared" si="3"/>
        <v>4261777.4200000009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963739.22</v>
      </c>
      <c r="G234" s="18">
        <f>20639.67+524093.65</f>
        <v>544733.32000000007</v>
      </c>
      <c r="H234" s="18">
        <f>2865.2+41150</f>
        <v>44015.199999999997</v>
      </c>
      <c r="I234" s="18">
        <v>29057.77</v>
      </c>
      <c r="J234" s="18">
        <v>5124.24</v>
      </c>
      <c r="K234" s="18">
        <v>1210</v>
      </c>
      <c r="L234" s="13">
        <f>SUM(F234:K234)</f>
        <v>1587879.75</v>
      </c>
      <c r="M234" s="8"/>
      <c r="N234" s="164"/>
    </row>
    <row r="235" spans="1:14" s="3" customFormat="1" ht="12.2" customHeight="1" x14ac:dyDescent="0.15">
      <c r="A235" s="1" t="s">
        <v>439</v>
      </c>
      <c r="B235" s="2" t="s">
        <v>350</v>
      </c>
      <c r="C235" s="2" t="s">
        <v>291</v>
      </c>
      <c r="D235" s="2" t="s">
        <v>431</v>
      </c>
      <c r="E235" s="6">
        <v>1200</v>
      </c>
      <c r="F235" s="18">
        <f>471307.58+86082.87+67275</f>
        <v>624665.44999999995</v>
      </c>
      <c r="G235" s="18">
        <f>10093.63+250767.1+1843.57+48700.25+1440.78+29229.2</f>
        <v>342074.53</v>
      </c>
      <c r="H235" s="18">
        <v>384299.76</v>
      </c>
      <c r="I235" s="18">
        <f>9882.55+189.34</f>
        <v>10071.89</v>
      </c>
      <c r="J235" s="18">
        <v>143.99</v>
      </c>
      <c r="K235" s="18">
        <v>1952.2</v>
      </c>
      <c r="L235" s="13">
        <f>SUM(F235:K235)</f>
        <v>1363207.8199999998</v>
      </c>
      <c r="M235" s="8"/>
      <c r="N235" s="164"/>
    </row>
    <row r="236" spans="1:14" s="3" customFormat="1" ht="12.2" customHeight="1" x14ac:dyDescent="0.15">
      <c r="A236" s="1" t="s">
        <v>440</v>
      </c>
      <c r="B236" s="2" t="s">
        <v>350</v>
      </c>
      <c r="C236" s="2" t="s">
        <v>292</v>
      </c>
      <c r="D236" s="2" t="s">
        <v>431</v>
      </c>
      <c r="E236" s="6">
        <v>1300</v>
      </c>
      <c r="F236" s="18">
        <v>541304.57999999996</v>
      </c>
      <c r="G236" s="18">
        <f>11592.71+315023.02</f>
        <v>326615.73000000004</v>
      </c>
      <c r="H236" s="18">
        <v>39323.519999999997</v>
      </c>
      <c r="I236" s="18">
        <v>29060.32</v>
      </c>
      <c r="J236" s="18">
        <v>5492.48</v>
      </c>
      <c r="K236" s="18">
        <v>2221.75</v>
      </c>
      <c r="L236" s="13">
        <f>SUM(F236:K236)</f>
        <v>944018.38</v>
      </c>
      <c r="M236" s="8"/>
      <c r="N236" s="164"/>
    </row>
    <row r="237" spans="1:14" s="3" customFormat="1" ht="12.2" customHeight="1" x14ac:dyDescent="0.15">
      <c r="A237" s="1" t="s">
        <v>441</v>
      </c>
      <c r="B237" s="2" t="s">
        <v>350</v>
      </c>
      <c r="C237" s="2" t="s">
        <v>293</v>
      </c>
      <c r="D237" s="2" t="s">
        <v>431</v>
      </c>
      <c r="E237" s="6">
        <v>1400</v>
      </c>
      <c r="F237" s="18">
        <f>96342.7+99319.11+1725</f>
        <v>197386.81</v>
      </c>
      <c r="G237" s="18">
        <v>62639.17</v>
      </c>
      <c r="H237" s="18">
        <v>43852.73</v>
      </c>
      <c r="I237" s="18">
        <v>20514.189999999999</v>
      </c>
      <c r="J237" s="18">
        <v>15187.19</v>
      </c>
      <c r="K237" s="18">
        <v>11340.94</v>
      </c>
      <c r="L237" s="13">
        <f>SUM(F237:K237)</f>
        <v>350921.02999999997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255941.89</v>
      </c>
      <c r="G239" s="18">
        <v>127350.17</v>
      </c>
      <c r="H239" s="18">
        <v>40338.06</v>
      </c>
      <c r="I239" s="18">
        <v>4509.8599999999997</v>
      </c>
      <c r="J239" s="18">
        <v>135.88</v>
      </c>
      <c r="K239" s="18">
        <v>50</v>
      </c>
      <c r="L239" s="13">
        <f t="shared" ref="L239:L245" si="4">SUM(F239:K239)</f>
        <v>428325.86</v>
      </c>
      <c r="M239" s="8"/>
      <c r="N239" s="164"/>
    </row>
    <row r="240" spans="1:14" s="3" customFormat="1" ht="12.2" customHeight="1" x14ac:dyDescent="0.15">
      <c r="A240" s="1" t="s">
        <v>443</v>
      </c>
      <c r="B240" s="2" t="s">
        <v>350</v>
      </c>
      <c r="C240" s="2" t="s">
        <v>295</v>
      </c>
      <c r="D240" s="2" t="s">
        <v>431</v>
      </c>
      <c r="E240" s="6">
        <v>2200</v>
      </c>
      <c r="F240" s="18">
        <f>9933.5+34674.68+43977.81+5718.37</f>
        <v>94304.359999999986</v>
      </c>
      <c r="G240" s="18">
        <f>1200+212.74+5470.46+1000+21480.28+452.72+5670.8+12798.42+7283.87+437.14+623.96</f>
        <v>56630.39</v>
      </c>
      <c r="H240" s="18">
        <f>583.77+27635.85+1822.59+97.42+2383.73+2135.01+5406.86+334.81</f>
        <v>40400.039999999994</v>
      </c>
      <c r="I240" s="18">
        <f>894.08+26817.2+2442.63+66262.07+400.36+17677.87</f>
        <v>114494.21</v>
      </c>
      <c r="J240" s="18">
        <f>38824.01+10759.43</f>
        <v>49583.44</v>
      </c>
      <c r="K240" s="18">
        <f>116.64+579.62</f>
        <v>696.26</v>
      </c>
      <c r="L240" s="13">
        <f t="shared" si="4"/>
        <v>356108.7</v>
      </c>
      <c r="M240" s="8"/>
      <c r="N240" s="164"/>
    </row>
    <row r="241" spans="1:14" s="3" customFormat="1" ht="12.2" customHeight="1" x14ac:dyDescent="0.15">
      <c r="A241" s="1" t="s">
        <v>444</v>
      </c>
      <c r="B241" s="2" t="s">
        <v>350</v>
      </c>
      <c r="C241" s="2" t="s">
        <v>296</v>
      </c>
      <c r="D241" s="2" t="s">
        <v>431</v>
      </c>
      <c r="E241" s="6">
        <v>2300</v>
      </c>
      <c r="F241" s="18">
        <v>171229.84</v>
      </c>
      <c r="G241" s="18">
        <v>73561.38</v>
      </c>
      <c r="H241" s="18">
        <v>38715.26</v>
      </c>
      <c r="I241" s="18">
        <v>4877.83</v>
      </c>
      <c r="J241" s="18"/>
      <c r="K241" s="18">
        <v>3037.91</v>
      </c>
      <c r="L241" s="13">
        <f t="shared" si="4"/>
        <v>291422.21999999997</v>
      </c>
      <c r="M241" s="8"/>
      <c r="N241" s="164"/>
    </row>
    <row r="242" spans="1:14" s="3" customFormat="1" ht="12.2" customHeight="1" x14ac:dyDescent="0.15">
      <c r="A242" s="1" t="s">
        <v>445</v>
      </c>
      <c r="B242" s="2" t="s">
        <v>350</v>
      </c>
      <c r="C242" s="2" t="s">
        <v>297</v>
      </c>
      <c r="D242" s="2" t="s">
        <v>431</v>
      </c>
      <c r="E242" s="6">
        <v>2400</v>
      </c>
      <c r="F242" s="18">
        <f>340382.64+129683.36</f>
        <v>470066</v>
      </c>
      <c r="G242" s="18">
        <f>7289.72+203170.21+2777.33+50302.27</f>
        <v>263539.52999999997</v>
      </c>
      <c r="H242" s="18">
        <f>3161.37+2260+3405.46</f>
        <v>8826.83</v>
      </c>
      <c r="I242" s="18">
        <f>5319.5+3408.11+1193.8</f>
        <v>9921.41</v>
      </c>
      <c r="J242" s="18">
        <f>524.62+1200</f>
        <v>1724.62</v>
      </c>
      <c r="K242" s="18">
        <v>5640</v>
      </c>
      <c r="L242" s="13">
        <f t="shared" si="4"/>
        <v>759718.39</v>
      </c>
      <c r="M242" s="8"/>
      <c r="N242" s="164"/>
    </row>
    <row r="243" spans="1:14" s="3" customFormat="1" ht="12.2" customHeight="1" x14ac:dyDescent="0.15">
      <c r="A243" s="1" t="s">
        <v>446</v>
      </c>
      <c r="B243" s="2" t="s">
        <v>350</v>
      </c>
      <c r="C243" s="2" t="s">
        <v>298</v>
      </c>
      <c r="D243" s="2" t="s">
        <v>431</v>
      </c>
      <c r="E243" s="6">
        <v>2500</v>
      </c>
      <c r="F243" s="18">
        <f>33018.8+88788.27</f>
        <v>121807.07</v>
      </c>
      <c r="G243" s="18">
        <f>22651.61+620.87+9049.12+13659.91+53.47</f>
        <v>46034.979999999996</v>
      </c>
      <c r="H243" s="18">
        <f>5006.19+123.19+323.01+1159.12+24.21</f>
        <v>6635.7199999999993</v>
      </c>
      <c r="I243" s="18">
        <v>2423.4</v>
      </c>
      <c r="J243" s="18"/>
      <c r="K243" s="18">
        <v>171.91</v>
      </c>
      <c r="L243" s="13">
        <f t="shared" si="4"/>
        <v>177073.08</v>
      </c>
      <c r="M243" s="8"/>
      <c r="N243" s="164"/>
    </row>
    <row r="244" spans="1:14" s="3" customFormat="1" ht="12.2" customHeight="1" x14ac:dyDescent="0.15">
      <c r="A244" s="1" t="s">
        <v>447</v>
      </c>
      <c r="B244" s="2" t="s">
        <v>350</v>
      </c>
      <c r="C244" s="2" t="s">
        <v>299</v>
      </c>
      <c r="D244" s="2" t="s">
        <v>431</v>
      </c>
      <c r="E244" s="6">
        <v>2600</v>
      </c>
      <c r="F244" s="18">
        <f>119930.56+48172.25+51673.51</f>
        <v>219776.32</v>
      </c>
      <c r="G244" s="18">
        <f>2568.46+70632.89+1031.69+21075.36+26693.73</f>
        <v>122002.13</v>
      </c>
      <c r="H244" s="18">
        <f>235523.08+265678.9+69068.44</f>
        <v>570270.41999999993</v>
      </c>
      <c r="I244" s="18">
        <f>146856.04+49632.9+21416.35</f>
        <v>217905.29</v>
      </c>
      <c r="J244" s="18">
        <f>-20462.77+547.03+27206.42</f>
        <v>7290.6799999999967</v>
      </c>
      <c r="K244" s="18">
        <v>337.37</v>
      </c>
      <c r="L244" s="13">
        <f t="shared" si="4"/>
        <v>1137582.21</v>
      </c>
      <c r="M244" s="8"/>
      <c r="N244" s="164"/>
    </row>
    <row r="245" spans="1:14" s="3" customFormat="1" ht="12.2" customHeight="1" x14ac:dyDescent="0.15">
      <c r="A245" s="1" t="s">
        <v>448</v>
      </c>
      <c r="B245" s="2" t="s">
        <v>350</v>
      </c>
      <c r="C245" s="2" t="s">
        <v>300</v>
      </c>
      <c r="D245" s="2" t="s">
        <v>431</v>
      </c>
      <c r="E245" s="6">
        <v>2700</v>
      </c>
      <c r="F245" s="18">
        <f>7911.66+2543.6+157525.78</f>
        <v>167981.04</v>
      </c>
      <c r="G245" s="18">
        <f>169.44+605.24+54.47+194.57+40110.26</f>
        <v>41133.980000000003</v>
      </c>
      <c r="H245" s="18">
        <f>2873.58+12602.92</f>
        <v>15476.5</v>
      </c>
      <c r="I245" s="18">
        <f>36790.92</f>
        <v>36790.92</v>
      </c>
      <c r="J245" s="18"/>
      <c r="K245" s="18">
        <v>773.23</v>
      </c>
      <c r="L245" s="13">
        <f t="shared" si="4"/>
        <v>262155.67</v>
      </c>
      <c r="M245" s="8"/>
      <c r="N245" s="164"/>
    </row>
    <row r="246" spans="1:14" s="3" customFormat="1" ht="12.2" customHeight="1" x14ac:dyDescent="0.15">
      <c r="A246" s="1" t="s">
        <v>449</v>
      </c>
      <c r="B246" s="2" t="s">
        <v>350</v>
      </c>
      <c r="C246" s="2" t="s">
        <v>343</v>
      </c>
      <c r="D246" s="2" t="s">
        <v>431</v>
      </c>
      <c r="E246" s="6">
        <v>2800</v>
      </c>
      <c r="F246" s="18">
        <v>38373.79</v>
      </c>
      <c r="G246" s="18">
        <f>5106.44+135.81+3028.19+5191.98</f>
        <v>13462.42</v>
      </c>
      <c r="H246" s="18"/>
      <c r="I246" s="18"/>
      <c r="J246" s="18"/>
      <c r="K246" s="18"/>
      <c r="L246" s="13">
        <f>SUM(F246:K246)</f>
        <v>51836.21</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3866576.3699999996</v>
      </c>
      <c r="G248" s="38">
        <f t="shared" si="5"/>
        <v>2019777.73</v>
      </c>
      <c r="H248" s="38">
        <f t="shared" si="5"/>
        <v>1232154.04</v>
      </c>
      <c r="I248" s="38">
        <f t="shared" si="5"/>
        <v>479627.09</v>
      </c>
      <c r="J248" s="38">
        <f t="shared" si="5"/>
        <v>84682.51999999999</v>
      </c>
      <c r="K248" s="38">
        <f t="shared" si="5"/>
        <v>27431.569999999996</v>
      </c>
      <c r="L248" s="38">
        <f t="shared" si="5"/>
        <v>7710249.3199999994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v>114880.96000000001</v>
      </c>
      <c r="K256" s="18"/>
      <c r="L256" s="13">
        <f t="shared" si="6"/>
        <v>114880.96000000001</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114880.96000000001</v>
      </c>
      <c r="K257" s="38">
        <f t="shared" si="7"/>
        <v>0</v>
      </c>
      <c r="L257" s="38">
        <f>SUM(F257:K257)</f>
        <v>114880.96000000001</v>
      </c>
      <c r="M257" s="8"/>
      <c r="N257" s="164"/>
    </row>
    <row r="258" spans="1:14" s="3" customFormat="1" ht="12.2" customHeight="1" thickTop="1" x14ac:dyDescent="0.15">
      <c r="A258" s="35" t="s">
        <v>462</v>
      </c>
      <c r="B258" s="37">
        <v>10</v>
      </c>
      <c r="C258" s="37">
        <v>8</v>
      </c>
      <c r="D258" s="36" t="s">
        <v>431</v>
      </c>
      <c r="E258" s="37"/>
      <c r="F258" s="38">
        <f t="shared" ref="F258:L258" si="8">F212+F230+F248+F257</f>
        <v>9622544.7999999989</v>
      </c>
      <c r="G258" s="38">
        <f t="shared" si="8"/>
        <v>4860289.6099999994</v>
      </c>
      <c r="H258" s="38">
        <f t="shared" si="8"/>
        <v>2974558.39</v>
      </c>
      <c r="I258" s="38">
        <f t="shared" si="8"/>
        <v>1165906.4500000002</v>
      </c>
      <c r="J258" s="38">
        <f t="shared" si="8"/>
        <v>343499.01999999996</v>
      </c>
      <c r="K258" s="38">
        <f t="shared" si="8"/>
        <v>42889.119999999995</v>
      </c>
      <c r="L258" s="38">
        <f t="shared" si="8"/>
        <v>19009687.390000001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593200</v>
      </c>
      <c r="L261" s="13">
        <f>SUM(F261:K261)</f>
        <v>593200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131307.75</v>
      </c>
      <c r="L262" s="13">
        <f>SUM(F262:K262)</f>
        <v>131307.75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53635.14</v>
      </c>
      <c r="L264" s="13">
        <f>SUM(F264:K264)</f>
        <v>53635.14</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778142.89</v>
      </c>
      <c r="L271" s="38">
        <f t="shared" si="9"/>
        <v>778142.89</v>
      </c>
      <c r="M271" s="8"/>
      <c r="N271" s="164"/>
    </row>
    <row r="272" spans="1:14" s="33" customFormat="1" ht="12.2" customHeight="1" thickTop="1" x14ac:dyDescent="0.2">
      <c r="A272" s="40" t="s">
        <v>464</v>
      </c>
      <c r="B272" s="37">
        <v>10</v>
      </c>
      <c r="C272" s="37">
        <v>18</v>
      </c>
      <c r="D272" s="36" t="s">
        <v>431</v>
      </c>
      <c r="E272" s="37"/>
      <c r="F272" s="39">
        <f t="shared" ref="F272:L272" si="11">F258+F271</f>
        <v>9622544.7999999989</v>
      </c>
      <c r="G272" s="39">
        <f t="shared" si="11"/>
        <v>4860289.6099999994</v>
      </c>
      <c r="H272" s="39">
        <f t="shared" si="11"/>
        <v>2974558.39</v>
      </c>
      <c r="I272" s="39">
        <f t="shared" si="11"/>
        <v>1165906.4500000002</v>
      </c>
      <c r="J272" s="39">
        <f t="shared" si="11"/>
        <v>343499.01999999996</v>
      </c>
      <c r="K272" s="39">
        <f t="shared" si="11"/>
        <v>821032.01</v>
      </c>
      <c r="L272" s="39">
        <f t="shared" si="11"/>
        <v>19787830.280000001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295158.52</v>
      </c>
      <c r="G277" s="18">
        <v>94225.84</v>
      </c>
      <c r="H277" s="18">
        <v>51637.04</v>
      </c>
      <c r="I277" s="18">
        <v>39002.639999999999</v>
      </c>
      <c r="J277" s="18">
        <v>3414.85</v>
      </c>
      <c r="K277" s="18"/>
      <c r="L277" s="13">
        <f>SUM(F277:K277)</f>
        <v>483438.88999999996</v>
      </c>
      <c r="M277" s="8"/>
      <c r="N277" s="164"/>
    </row>
    <row r="278" spans="1:14" s="3" customFormat="1" ht="12.2" customHeight="1" x14ac:dyDescent="0.15">
      <c r="A278" s="1" t="s">
        <v>439</v>
      </c>
      <c r="B278" s="2" t="s">
        <v>357</v>
      </c>
      <c r="C278" s="2" t="s">
        <v>291</v>
      </c>
      <c r="D278" s="2" t="s">
        <v>431</v>
      </c>
      <c r="E278" s="6">
        <v>1200</v>
      </c>
      <c r="F278" s="18">
        <v>66183.72</v>
      </c>
      <c r="G278" s="18">
        <v>35556.870000000003</v>
      </c>
      <c r="H278" s="18">
        <v>14691.42</v>
      </c>
      <c r="I278" s="18">
        <v>12576.18</v>
      </c>
      <c r="J278" s="18"/>
      <c r="K278" s="18"/>
      <c r="L278" s="13">
        <f>SUM(F278:K278)</f>
        <v>129008.19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12279.42</v>
      </c>
      <c r="G280" s="18">
        <v>2636.35</v>
      </c>
      <c r="H280" s="18">
        <v>4326.4399999999996</v>
      </c>
      <c r="I280" s="18">
        <v>5318.17</v>
      </c>
      <c r="J280" s="18"/>
      <c r="K280" s="18"/>
      <c r="L280" s="13">
        <f>SUM(F280:K280)</f>
        <v>24560.379999999997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96518.78</v>
      </c>
      <c r="G282" s="18">
        <v>60725.27</v>
      </c>
      <c r="H282" s="18">
        <v>217326.87</v>
      </c>
      <c r="I282" s="18">
        <f>912.05+870.27</f>
        <v>1782.32</v>
      </c>
      <c r="J282" s="18"/>
      <c r="K282" s="18"/>
      <c r="L282" s="13">
        <f t="shared" ref="L282:L288" si="12">SUM(F282:K282)</f>
        <v>376353.24</v>
      </c>
      <c r="M282" s="8"/>
      <c r="N282" s="164"/>
    </row>
    <row r="283" spans="1:14" s="3" customFormat="1" ht="12.2" customHeight="1" x14ac:dyDescent="0.15">
      <c r="A283" s="1" t="s">
        <v>443</v>
      </c>
      <c r="B283" s="2" t="s">
        <v>357</v>
      </c>
      <c r="C283" s="2" t="s">
        <v>295</v>
      </c>
      <c r="D283" s="2" t="s">
        <v>431</v>
      </c>
      <c r="E283" s="6">
        <v>2200</v>
      </c>
      <c r="F283" s="18">
        <f>14646.07+9231.77</f>
        <v>23877.84</v>
      </c>
      <c r="G283" s="18">
        <f>3832.09+2497.07</f>
        <v>6329.16</v>
      </c>
      <c r="H283" s="18">
        <v>40807.81</v>
      </c>
      <c r="I283" s="18">
        <v>1125.68</v>
      </c>
      <c r="J283" s="18"/>
      <c r="K283" s="18"/>
      <c r="L283" s="13">
        <f t="shared" si="12"/>
        <v>72140.489999999991</v>
      </c>
      <c r="M283" s="8"/>
      <c r="N283" s="164"/>
    </row>
    <row r="284" spans="1:14" s="3" customFormat="1" ht="12.2" customHeight="1" x14ac:dyDescent="0.15">
      <c r="A284" s="1" t="s">
        <v>444</v>
      </c>
      <c r="B284" s="2" t="s">
        <v>357</v>
      </c>
      <c r="C284" s="2" t="s">
        <v>296</v>
      </c>
      <c r="D284" s="2" t="s">
        <v>431</v>
      </c>
      <c r="E284" s="6">
        <v>2300</v>
      </c>
      <c r="F284" s="18"/>
      <c r="G284" s="18"/>
      <c r="H284" s="18">
        <v>2124</v>
      </c>
      <c r="I284" s="18"/>
      <c r="J284" s="18"/>
      <c r="K284" s="18"/>
      <c r="L284" s="13">
        <f t="shared" si="12"/>
        <v>2124</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f>2151.45+6008</f>
        <v>8159.45</v>
      </c>
      <c r="G288" s="18"/>
      <c r="H288" s="18"/>
      <c r="I288" s="18"/>
      <c r="J288" s="18"/>
      <c r="K288" s="18"/>
      <c r="L288" s="13">
        <f t="shared" si="12"/>
        <v>8159.45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502177.73</v>
      </c>
      <c r="G291" s="39">
        <f t="shared" si="13"/>
        <v>199473.49</v>
      </c>
      <c r="H291" s="39">
        <f t="shared" si="13"/>
        <v>330913.58</v>
      </c>
      <c r="I291" s="39">
        <f t="shared" si="13"/>
        <v>59804.99</v>
      </c>
      <c r="J291" s="39">
        <f t="shared" si="13"/>
        <v>3414.85</v>
      </c>
      <c r="K291" s="39">
        <f t="shared" si="13"/>
        <v>0</v>
      </c>
      <c r="L291" s="38">
        <f t="shared" si="13"/>
        <v>1095784.6399999999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114642.1</v>
      </c>
      <c r="G296" s="18">
        <v>50887.9</v>
      </c>
      <c r="H296" s="18">
        <v>18941.419999999998</v>
      </c>
      <c r="I296" s="18">
        <v>22494.17</v>
      </c>
      <c r="J296" s="18"/>
      <c r="K296" s="18"/>
      <c r="L296" s="13">
        <f>SUM(F296:K296)</f>
        <v>206965.58999999997</v>
      </c>
      <c r="M296" s="8"/>
      <c r="N296" s="164"/>
    </row>
    <row r="297" spans="1:14" s="3" customFormat="1" ht="12.2" customHeight="1" x14ac:dyDescent="0.15">
      <c r="A297" s="1" t="s">
        <v>439</v>
      </c>
      <c r="B297" s="2" t="s">
        <v>358</v>
      </c>
      <c r="C297" s="2" t="s">
        <v>291</v>
      </c>
      <c r="D297" s="2" t="s">
        <v>431</v>
      </c>
      <c r="E297" s="6">
        <v>1200</v>
      </c>
      <c r="F297" s="18">
        <v>39710.230000000003</v>
      </c>
      <c r="G297" s="18">
        <v>21334.12</v>
      </c>
      <c r="H297" s="18">
        <v>8814.85</v>
      </c>
      <c r="I297" s="18">
        <v>7545.72</v>
      </c>
      <c r="J297" s="18"/>
      <c r="K297" s="18"/>
      <c r="L297" s="13">
        <f>SUM(F297:K297)</f>
        <v>77404.920000000013</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4800</v>
      </c>
      <c r="G299" s="18">
        <v>1225.7</v>
      </c>
      <c r="H299" s="18">
        <v>7869.28</v>
      </c>
      <c r="I299" s="18">
        <v>5860.44</v>
      </c>
      <c r="J299" s="18"/>
      <c r="K299" s="18"/>
      <c r="L299" s="13">
        <f>SUM(F299:K299)</f>
        <v>19755.419999999998</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57399.27</v>
      </c>
      <c r="G301" s="18">
        <v>36098.519999999997</v>
      </c>
      <c r="H301" s="18">
        <v>184333.75</v>
      </c>
      <c r="I301" s="18">
        <f>535.65+519.32</f>
        <v>1054.97</v>
      </c>
      <c r="J301" s="18"/>
      <c r="K301" s="18"/>
      <c r="L301" s="13">
        <f t="shared" ref="L301:L307" si="14">SUM(F301:K301)</f>
        <v>278886.50999999995</v>
      </c>
      <c r="M301" s="8"/>
      <c r="N301" s="164"/>
    </row>
    <row r="302" spans="1:14" s="3" customFormat="1" ht="12.2" customHeight="1" x14ac:dyDescent="0.15">
      <c r="A302" s="1" t="s">
        <v>443</v>
      </c>
      <c r="B302" s="2" t="s">
        <v>358</v>
      </c>
      <c r="C302" s="2" t="s">
        <v>295</v>
      </c>
      <c r="D302" s="2" t="s">
        <v>431</v>
      </c>
      <c r="E302" s="6">
        <v>2200</v>
      </c>
      <c r="F302" s="18">
        <f>8787.64+5539.06</f>
        <v>14326.7</v>
      </c>
      <c r="G302" s="18">
        <f>2299.25+1498.24</f>
        <v>3797.49</v>
      </c>
      <c r="H302" s="18">
        <v>24332.73</v>
      </c>
      <c r="I302" s="18">
        <v>675.41</v>
      </c>
      <c r="J302" s="18"/>
      <c r="K302" s="18"/>
      <c r="L302" s="13">
        <f t="shared" si="14"/>
        <v>43132.33</v>
      </c>
      <c r="M302" s="8"/>
      <c r="N302" s="164"/>
    </row>
    <row r="303" spans="1:14" s="3" customFormat="1" ht="12.2" customHeight="1" x14ac:dyDescent="0.15">
      <c r="A303" s="1" t="s">
        <v>444</v>
      </c>
      <c r="B303" s="2" t="s">
        <v>358</v>
      </c>
      <c r="C303" s="2" t="s">
        <v>296</v>
      </c>
      <c r="D303" s="2" t="s">
        <v>431</v>
      </c>
      <c r="E303" s="6">
        <v>2300</v>
      </c>
      <c r="F303" s="18"/>
      <c r="G303" s="18"/>
      <c r="H303" s="18">
        <v>1274.4000000000001</v>
      </c>
      <c r="I303" s="18"/>
      <c r="J303" s="18"/>
      <c r="K303" s="18"/>
      <c r="L303" s="13">
        <f t="shared" si="14"/>
        <v>1274.4000000000001</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v>4895.67</v>
      </c>
      <c r="I307" s="18"/>
      <c r="J307" s="18"/>
      <c r="K307" s="18"/>
      <c r="L307" s="13">
        <f t="shared" si="14"/>
        <v>4895.67</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230878.30000000002</v>
      </c>
      <c r="G310" s="39">
        <f t="shared" si="15"/>
        <v>113343.73</v>
      </c>
      <c r="H310" s="39">
        <f t="shared" si="15"/>
        <v>250462.1</v>
      </c>
      <c r="I310" s="39">
        <f t="shared" si="15"/>
        <v>37630.710000000006</v>
      </c>
      <c r="J310" s="39">
        <f t="shared" si="15"/>
        <v>0</v>
      </c>
      <c r="K310" s="39">
        <f t="shared" si="15"/>
        <v>0</v>
      </c>
      <c r="L310" s="38">
        <f t="shared" si="15"/>
        <v>632314.84</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3021.08</v>
      </c>
      <c r="G315" s="18">
        <v>3044.3</v>
      </c>
      <c r="H315" s="18">
        <v>25580.51</v>
      </c>
      <c r="I315" s="18">
        <v>7419.04</v>
      </c>
      <c r="J315" s="18"/>
      <c r="K315" s="18"/>
      <c r="L315" s="13">
        <f>SUM(F315:K315)</f>
        <v>39064.93</v>
      </c>
      <c r="M315" s="8"/>
      <c r="N315" s="164"/>
    </row>
    <row r="316" spans="1:14" s="3" customFormat="1" ht="12.2" customHeight="1" x14ac:dyDescent="0.15">
      <c r="A316" s="1" t="s">
        <v>439</v>
      </c>
      <c r="B316" s="2" t="s">
        <v>359</v>
      </c>
      <c r="C316" s="2" t="s">
        <v>291</v>
      </c>
      <c r="D316" s="2" t="s">
        <v>431</v>
      </c>
      <c r="E316" s="6">
        <v>1200</v>
      </c>
      <c r="F316" s="18">
        <v>59565.35</v>
      </c>
      <c r="G316" s="18">
        <v>32001.17</v>
      </c>
      <c r="H316" s="18">
        <v>13222.28</v>
      </c>
      <c r="I316" s="18">
        <v>11318.56</v>
      </c>
      <c r="J316" s="18"/>
      <c r="K316" s="18"/>
      <c r="L316" s="13">
        <f>SUM(F316:K316)</f>
        <v>116107.35999999999</v>
      </c>
      <c r="M316" s="8"/>
      <c r="N316" s="164"/>
    </row>
    <row r="317" spans="1:14" s="3" customFormat="1" ht="12.2" customHeight="1" x14ac:dyDescent="0.15">
      <c r="A317" s="1" t="s">
        <v>440</v>
      </c>
      <c r="B317" s="2" t="s">
        <v>359</v>
      </c>
      <c r="C317" s="2" t="s">
        <v>292</v>
      </c>
      <c r="D317" s="2" t="s">
        <v>431</v>
      </c>
      <c r="E317" s="6">
        <v>1300</v>
      </c>
      <c r="F317" s="18">
        <v>6494.81</v>
      </c>
      <c r="G317" s="18">
        <v>1750.9</v>
      </c>
      <c r="H317" s="18">
        <v>9881.66</v>
      </c>
      <c r="I317" s="18">
        <v>23614.35</v>
      </c>
      <c r="J317" s="18">
        <v>82028.39</v>
      </c>
      <c r="K317" s="18">
        <v>1849.16</v>
      </c>
      <c r="L317" s="13">
        <f>SUM(F317:K317)</f>
        <v>125619.27</v>
      </c>
      <c r="M317" s="8"/>
      <c r="N317" s="164"/>
    </row>
    <row r="318" spans="1:14" s="3" customFormat="1" ht="12.2" customHeight="1" x14ac:dyDescent="0.15">
      <c r="A318" s="1" t="s">
        <v>441</v>
      </c>
      <c r="B318" s="2" t="s">
        <v>359</v>
      </c>
      <c r="C318" s="2" t="s">
        <v>293</v>
      </c>
      <c r="D318" s="2" t="s">
        <v>431</v>
      </c>
      <c r="E318" s="6">
        <v>1400</v>
      </c>
      <c r="F318" s="18"/>
      <c r="G318" s="18"/>
      <c r="H318" s="18"/>
      <c r="I318" s="18"/>
      <c r="J318" s="18">
        <v>3947.39</v>
      </c>
      <c r="K318" s="18"/>
      <c r="L318" s="13">
        <f>SUM(F318:K318)</f>
        <v>3947.39</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50578.91</v>
      </c>
      <c r="G320" s="18">
        <v>30793.27</v>
      </c>
      <c r="H320" s="18">
        <v>272064.5</v>
      </c>
      <c r="I320" s="18">
        <v>581.92999999999995</v>
      </c>
      <c r="J320" s="18"/>
      <c r="K320" s="18"/>
      <c r="L320" s="13">
        <f t="shared" ref="L320:L326" si="16">SUM(F320:K320)</f>
        <v>354018.61</v>
      </c>
      <c r="M320" s="8"/>
      <c r="N320" s="164"/>
    </row>
    <row r="321" spans="1:14" s="3" customFormat="1" ht="12.2" customHeight="1" x14ac:dyDescent="0.15">
      <c r="A321" s="1" t="s">
        <v>443</v>
      </c>
      <c r="B321" s="2" t="s">
        <v>359</v>
      </c>
      <c r="C321" s="2" t="s">
        <v>295</v>
      </c>
      <c r="D321" s="2" t="s">
        <v>431</v>
      </c>
      <c r="E321" s="6">
        <v>2200</v>
      </c>
      <c r="F321" s="18">
        <f>13181.47+8308.59</f>
        <v>21490.059999999998</v>
      </c>
      <c r="G321" s="18">
        <f>3448.88+2247.37</f>
        <v>5696.25</v>
      </c>
      <c r="H321" s="18">
        <v>25956.84</v>
      </c>
      <c r="I321" s="18">
        <v>1013.12</v>
      </c>
      <c r="J321" s="18"/>
      <c r="K321" s="18"/>
      <c r="L321" s="13">
        <f t="shared" si="16"/>
        <v>54156.27</v>
      </c>
      <c r="M321" s="8"/>
      <c r="N321" s="164"/>
    </row>
    <row r="322" spans="1:14" s="3" customFormat="1" ht="12.2" customHeight="1" x14ac:dyDescent="0.15">
      <c r="A322" s="1" t="s">
        <v>444</v>
      </c>
      <c r="B322" s="2" t="s">
        <v>359</v>
      </c>
      <c r="C322" s="2" t="s">
        <v>296</v>
      </c>
      <c r="D322" s="2" t="s">
        <v>431</v>
      </c>
      <c r="E322" s="6">
        <v>2300</v>
      </c>
      <c r="F322" s="18"/>
      <c r="G322" s="18"/>
      <c r="H322" s="18">
        <v>1911.6</v>
      </c>
      <c r="I322" s="18"/>
      <c r="J322" s="18"/>
      <c r="K322" s="18"/>
      <c r="L322" s="13">
        <f t="shared" si="16"/>
        <v>1911.6</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v>7343.5</v>
      </c>
      <c r="I326" s="18"/>
      <c r="J326" s="18"/>
      <c r="K326" s="18"/>
      <c r="L326" s="13">
        <f t="shared" si="16"/>
        <v>7343.5</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141150.21000000002</v>
      </c>
      <c r="G329" s="39">
        <f t="shared" si="17"/>
        <v>73285.89</v>
      </c>
      <c r="H329" s="39">
        <f t="shared" si="17"/>
        <v>355960.89</v>
      </c>
      <c r="I329" s="39">
        <f t="shared" si="17"/>
        <v>43947</v>
      </c>
      <c r="J329" s="39">
        <f t="shared" si="17"/>
        <v>85975.78</v>
      </c>
      <c r="K329" s="39">
        <f t="shared" si="17"/>
        <v>1849.16</v>
      </c>
      <c r="L329" s="38">
        <f t="shared" si="17"/>
        <v>702168.93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v>4805</v>
      </c>
      <c r="I333" s="18"/>
      <c r="J333" s="18"/>
      <c r="K333" s="18"/>
      <c r="L333" s="13">
        <f t="shared" ref="L333:L338" si="18">SUM(F333:K333)</f>
        <v>4805</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f>330069.42+1637129.63+22192.54+4086.88</f>
        <v>1993478.4699999997</v>
      </c>
      <c r="I337" s="18">
        <v>250264.95</v>
      </c>
      <c r="J337" s="18"/>
      <c r="K337" s="18"/>
      <c r="L337" s="13">
        <f t="shared" si="18"/>
        <v>2243743.42</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1998283.4699999997</v>
      </c>
      <c r="I338" s="38">
        <f t="shared" si="19"/>
        <v>250264.95</v>
      </c>
      <c r="J338" s="38">
        <f t="shared" si="19"/>
        <v>0</v>
      </c>
      <c r="K338" s="38">
        <f t="shared" si="19"/>
        <v>0</v>
      </c>
      <c r="L338" s="38">
        <f t="shared" si="18"/>
        <v>2248548.42</v>
      </c>
      <c r="M338" s="8"/>
      <c r="N338" s="164"/>
    </row>
    <row r="339" spans="1:43" s="3" customFormat="1" ht="12.2" customHeight="1" thickTop="1" x14ac:dyDescent="0.15">
      <c r="A339" s="35" t="s">
        <v>468</v>
      </c>
      <c r="B339" s="37">
        <v>14</v>
      </c>
      <c r="C339" s="37">
        <v>7</v>
      </c>
      <c r="D339" s="36" t="s">
        <v>431</v>
      </c>
      <c r="E339" s="37"/>
      <c r="F339" s="38">
        <f t="shared" ref="F339:L339" si="20">F291+F310+F329+F338</f>
        <v>874206.24</v>
      </c>
      <c r="G339" s="38">
        <f t="shared" si="20"/>
        <v>386103.11</v>
      </c>
      <c r="H339" s="38">
        <f t="shared" si="20"/>
        <v>2935620.04</v>
      </c>
      <c r="I339" s="38">
        <f t="shared" si="20"/>
        <v>391647.65</v>
      </c>
      <c r="J339" s="38">
        <f t="shared" si="20"/>
        <v>89390.63</v>
      </c>
      <c r="K339" s="38">
        <f t="shared" si="20"/>
        <v>1849.16</v>
      </c>
      <c r="L339" s="38">
        <f t="shared" si="20"/>
        <v>4678816.83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874206.24</v>
      </c>
      <c r="G353" s="38">
        <f>G339</f>
        <v>386103.11</v>
      </c>
      <c r="H353" s="38">
        <f>H339</f>
        <v>2935620.04</v>
      </c>
      <c r="I353" s="38">
        <f>I339</f>
        <v>391647.65</v>
      </c>
      <c r="J353" s="38">
        <f>J339</f>
        <v>89390.63</v>
      </c>
      <c r="K353" s="38">
        <f>K339+K352</f>
        <v>1849.16</v>
      </c>
      <c r="L353" s="38">
        <f>L339+L352</f>
        <v>4678816.83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+(472659.03+1329)*0.4061</f>
        <v>192486.53898300001</v>
      </c>
      <c r="I359" s="18">
        <f>171.16*0.4061</f>
        <v>69.508076000000003</v>
      </c>
      <c r="J359" s="18"/>
      <c r="K359" s="18"/>
      <c r="L359" s="13">
        <f>SUM(F359:K359)</f>
        <v>192556.047059</v>
      </c>
      <c r="M359" s="8"/>
      <c r="N359" s="164"/>
    </row>
    <row r="360" spans="1:22" s="3" customFormat="1" ht="12.2" customHeight="1" x14ac:dyDescent="0.15">
      <c r="A360" s="1" t="s">
        <v>542</v>
      </c>
      <c r="B360" s="2" t="s">
        <v>366</v>
      </c>
      <c r="C360" s="6">
        <v>2</v>
      </c>
      <c r="D360" s="2" t="s">
        <v>431</v>
      </c>
      <c r="E360" s="6"/>
      <c r="F360" s="18"/>
      <c r="G360" s="18"/>
      <c r="H360" s="18">
        <f>+(472659.03+1329)*0.235</f>
        <v>111387.18704999999</v>
      </c>
      <c r="I360" s="18">
        <f>171.16*0.235</f>
        <v>40.2226</v>
      </c>
      <c r="J360" s="18"/>
      <c r="K360" s="18"/>
      <c r="L360" s="13">
        <f>SUM(F360:K360)</f>
        <v>111427.40964999999</v>
      </c>
      <c r="M360" s="8"/>
      <c r="N360" s="164"/>
    </row>
    <row r="361" spans="1:22" s="3" customFormat="1" ht="12.2" customHeight="1" x14ac:dyDescent="0.15">
      <c r="A361" s="3" t="s">
        <v>543</v>
      </c>
      <c r="B361" s="2" t="s">
        <v>366</v>
      </c>
      <c r="C361" s="6">
        <v>3</v>
      </c>
      <c r="D361" s="2" t="s">
        <v>431</v>
      </c>
      <c r="E361" s="6"/>
      <c r="F361" s="18"/>
      <c r="G361" s="18"/>
      <c r="H361" s="18">
        <f>+(472659.03+1329)*0.3589</f>
        <v>170114.30396700001</v>
      </c>
      <c r="I361" s="18">
        <f>171.16*0.3589</f>
        <v>61.429324000000001</v>
      </c>
      <c r="J361" s="18"/>
      <c r="K361" s="18"/>
      <c r="L361" s="13">
        <f>SUM(F361:K361)</f>
        <v>170175.73329100001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473988.03</v>
      </c>
      <c r="I363" s="38">
        <f t="shared" si="22"/>
        <v>171.16</v>
      </c>
      <c r="J363" s="38">
        <f t="shared" si="22"/>
        <v>0</v>
      </c>
      <c r="K363" s="38">
        <f t="shared" si="22"/>
        <v>0</v>
      </c>
      <c r="L363" s="38">
        <f t="shared" si="22"/>
        <v>474159.19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69.510000000000005</v>
      </c>
      <c r="G369" s="53">
        <v>40.22</v>
      </c>
      <c r="H369" s="53">
        <v>61.43</v>
      </c>
      <c r="I369" s="13">
        <f>SUM(F369:H369)</f>
        <v>171.16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69.510000000000005</v>
      </c>
      <c r="G370" s="38">
        <f>SUM(G368:G369)</f>
        <v>40.22</v>
      </c>
      <c r="H370" s="38">
        <f>SUM(H368:H369)</f>
        <v>61.43</v>
      </c>
      <c r="I370" s="38">
        <f>SUM(I368:I369)</f>
        <v>171.16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v>76724.06</v>
      </c>
      <c r="G380" s="18">
        <f>5852.28+6887.12</f>
        <v>12739.4</v>
      </c>
      <c r="H380" s="18">
        <f>117974+128016.55+6469758.16+38122.1+8725.43</f>
        <v>6762596.2399999993</v>
      </c>
      <c r="I380" s="18">
        <v>5782.89</v>
      </c>
      <c r="J380" s="18">
        <v>174818.18</v>
      </c>
      <c r="K380" s="18"/>
      <c r="L380" s="13">
        <f t="shared" si="23"/>
        <v>7032660.7699999986</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76724.06</v>
      </c>
      <c r="G383" s="97">
        <f t="shared" ref="G383:L383" si="24">SUM(G375:G382)</f>
        <v>12739.4</v>
      </c>
      <c r="H383" s="97">
        <f t="shared" si="24"/>
        <v>6762596.2399999993</v>
      </c>
      <c r="I383" s="38">
        <f t="shared" si="24"/>
        <v>5782.89</v>
      </c>
      <c r="J383" s="38">
        <f t="shared" si="24"/>
        <v>174818.18</v>
      </c>
      <c r="K383" s="38">
        <f t="shared" si="24"/>
        <v>0</v>
      </c>
      <c r="L383" s="38">
        <f t="shared" si="24"/>
        <v>7032660.7699999986</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v>98.69</v>
      </c>
      <c r="I388" s="18"/>
      <c r="J388" s="23" t="s">
        <v>288</v>
      </c>
      <c r="K388" s="23" t="s">
        <v>288</v>
      </c>
      <c r="L388" s="13">
        <f t="shared" ref="L388:L393" si="25">SUM(F388:K388)</f>
        <v>98.69</v>
      </c>
      <c r="M388" s="8"/>
      <c r="N388" s="164"/>
    </row>
    <row r="389" spans="1:14" s="3" customFormat="1" ht="12.2" customHeight="1" x14ac:dyDescent="0.15">
      <c r="A389" s="62" t="s">
        <v>551</v>
      </c>
      <c r="B389" s="2" t="s">
        <v>381</v>
      </c>
      <c r="C389" s="6">
        <v>2</v>
      </c>
      <c r="D389" s="2" t="s">
        <v>432</v>
      </c>
      <c r="E389" s="6"/>
      <c r="F389" s="18"/>
      <c r="G389" s="18"/>
      <c r="H389" s="18">
        <v>62.25</v>
      </c>
      <c r="I389" s="18"/>
      <c r="J389" s="23" t="s">
        <v>288</v>
      </c>
      <c r="K389" s="23" t="s">
        <v>288</v>
      </c>
      <c r="L389" s="13">
        <f t="shared" si="25"/>
        <v>62.25</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v>62.9</v>
      </c>
      <c r="I391" s="18"/>
      <c r="J391" s="23" t="s">
        <v>288</v>
      </c>
      <c r="K391" s="23" t="s">
        <v>288</v>
      </c>
      <c r="L391" s="13">
        <f t="shared" si="25"/>
        <v>62.9</v>
      </c>
      <c r="M391" s="8"/>
      <c r="N391" s="164"/>
    </row>
    <row r="392" spans="1:14" s="3" customFormat="1" ht="12.2" customHeight="1" x14ac:dyDescent="0.15">
      <c r="A392" s="62" t="s">
        <v>554</v>
      </c>
      <c r="B392" s="2" t="s">
        <v>381</v>
      </c>
      <c r="C392" s="6">
        <v>5</v>
      </c>
      <c r="D392" s="2" t="s">
        <v>432</v>
      </c>
      <c r="E392" s="6"/>
      <c r="F392" s="18"/>
      <c r="G392" s="18"/>
      <c r="H392" s="18">
        <v>10.17</v>
      </c>
      <c r="I392" s="18"/>
      <c r="J392" s="23" t="s">
        <v>288</v>
      </c>
      <c r="K392" s="23" t="s">
        <v>288</v>
      </c>
      <c r="L392" s="13">
        <f t="shared" si="25"/>
        <v>10.17</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234.01</v>
      </c>
      <c r="I394" s="54">
        <f>SUM(I388:I393)</f>
        <v>0</v>
      </c>
      <c r="J394" s="42" t="s">
        <v>288</v>
      </c>
      <c r="K394" s="42" t="s">
        <v>288</v>
      </c>
      <c r="L394" s="38">
        <f>SUM(L388:L393)</f>
        <v>234.01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80.84</v>
      </c>
      <c r="I398" s="18"/>
      <c r="J398" s="23" t="s">
        <v>288</v>
      </c>
      <c r="K398" s="23" t="s">
        <v>288</v>
      </c>
      <c r="L398" s="13">
        <f t="shared" si="26"/>
        <v>80.84</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80.84</v>
      </c>
      <c r="I402" s="38">
        <f>SUM(I396:I401)</f>
        <v>0</v>
      </c>
      <c r="J402" s="42" t="s">
        <v>288</v>
      </c>
      <c r="K402" s="42" t="s">
        <v>288</v>
      </c>
      <c r="L402" s="38">
        <f>SUM(L396:L401)</f>
        <v>80.84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314.85000000000002</v>
      </c>
      <c r="I409" s="38">
        <f>I394+I402+I408</f>
        <v>0</v>
      </c>
      <c r="J409" s="23" t="s">
        <v>288</v>
      </c>
      <c r="K409" s="23" t="s">
        <v>288</v>
      </c>
      <c r="L409" s="38">
        <f>L394+L402+L408</f>
        <v>314.85000000000002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f>41549.35+65864.91+42085.81+20357.47</f>
        <v>169857.54</v>
      </c>
      <c r="G443" s="18">
        <v>161711.14000000001</v>
      </c>
      <c r="H443" s="18"/>
      <c r="I443" s="13">
        <f t="shared" si="33"/>
        <v>331568.68000000005</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169857.54</v>
      </c>
      <c r="G447" s="13">
        <f>SUM(G440:G446)</f>
        <v>161711.14000000001</v>
      </c>
      <c r="H447" s="13">
        <f>SUM(H440:H446)</f>
        <v>0</v>
      </c>
      <c r="I447" s="13">
        <f>SUM(I440:I446)</f>
        <v>331568.68000000005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169857.54</v>
      </c>
      <c r="G460" s="18">
        <v>161711.14000000001</v>
      </c>
      <c r="H460" s="18"/>
      <c r="I460" s="13">
        <f t="shared" si="34"/>
        <v>331568.68000000005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169857.54</v>
      </c>
      <c r="G461" s="65">
        <f>SUM(G455:G460)</f>
        <v>161711.14000000001</v>
      </c>
      <c r="H461" s="65">
        <f>SUM(H455:H460)</f>
        <v>0</v>
      </c>
      <c r="I461" s="65">
        <f>SUM(I455:I460)</f>
        <v>331568.68000000005</v>
      </c>
      <c r="J461" s="23" t="s">
        <v>288</v>
      </c>
      <c r="K461" s="23" t="s">
        <v>288</v>
      </c>
      <c r="L461" s="23" t="s">
        <v>288</v>
      </c>
      <c r="N461" s="130"/>
    </row>
    <row r="462" spans="1:86" ht="12.2" customHeight="1" thickTop="1" x14ac:dyDescent="0.2">
      <c r="A462" s="40" t="s">
        <v>424</v>
      </c>
      <c r="B462" s="41">
        <v>18</v>
      </c>
      <c r="C462" s="64">
        <v>21</v>
      </c>
      <c r="D462" s="114" t="s">
        <v>432</v>
      </c>
      <c r="E462" s="64"/>
      <c r="F462" s="39">
        <f>F453+F461</f>
        <v>169857.54</v>
      </c>
      <c r="G462" s="39">
        <f>G453+G461</f>
        <v>161711.14000000001</v>
      </c>
      <c r="H462" s="39">
        <f>H453+H461</f>
        <v>0</v>
      </c>
      <c r="I462" s="39">
        <f>I453+I461</f>
        <v>331568.68000000005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253166.09</v>
      </c>
      <c r="G466" s="18">
        <v>17228.2</v>
      </c>
      <c r="H466" s="18">
        <v>75140.600000000006</v>
      </c>
      <c r="I466" s="18">
        <v>1439714.25</v>
      </c>
      <c r="J466" s="18">
        <v>330558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20068896.780000001</v>
      </c>
      <c r="G469" s="18">
        <v>475186.27</v>
      </c>
      <c r="H469" s="18">
        <f>3015407.78+1663409.05</f>
        <v>4678816.83</v>
      </c>
      <c r="I469" s="18">
        <v>5951578.8600000003</v>
      </c>
      <c r="J469" s="18">
        <v>314.85000000000002</v>
      </c>
      <c r="K469" s="23" t="s">
        <v>288</v>
      </c>
      <c r="L469" s="23" t="s">
        <v>288</v>
      </c>
      <c r="N469" s="130"/>
    </row>
    <row r="470" spans="1:14" ht="12.2" customHeight="1" x14ac:dyDescent="0.2">
      <c r="A470" s="71" t="s">
        <v>611</v>
      </c>
      <c r="B470" s="22">
        <v>19</v>
      </c>
      <c r="C470" s="31">
        <v>3</v>
      </c>
      <c r="D470" s="2" t="s">
        <v>432</v>
      </c>
      <c r="E470" s="31"/>
      <c r="F470" s="18"/>
      <c r="G470" s="18"/>
      <c r="H470" s="18"/>
      <c r="I470" s="18"/>
      <c r="J470" s="18">
        <v>695.83</v>
      </c>
      <c r="K470" s="23" t="s">
        <v>288</v>
      </c>
      <c r="L470" s="23" t="s">
        <v>288</v>
      </c>
      <c r="N470" s="130"/>
    </row>
    <row r="471" spans="1:14" ht="12.2" customHeight="1" x14ac:dyDescent="0.2">
      <c r="A471" s="32" t="s">
        <v>425</v>
      </c>
      <c r="B471" s="22">
        <v>19</v>
      </c>
      <c r="C471" s="31">
        <v>4</v>
      </c>
      <c r="D471" s="2" t="s">
        <v>432</v>
      </c>
      <c r="E471" s="31"/>
      <c r="F471" s="19">
        <f>SUM(F469:F470)</f>
        <v>20068896.780000001</v>
      </c>
      <c r="G471" s="19">
        <f>SUM(G469:G470)</f>
        <v>475186.27</v>
      </c>
      <c r="H471" s="19">
        <f>SUM(H469:H470)</f>
        <v>4678816.83</v>
      </c>
      <c r="I471" s="19">
        <f>SUM(I469:I470)</f>
        <v>5951578.8600000003</v>
      </c>
      <c r="J471" s="19">
        <f>SUM(J469:J470)</f>
        <v>1010.6800000000001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19787830.280000001</v>
      </c>
      <c r="G473" s="18">
        <v>474159.19</v>
      </c>
      <c r="H473" s="18">
        <f>3015407.78+1663409.05</f>
        <v>4678816.83</v>
      </c>
      <c r="I473" s="18">
        <v>7032660.7699999996</v>
      </c>
      <c r="J473" s="18"/>
      <c r="K473" s="23" t="s">
        <v>288</v>
      </c>
      <c r="L473" s="23" t="s">
        <v>288</v>
      </c>
      <c r="N473" s="130"/>
    </row>
    <row r="474" spans="1:14" ht="12.2" customHeight="1" x14ac:dyDescent="0.2">
      <c r="A474" s="71" t="s">
        <v>613</v>
      </c>
      <c r="B474" s="22">
        <v>19</v>
      </c>
      <c r="C474" s="31">
        <v>6</v>
      </c>
      <c r="D474" s="2" t="s">
        <v>432</v>
      </c>
      <c r="E474" s="31"/>
      <c r="F474" s="18">
        <f>4578.85+10105.61+79.7+7841.82</f>
        <v>22605.980000000003</v>
      </c>
      <c r="G474" s="18"/>
      <c r="H474" s="18">
        <f>75140.6-60482.79</f>
        <v>14657.810000000005</v>
      </c>
      <c r="I474" s="18"/>
      <c r="J474" s="18"/>
      <c r="K474" s="23" t="s">
        <v>288</v>
      </c>
      <c r="L474" s="23" t="s">
        <v>288</v>
      </c>
      <c r="N474" s="130"/>
    </row>
    <row r="475" spans="1:14" ht="12.2" customHeight="1" x14ac:dyDescent="0.2">
      <c r="A475" s="32" t="s">
        <v>426</v>
      </c>
      <c r="B475" s="22">
        <v>19</v>
      </c>
      <c r="C475" s="31">
        <v>7</v>
      </c>
      <c r="D475" s="2" t="s">
        <v>432</v>
      </c>
      <c r="E475" s="31"/>
      <c r="F475" s="19">
        <f>SUM(F473:F474)</f>
        <v>19810436.260000002</v>
      </c>
      <c r="G475" s="19">
        <f>SUM(G473:G474)</f>
        <v>474159.19</v>
      </c>
      <c r="H475" s="19">
        <f>SUM(H473:H474)</f>
        <v>4693474.6399999997</v>
      </c>
      <c r="I475" s="19">
        <f>SUM(I473:I474)</f>
        <v>7032660.7699999996</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511626.6099999994</v>
      </c>
      <c r="G477" s="19">
        <f>(G466+G471)- G475</f>
        <v>18255.280000000028</v>
      </c>
      <c r="H477" s="19">
        <f>(H466+H471)- H475</f>
        <v>60482.790000000037</v>
      </c>
      <c r="I477" s="19">
        <f>(I466+I471)- I475</f>
        <v>358632.34000000078</v>
      </c>
      <c r="J477" s="19">
        <f>(J466+J471)- J475</f>
        <v>331568.68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t="s">
        <v>1847</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1843</v>
      </c>
      <c r="G492" s="112" t="s">
        <v>1844</v>
      </c>
      <c r="H492" s="111"/>
      <c r="I492" s="111"/>
      <c r="J492" s="111"/>
      <c r="K492" s="23" t="s">
        <v>288</v>
      </c>
      <c r="L492" s="23" t="s">
        <v>288</v>
      </c>
      <c r="N492" s="130"/>
    </row>
    <row r="493" spans="1:14" ht="12.2" customHeight="1" x14ac:dyDescent="0.2">
      <c r="A493" s="21" t="s">
        <v>616</v>
      </c>
      <c r="B493" s="22">
        <v>20</v>
      </c>
      <c r="C493" s="22">
        <v>3</v>
      </c>
      <c r="D493" s="2" t="s">
        <v>432</v>
      </c>
      <c r="E493" s="22"/>
      <c r="F493" s="112" t="s">
        <v>1845</v>
      </c>
      <c r="G493" s="112" t="s">
        <v>1846</v>
      </c>
      <c r="H493" s="111"/>
      <c r="I493" s="111"/>
      <c r="J493" s="111"/>
      <c r="K493" s="23" t="s">
        <v>288</v>
      </c>
      <c r="L493" s="23" t="s">
        <v>288</v>
      </c>
      <c r="N493" s="130"/>
    </row>
    <row r="494" spans="1:14" ht="12.2" customHeight="1" x14ac:dyDescent="0.2">
      <c r="A494" s="21" t="s">
        <v>617</v>
      </c>
      <c r="B494" s="22">
        <v>20</v>
      </c>
      <c r="C494" s="22">
        <v>4</v>
      </c>
      <c r="D494" s="2" t="s">
        <v>432</v>
      </c>
      <c r="E494" s="22"/>
      <c r="F494" s="18">
        <v>1763100</v>
      </c>
      <c r="G494" s="18">
        <v>10156100</v>
      </c>
      <c r="H494" s="18"/>
      <c r="I494" s="18"/>
      <c r="J494" s="18"/>
      <c r="K494" s="23" t="s">
        <v>288</v>
      </c>
      <c r="L494" s="23" t="s">
        <v>288</v>
      </c>
      <c r="N494" s="130"/>
    </row>
    <row r="495" spans="1:14" ht="12.2" customHeight="1" x14ac:dyDescent="0.2">
      <c r="A495" s="21" t="s">
        <v>618</v>
      </c>
      <c r="B495" s="22">
        <v>20</v>
      </c>
      <c r="C495" s="22">
        <v>5</v>
      </c>
      <c r="D495" s="2" t="s">
        <v>432</v>
      </c>
      <c r="E495" s="22"/>
      <c r="F495" s="18">
        <v>3.38</v>
      </c>
      <c r="G495" s="18">
        <v>4.57</v>
      </c>
      <c r="H495" s="18"/>
      <c r="I495" s="18"/>
      <c r="J495" s="18"/>
      <c r="K495" s="23" t="s">
        <v>288</v>
      </c>
      <c r="L495" s="23" t="s">
        <v>288</v>
      </c>
      <c r="N495" s="130"/>
    </row>
    <row r="496" spans="1:14" ht="12.2" customHeight="1" x14ac:dyDescent="0.2">
      <c r="A496" s="21" t="s">
        <v>619</v>
      </c>
      <c r="B496" s="22">
        <v>20</v>
      </c>
      <c r="C496" s="22">
        <v>6</v>
      </c>
      <c r="D496" s="2" t="s">
        <v>432</v>
      </c>
      <c r="E496" s="22"/>
      <c r="F496" s="18">
        <v>1763100</v>
      </c>
      <c r="G496" s="18">
        <v>2525000</v>
      </c>
      <c r="H496" s="18"/>
      <c r="I496" s="18"/>
      <c r="J496" s="18"/>
      <c r="K496" s="19">
        <f>SUM(F496:J496)</f>
        <v>4288100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1674900</v>
      </c>
      <c r="G499" s="146">
        <v>2020000</v>
      </c>
      <c r="H499" s="146"/>
      <c r="I499" s="146"/>
      <c r="J499" s="146"/>
      <c r="K499" s="147">
        <f t="shared" si="35"/>
        <v>3694900</v>
      </c>
      <c r="L499" s="148" t="s">
        <v>288</v>
      </c>
      <c r="N499" s="130"/>
    </row>
    <row r="500" spans="1:14" ht="12.2" customHeight="1" thickBot="1" x14ac:dyDescent="0.25">
      <c r="A500" s="21" t="s">
        <v>623</v>
      </c>
      <c r="B500" s="22">
        <v>20</v>
      </c>
      <c r="C500" s="22">
        <v>10</v>
      </c>
      <c r="D500" s="2" t="s">
        <v>432</v>
      </c>
      <c r="E500" s="22"/>
      <c r="F500" s="18">
        <v>698069.6</v>
      </c>
      <c r="G500" s="18">
        <v>95800</v>
      </c>
      <c r="H500" s="18"/>
      <c r="I500" s="18"/>
      <c r="J500" s="18"/>
      <c r="K500" s="19">
        <f t="shared" si="35"/>
        <v>793869.6</v>
      </c>
      <c r="L500" s="23" t="s">
        <v>288</v>
      </c>
      <c r="N500" s="130"/>
    </row>
    <row r="501" spans="1:14" ht="12.2" customHeight="1" thickTop="1" x14ac:dyDescent="0.2">
      <c r="A501" s="97" t="s">
        <v>624</v>
      </c>
      <c r="B501" s="41">
        <v>20</v>
      </c>
      <c r="C501" s="41">
        <v>11</v>
      </c>
      <c r="D501" s="36" t="s">
        <v>432</v>
      </c>
      <c r="E501" s="41"/>
      <c r="F501" s="39">
        <f>SUM(F499:F500)</f>
        <v>2372969.6</v>
      </c>
      <c r="G501" s="39">
        <f>SUM(G499:G500)</f>
        <v>2115800</v>
      </c>
      <c r="H501" s="39">
        <f>SUM(H499:H500)</f>
        <v>0</v>
      </c>
      <c r="I501" s="39">
        <f>SUM(I499:I500)</f>
        <v>0</v>
      </c>
      <c r="J501" s="39">
        <f>SUM(J499:J500)</f>
        <v>0</v>
      </c>
      <c r="K501" s="39">
        <f t="shared" si="35"/>
        <v>4488769.5999999996</v>
      </c>
      <c r="L501" s="42" t="s">
        <v>288</v>
      </c>
      <c r="N501" s="130"/>
    </row>
    <row r="502" spans="1:14" ht="12.2" customHeight="1" x14ac:dyDescent="0.2">
      <c r="A502" s="143" t="s">
        <v>651</v>
      </c>
      <c r="B502" s="144">
        <v>20</v>
      </c>
      <c r="C502" s="144">
        <v>12</v>
      </c>
      <c r="D502" s="145" t="s">
        <v>432</v>
      </c>
      <c r="E502" s="144"/>
      <c r="F502" s="146">
        <v>88200</v>
      </c>
      <c r="G502" s="146">
        <v>505000</v>
      </c>
      <c r="H502" s="146"/>
      <c r="I502" s="146"/>
      <c r="J502" s="146"/>
      <c r="K502" s="147">
        <f t="shared" si="35"/>
        <v>593200</v>
      </c>
      <c r="L502" s="148" t="s">
        <v>288</v>
      </c>
      <c r="N502" s="130"/>
    </row>
    <row r="503" spans="1:14" ht="12.2" customHeight="1" thickBot="1" x14ac:dyDescent="0.25">
      <c r="A503" s="21" t="s">
        <v>625</v>
      </c>
      <c r="B503" s="22">
        <v>20</v>
      </c>
      <c r="C503" s="22">
        <v>13</v>
      </c>
      <c r="D503" s="2" t="s">
        <v>432</v>
      </c>
      <c r="E503" s="22"/>
      <c r="F503" s="18">
        <f>40507.45+38258.35</f>
        <v>78765.799999999988</v>
      </c>
      <c r="G503" s="18">
        <f>75+35981.25</f>
        <v>36056.25</v>
      </c>
      <c r="H503" s="18"/>
      <c r="I503" s="18"/>
      <c r="J503" s="18"/>
      <c r="K503" s="19">
        <f t="shared" si="35"/>
        <v>114822.04999999999</v>
      </c>
      <c r="L503" s="23" t="s">
        <v>288</v>
      </c>
      <c r="N503" s="130"/>
    </row>
    <row r="504" spans="1:14" ht="12.2" customHeight="1" thickTop="1" x14ac:dyDescent="0.2">
      <c r="A504" s="97" t="s">
        <v>626</v>
      </c>
      <c r="B504" s="41">
        <v>20</v>
      </c>
      <c r="C504" s="41">
        <v>14</v>
      </c>
      <c r="D504" s="36" t="s">
        <v>432</v>
      </c>
      <c r="E504" s="41"/>
      <c r="F504" s="39">
        <f>SUM(F502:F503)</f>
        <v>166965.79999999999</v>
      </c>
      <c r="G504" s="39">
        <f>SUM(G502:G503)</f>
        <v>541056.25</v>
      </c>
      <c r="H504" s="39">
        <f>SUM(H502:H503)</f>
        <v>0</v>
      </c>
      <c r="I504" s="39">
        <f>SUM(I502:I503)</f>
        <v>0</v>
      </c>
      <c r="J504" s="39">
        <f>SUM(J502:J503)</f>
        <v>0</v>
      </c>
      <c r="K504" s="39">
        <f t="shared" si="35"/>
        <v>708022.05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778747.66+66183.72</f>
        <v>844931.38</v>
      </c>
      <c r="G522" s="18">
        <f>332720.6+35556.87</f>
        <v>368277.47</v>
      </c>
      <c r="H522" s="18">
        <f>109014.8+14691.42</f>
        <v>123706.22</v>
      </c>
      <c r="I522" s="18">
        <f>7948.22+12576.18</f>
        <v>20524.400000000001</v>
      </c>
      <c r="J522" s="18"/>
      <c r="K522" s="18">
        <v>2436.25</v>
      </c>
      <c r="L522" s="69">
        <f>SUM(F522:K522)</f>
        <v>1359875.72</v>
      </c>
      <c r="N522" s="130"/>
    </row>
    <row r="523" spans="1:14" ht="12.2" customHeight="1" x14ac:dyDescent="0.2">
      <c r="A523" s="21" t="s">
        <v>634</v>
      </c>
      <c r="B523" s="22">
        <v>21</v>
      </c>
      <c r="C523" s="22">
        <v>2</v>
      </c>
      <c r="D523" s="2" t="s">
        <v>432</v>
      </c>
      <c r="E523" s="22"/>
      <c r="F523" s="18">
        <f>268924.68+39710.23</f>
        <v>308634.90999999997</v>
      </c>
      <c r="G523" s="18">
        <f>118660.29+21334.12</f>
        <v>139994.41</v>
      </c>
      <c r="H523" s="18">
        <f>516926.08+8814.85</f>
        <v>525740.93000000005</v>
      </c>
      <c r="I523" s="18">
        <f>6592.49+7545.72</f>
        <v>14138.21</v>
      </c>
      <c r="J523" s="18"/>
      <c r="K523" s="18"/>
      <c r="L523" s="69">
        <f>SUM(F523:K523)</f>
        <v>988508.46</v>
      </c>
      <c r="N523" s="130"/>
    </row>
    <row r="524" spans="1:14" ht="12.2" customHeight="1" thickBot="1" x14ac:dyDescent="0.25">
      <c r="A524" s="21" t="s">
        <v>635</v>
      </c>
      <c r="B524" s="22">
        <v>21</v>
      </c>
      <c r="C524" s="22">
        <v>3</v>
      </c>
      <c r="D524" s="2" t="s">
        <v>432</v>
      </c>
      <c r="E524" s="22"/>
      <c r="F524" s="18">
        <f>624665.45+59565.35</f>
        <v>684230.79999999993</v>
      </c>
      <c r="G524" s="18">
        <f>342074.53+32001.17</f>
        <v>374075.7</v>
      </c>
      <c r="H524" s="18">
        <f>384299.76+13222.28</f>
        <v>397522.04000000004</v>
      </c>
      <c r="I524" s="18">
        <f>10071.89+11318.56</f>
        <v>21390.449999999997</v>
      </c>
      <c r="J524" s="18">
        <v>143.99</v>
      </c>
      <c r="K524" s="18">
        <v>1952.2</v>
      </c>
      <c r="L524" s="69">
        <f>SUM(F524:K524)</f>
        <v>1479315.18</v>
      </c>
      <c r="N524" s="130"/>
    </row>
    <row r="525" spans="1:14" ht="12.2" customHeight="1" thickTop="1" x14ac:dyDescent="0.2">
      <c r="A525" s="97" t="s">
        <v>63</v>
      </c>
      <c r="B525" s="41">
        <v>21</v>
      </c>
      <c r="C525" s="41">
        <v>4</v>
      </c>
      <c r="D525" s="115" t="s">
        <v>432</v>
      </c>
      <c r="E525" s="41"/>
      <c r="F525" s="81">
        <f>SUM(F522:F524)</f>
        <v>1837797.0899999999</v>
      </c>
      <c r="G525" s="81">
        <f t="shared" ref="G525:L525" si="36">SUM(G522:G524)</f>
        <v>882347.58000000007</v>
      </c>
      <c r="H525" s="81">
        <f t="shared" si="36"/>
        <v>1046969.1900000001</v>
      </c>
      <c r="I525" s="81">
        <f t="shared" si="36"/>
        <v>56053.06</v>
      </c>
      <c r="J525" s="81">
        <f t="shared" si="36"/>
        <v>143.99</v>
      </c>
      <c r="K525" s="81">
        <f t="shared" si="36"/>
        <v>4388.45</v>
      </c>
      <c r="L525" s="70">
        <f t="shared" si="36"/>
        <v>3827699.3599999994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250004.97</v>
      </c>
      <c r="G527" s="18">
        <v>135100.74</v>
      </c>
      <c r="H527" s="18">
        <v>460298.71</v>
      </c>
      <c r="I527" s="18">
        <v>5062.24</v>
      </c>
      <c r="J527" s="18"/>
      <c r="K527" s="18"/>
      <c r="L527" s="69">
        <f>SUM(F527:K527)</f>
        <v>850466.65999999992</v>
      </c>
      <c r="M527" s="8"/>
      <c r="N527" s="164"/>
    </row>
    <row r="528" spans="1:14" s="3" customFormat="1" ht="12.2" customHeight="1" x14ac:dyDescent="0.15">
      <c r="A528" s="21" t="s">
        <v>634</v>
      </c>
      <c r="B528" s="22">
        <v>21</v>
      </c>
      <c r="C528" s="22">
        <v>6</v>
      </c>
      <c r="D528" s="2" t="s">
        <v>432</v>
      </c>
      <c r="E528" s="22"/>
      <c r="F528" s="18">
        <v>110726.21</v>
      </c>
      <c r="G528" s="18">
        <v>76106.7</v>
      </c>
      <c r="H528" s="18">
        <v>13100</v>
      </c>
      <c r="I528" s="18">
        <v>2874.4</v>
      </c>
      <c r="J528" s="18"/>
      <c r="K528" s="18"/>
      <c r="L528" s="69">
        <f>SUM(F528:K528)</f>
        <v>202807.31</v>
      </c>
      <c r="M528" s="8"/>
      <c r="N528" s="164"/>
    </row>
    <row r="529" spans="1:14" s="3" customFormat="1" ht="12.2" customHeight="1" thickBot="1" x14ac:dyDescent="0.2">
      <c r="A529" s="21" t="s">
        <v>635</v>
      </c>
      <c r="B529" s="22">
        <v>21</v>
      </c>
      <c r="C529" s="22">
        <v>7</v>
      </c>
      <c r="D529" s="2" t="s">
        <v>432</v>
      </c>
      <c r="E529" s="22"/>
      <c r="F529" s="18">
        <v>69299.850000000006</v>
      </c>
      <c r="G529" s="18">
        <v>45234.77</v>
      </c>
      <c r="H529" s="18">
        <v>13200</v>
      </c>
      <c r="I529" s="18">
        <v>2993.13</v>
      </c>
      <c r="J529" s="18"/>
      <c r="K529" s="18"/>
      <c r="L529" s="69">
        <f>SUM(F529:K529)</f>
        <v>130727.75</v>
      </c>
      <c r="M529" s="8"/>
      <c r="N529" s="164"/>
    </row>
    <row r="530" spans="1:14" s="3" customFormat="1" ht="12.2" customHeight="1" thickTop="1" x14ac:dyDescent="0.15">
      <c r="A530" s="97" t="s">
        <v>65</v>
      </c>
      <c r="B530" s="41">
        <v>21</v>
      </c>
      <c r="C530" s="41">
        <v>8</v>
      </c>
      <c r="D530" s="115" t="s">
        <v>432</v>
      </c>
      <c r="E530" s="41"/>
      <c r="F530" s="70">
        <f>SUM(F527:F529)</f>
        <v>430031.03</v>
      </c>
      <c r="G530" s="70">
        <f t="shared" ref="G530:L530" si="37">SUM(G527:G529)</f>
        <v>256442.21</v>
      </c>
      <c r="H530" s="70">
        <f t="shared" si="37"/>
        <v>486598.71</v>
      </c>
      <c r="I530" s="70">
        <f t="shared" si="37"/>
        <v>10929.77</v>
      </c>
      <c r="J530" s="70">
        <f t="shared" si="37"/>
        <v>0</v>
      </c>
      <c r="K530" s="70">
        <f t="shared" si="37"/>
        <v>0</v>
      </c>
      <c r="L530" s="70">
        <f t="shared" si="37"/>
        <v>1184001.72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110673.43</v>
      </c>
      <c r="G532" s="18">
        <v>60638.94</v>
      </c>
      <c r="H532" s="18"/>
      <c r="I532" s="18"/>
      <c r="J532" s="18"/>
      <c r="K532" s="18">
        <v>60.51</v>
      </c>
      <c r="L532" s="69">
        <f>SUM(F532:K532)</f>
        <v>171372.88</v>
      </c>
      <c r="M532" s="8"/>
      <c r="N532" s="164"/>
    </row>
    <row r="533" spans="1:14" s="3" customFormat="1" ht="12.2" customHeight="1" x14ac:dyDescent="0.15">
      <c r="A533" s="21" t="s">
        <v>634</v>
      </c>
      <c r="B533" s="22">
        <v>21</v>
      </c>
      <c r="C533" s="22">
        <v>10</v>
      </c>
      <c r="D533" s="2" t="s">
        <v>432</v>
      </c>
      <c r="E533" s="22"/>
      <c r="F533" s="18">
        <v>64043.97</v>
      </c>
      <c r="G533" s="18">
        <v>35090.25</v>
      </c>
      <c r="H533" s="18"/>
      <c r="I533" s="18"/>
      <c r="J533" s="18"/>
      <c r="K533" s="18">
        <v>35.020000000000003</v>
      </c>
      <c r="L533" s="69">
        <f>SUM(F533:K533)</f>
        <v>99169.24</v>
      </c>
      <c r="M533" s="8"/>
      <c r="N533" s="164"/>
    </row>
    <row r="534" spans="1:14" s="3" customFormat="1" ht="12.2" customHeight="1" thickBot="1" x14ac:dyDescent="0.2">
      <c r="A534" s="21" t="s">
        <v>635</v>
      </c>
      <c r="B534" s="22">
        <v>21</v>
      </c>
      <c r="C534" s="22">
        <v>11</v>
      </c>
      <c r="D534" s="2" t="s">
        <v>432</v>
      </c>
      <c r="E534" s="22"/>
      <c r="F534" s="18">
        <v>97810.12</v>
      </c>
      <c r="G534" s="18">
        <v>53591.01</v>
      </c>
      <c r="H534" s="18"/>
      <c r="I534" s="18"/>
      <c r="J534" s="18"/>
      <c r="K534" s="18">
        <v>53.47</v>
      </c>
      <c r="L534" s="69">
        <f>SUM(F534:K534)</f>
        <v>151454.6</v>
      </c>
      <c r="M534" s="8"/>
      <c r="N534" s="164"/>
    </row>
    <row r="535" spans="1:14" s="3" customFormat="1" ht="12.2" customHeight="1" thickTop="1" x14ac:dyDescent="0.15">
      <c r="A535" s="97" t="s">
        <v>67</v>
      </c>
      <c r="B535" s="41">
        <v>21</v>
      </c>
      <c r="C535" s="41">
        <v>12</v>
      </c>
      <c r="D535" s="115" t="s">
        <v>432</v>
      </c>
      <c r="E535" s="41"/>
      <c r="F535" s="70">
        <f>SUM(F532:F534)</f>
        <v>272527.52</v>
      </c>
      <c r="G535" s="70">
        <f t="shared" ref="G535:L535" si="38">SUM(G532:G534)</f>
        <v>149320.20000000001</v>
      </c>
      <c r="H535" s="70">
        <f t="shared" si="38"/>
        <v>0</v>
      </c>
      <c r="I535" s="70">
        <f t="shared" si="38"/>
        <v>0</v>
      </c>
      <c r="J535" s="70">
        <f t="shared" si="38"/>
        <v>0</v>
      </c>
      <c r="K535" s="70">
        <f t="shared" si="38"/>
        <v>149</v>
      </c>
      <c r="L535" s="70">
        <f t="shared" si="38"/>
        <v>421996.72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34366.07</v>
      </c>
      <c r="G542" s="18">
        <v>3940.51</v>
      </c>
      <c r="H542" s="18">
        <v>6768.59</v>
      </c>
      <c r="I542" s="18">
        <f>3950.54+6781.86</f>
        <v>10732.4</v>
      </c>
      <c r="J542" s="18"/>
      <c r="K542" s="18"/>
      <c r="L542" s="69">
        <f>SUM(F542:K542)</f>
        <v>55807.57</v>
      </c>
      <c r="M542" s="8"/>
      <c r="N542" s="164"/>
    </row>
    <row r="543" spans="1:14" s="3" customFormat="1" ht="12.2" customHeight="1" x14ac:dyDescent="0.15">
      <c r="A543" s="21" t="s">
        <v>634</v>
      </c>
      <c r="B543" s="22">
        <v>21</v>
      </c>
      <c r="C543" s="22">
        <v>18</v>
      </c>
      <c r="D543" s="2" t="s">
        <v>432</v>
      </c>
      <c r="E543" s="22"/>
      <c r="F543" s="18">
        <v>19886.79</v>
      </c>
      <c r="G543" s="18">
        <v>2280.27</v>
      </c>
      <c r="H543" s="18">
        <v>3916.81</v>
      </c>
      <c r="I543" s="18">
        <f>2286.08+3924.49</f>
        <v>6210.57</v>
      </c>
      <c r="J543" s="18"/>
      <c r="K543" s="18"/>
      <c r="L543" s="69">
        <f>SUM(F543:K543)</f>
        <v>32294.440000000002</v>
      </c>
      <c r="M543" s="8"/>
      <c r="N543" s="164"/>
    </row>
    <row r="544" spans="1:14" s="3" customFormat="1" ht="12.2" customHeight="1" thickBot="1" x14ac:dyDescent="0.2">
      <c r="A544" s="21" t="s">
        <v>635</v>
      </c>
      <c r="B544" s="22">
        <v>21</v>
      </c>
      <c r="C544" s="22">
        <v>19</v>
      </c>
      <c r="D544" s="2" t="s">
        <v>432</v>
      </c>
      <c r="E544" s="22"/>
      <c r="F544" s="18">
        <v>30371.78</v>
      </c>
      <c r="G544" s="18">
        <v>3482.51</v>
      </c>
      <c r="H544" s="18">
        <f>2873.58+5981.89</f>
        <v>8855.4700000000012</v>
      </c>
      <c r="I544" s="18">
        <f>3491.37+5993.62</f>
        <v>9484.99</v>
      </c>
      <c r="J544" s="18"/>
      <c r="K544" s="18"/>
      <c r="L544" s="69">
        <f>SUM(F544:K544)</f>
        <v>52194.75</v>
      </c>
      <c r="M544" s="8"/>
      <c r="N544" s="164"/>
    </row>
    <row r="545" spans="1:14" s="3" customFormat="1" ht="12.2" customHeight="1" thickTop="1" thickBot="1" x14ac:dyDescent="0.2">
      <c r="A545" s="93" t="s">
        <v>71</v>
      </c>
      <c r="B545" s="63">
        <v>21</v>
      </c>
      <c r="C545" s="63">
        <v>20</v>
      </c>
      <c r="D545" s="139" t="s">
        <v>432</v>
      </c>
      <c r="E545" s="63"/>
      <c r="F545" s="140">
        <f>SUM(F542:F544)</f>
        <v>84624.639999999999</v>
      </c>
      <c r="G545" s="140">
        <f t="shared" ref="G545:L545" si="40">SUM(G542:G544)</f>
        <v>9703.2900000000009</v>
      </c>
      <c r="H545" s="140">
        <f t="shared" si="40"/>
        <v>19540.870000000003</v>
      </c>
      <c r="I545" s="140">
        <f t="shared" si="40"/>
        <v>26427.96</v>
      </c>
      <c r="J545" s="140">
        <f t="shared" si="40"/>
        <v>0</v>
      </c>
      <c r="K545" s="140">
        <f t="shared" si="40"/>
        <v>0</v>
      </c>
      <c r="L545" s="140">
        <f t="shared" si="40"/>
        <v>140296.76</v>
      </c>
      <c r="M545" s="8"/>
      <c r="N545" s="164"/>
    </row>
    <row r="546" spans="1:14" s="3" customFormat="1" ht="12.2" customHeight="1" thickTop="1" x14ac:dyDescent="0.15">
      <c r="A546" s="75" t="s">
        <v>72</v>
      </c>
      <c r="B546" s="41">
        <v>21</v>
      </c>
      <c r="C546" s="41">
        <v>21</v>
      </c>
      <c r="D546" s="115" t="s">
        <v>432</v>
      </c>
      <c r="E546" s="41"/>
      <c r="F546" s="70">
        <f>F525+F530+F535+F540+F545</f>
        <v>2624980.2800000003</v>
      </c>
      <c r="G546" s="70">
        <f t="shared" ref="G546:L546" si="41">G525+G530+G535+G540+G545</f>
        <v>1297813.28</v>
      </c>
      <c r="H546" s="70">
        <f t="shared" si="41"/>
        <v>1553108.7700000003</v>
      </c>
      <c r="I546" s="70">
        <f t="shared" si="41"/>
        <v>93410.790000000008</v>
      </c>
      <c r="J546" s="70">
        <f t="shared" si="41"/>
        <v>143.99</v>
      </c>
      <c r="K546" s="70">
        <f t="shared" si="41"/>
        <v>4537.45</v>
      </c>
      <c r="L546" s="70">
        <f t="shared" si="41"/>
        <v>5573994.5599999987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1359875.72</v>
      </c>
      <c r="G550" s="69">
        <f>L527</f>
        <v>850466.65999999992</v>
      </c>
      <c r="H550" s="69">
        <f>L532</f>
        <v>171372.88</v>
      </c>
      <c r="I550" s="69">
        <f>L537</f>
        <v>0</v>
      </c>
      <c r="J550" s="69">
        <f>L542</f>
        <v>55807.57</v>
      </c>
      <c r="K550" s="69">
        <f>SUM(F550:J550)</f>
        <v>2437522.8299999996</v>
      </c>
      <c r="L550" s="23" t="s">
        <v>288</v>
      </c>
      <c r="M550" s="8"/>
      <c r="N550" s="164"/>
    </row>
    <row r="551" spans="1:14" s="3" customFormat="1" ht="12.2" customHeight="1" x14ac:dyDescent="0.15">
      <c r="A551" s="21" t="s">
        <v>634</v>
      </c>
      <c r="B551" s="22">
        <v>21</v>
      </c>
      <c r="C551" s="22">
        <v>23</v>
      </c>
      <c r="D551" s="2" t="s">
        <v>432</v>
      </c>
      <c r="E551" s="22"/>
      <c r="F551" s="69">
        <f>L523</f>
        <v>988508.46</v>
      </c>
      <c r="G551" s="69">
        <f>L528</f>
        <v>202807.31</v>
      </c>
      <c r="H551" s="69">
        <f>L533</f>
        <v>99169.24</v>
      </c>
      <c r="I551" s="69">
        <f>L538</f>
        <v>0</v>
      </c>
      <c r="J551" s="69">
        <f>L543</f>
        <v>32294.440000000002</v>
      </c>
      <c r="K551" s="69">
        <f>SUM(F551:J551)</f>
        <v>1322779.45</v>
      </c>
      <c r="L551" s="23" t="s">
        <v>288</v>
      </c>
      <c r="M551" s="8"/>
      <c r="N551" s="164"/>
    </row>
    <row r="552" spans="1:14" s="3" customFormat="1" ht="12.2" customHeight="1" thickBot="1" x14ac:dyDescent="0.2">
      <c r="A552" s="21" t="s">
        <v>635</v>
      </c>
      <c r="B552" s="22">
        <v>21</v>
      </c>
      <c r="C552" s="22">
        <v>24</v>
      </c>
      <c r="D552" s="2" t="s">
        <v>432</v>
      </c>
      <c r="E552" s="22"/>
      <c r="F552" s="69">
        <f>L524</f>
        <v>1479315.18</v>
      </c>
      <c r="G552" s="69">
        <f>L529</f>
        <v>130727.75</v>
      </c>
      <c r="H552" s="69">
        <f>L534</f>
        <v>151454.6</v>
      </c>
      <c r="I552" s="69">
        <f>L539</f>
        <v>0</v>
      </c>
      <c r="J552" s="69">
        <f>L544</f>
        <v>52194.75</v>
      </c>
      <c r="K552" s="69">
        <f>SUM(F552:J552)</f>
        <v>1813692.28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3827699.3599999994</v>
      </c>
      <c r="G553" s="70">
        <f t="shared" si="42"/>
        <v>1184001.72</v>
      </c>
      <c r="H553" s="70">
        <f t="shared" si="42"/>
        <v>421996.72</v>
      </c>
      <c r="I553" s="70">
        <f t="shared" si="42"/>
        <v>0</v>
      </c>
      <c r="J553" s="70">
        <f t="shared" si="42"/>
        <v>140296.76</v>
      </c>
      <c r="K553" s="70">
        <f t="shared" si="42"/>
        <v>5573994.5599999996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5178.05</v>
      </c>
      <c r="G576" s="18"/>
      <c r="H576" s="18">
        <f>1061.07</f>
        <v>1061.07</v>
      </c>
      <c r="I576" s="69">
        <f>SUM(F576:H576)</f>
        <v>6239.12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4"/>
      <c r="H580" s="4"/>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305180.11</v>
      </c>
      <c r="H583" s="18">
        <v>127279.56</v>
      </c>
      <c r="I583" s="69">
        <f>SUM(F583:H583)</f>
        <v>432459.67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18845.759999999998</v>
      </c>
      <c r="I585" s="69">
        <f t="shared" si="47"/>
        <v>18845.759999999998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5178.05</v>
      </c>
      <c r="G589" s="79">
        <f t="shared" ref="G589:I589" si="48">SUM(G576:G588)</f>
        <v>305180.11</v>
      </c>
      <c r="H589" s="79">
        <f t="shared" si="48"/>
        <v>147186.39000000001</v>
      </c>
      <c r="I589" s="79">
        <f t="shared" si="48"/>
        <v>457544.55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224584.9</v>
      </c>
      <c r="I592" s="18">
        <v>129961.73</v>
      </c>
      <c r="J592" s="18">
        <v>198481.94</v>
      </c>
      <c r="K592" s="80">
        <f t="shared" ref="K592:K598" si="49">SUM(H592:J592)</f>
        <v>553028.57000000007</v>
      </c>
      <c r="L592" s="23" t="s">
        <v>288</v>
      </c>
      <c r="M592" s="8"/>
      <c r="N592" s="164"/>
    </row>
    <row r="593" spans="1:14" s="3" customFormat="1" ht="12.2" customHeight="1" x14ac:dyDescent="0.15">
      <c r="A593" s="3" t="s">
        <v>638</v>
      </c>
      <c r="B593" s="22">
        <v>23</v>
      </c>
      <c r="C593" s="22">
        <v>2</v>
      </c>
      <c r="D593" s="2" t="s">
        <v>432</v>
      </c>
      <c r="E593" s="22"/>
      <c r="F593" s="78">
        <v>2722</v>
      </c>
      <c r="G593" s="79" t="s">
        <v>97</v>
      </c>
      <c r="H593" s="18">
        <f>55807.57</f>
        <v>55807.57</v>
      </c>
      <c r="I593" s="18">
        <v>32294.44</v>
      </c>
      <c r="J593" s="18">
        <f>49321.17</f>
        <v>49321.17</v>
      </c>
      <c r="K593" s="80">
        <f t="shared" si="49"/>
        <v>137423.18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2873.58</v>
      </c>
      <c r="K594" s="80">
        <f t="shared" si="49"/>
        <v>2873.58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2653.18</v>
      </c>
      <c r="J595" s="18">
        <v>8686.34</v>
      </c>
      <c r="K595" s="80">
        <f t="shared" si="49"/>
        <v>11339.52</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1918.33</v>
      </c>
      <c r="I596" s="18">
        <v>525.34</v>
      </c>
      <c r="J596" s="18">
        <v>2792.64</v>
      </c>
      <c r="K596" s="80">
        <f t="shared" si="49"/>
        <v>5236.3099999999995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282310.8</v>
      </c>
      <c r="I599" s="81">
        <f>SUM(I592:I598)</f>
        <v>165434.68999999997</v>
      </c>
      <c r="J599" s="81">
        <f>SUM(J592:J598)</f>
        <v>262155.67</v>
      </c>
      <c r="K599" s="81">
        <f>SUM(K592:K598)</f>
        <v>709901.16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85825.55+3414.85</f>
        <v>89240.400000000009</v>
      </c>
      <c r="I605" s="18">
        <v>58109.99</v>
      </c>
      <c r="J605" s="18">
        <f>84682.52+85975.78</f>
        <v>170658.3</v>
      </c>
      <c r="K605" s="80">
        <f>SUM(H605:J605)</f>
        <v>318008.69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89240.400000000009</v>
      </c>
      <c r="I606" s="81">
        <f>SUM(I603:I605)</f>
        <v>58109.99</v>
      </c>
      <c r="J606" s="81">
        <f>SUM(J603:J605)</f>
        <v>170658.3</v>
      </c>
      <c r="K606" s="81">
        <f>SUM(K603:K605)</f>
        <v>318008.69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1725</v>
      </c>
      <c r="G614" s="18">
        <f>36.94+470.78</f>
        <v>507.71999999999997</v>
      </c>
      <c r="H614" s="18"/>
      <c r="I614" s="18"/>
      <c r="J614" s="18"/>
      <c r="K614" s="18"/>
      <c r="L614" s="69">
        <f>SUM(F614:K614)</f>
        <v>2232.7199999999998</v>
      </c>
      <c r="M614" s="8"/>
      <c r="N614" s="164"/>
    </row>
    <row r="615" spans="1:14" s="3" customFormat="1" ht="12.2" customHeight="1" thickTop="1" x14ac:dyDescent="0.15">
      <c r="A615" s="75" t="s">
        <v>340</v>
      </c>
      <c r="B615" s="41">
        <v>23</v>
      </c>
      <c r="C615" s="41">
        <v>16</v>
      </c>
      <c r="D615" s="36" t="s">
        <v>432</v>
      </c>
      <c r="E615" s="41"/>
      <c r="F615" s="81">
        <f t="shared" ref="F615:L615" si="50">SUM(F612:F614)</f>
        <v>1725</v>
      </c>
      <c r="G615" s="81">
        <f t="shared" si="50"/>
        <v>507.71999999999997</v>
      </c>
      <c r="H615" s="81">
        <f t="shared" si="50"/>
        <v>0</v>
      </c>
      <c r="I615" s="81">
        <f t="shared" si="50"/>
        <v>0</v>
      </c>
      <c r="J615" s="81">
        <f t="shared" si="50"/>
        <v>0</v>
      </c>
      <c r="K615" s="81">
        <f t="shared" si="50"/>
        <v>0</v>
      </c>
      <c r="L615" s="70">
        <f t="shared" si="50"/>
        <v>2232.7199999999998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1992369.3399999999</v>
      </c>
      <c r="H618" s="80">
        <f>SUM(F52)</f>
        <v>1992369.340000001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53713.450000000004</v>
      </c>
      <c r="H619" s="80">
        <f>SUM(G52)</f>
        <v>53713.45</v>
      </c>
      <c r="I619" s="87" t="s">
        <v>872</v>
      </c>
      <c r="J619" s="80">
        <f>G619-H619</f>
        <v>0</v>
      </c>
      <c r="K619" s="80"/>
      <c r="L619" s="80"/>
      <c r="M619" s="8"/>
    </row>
    <row r="620" spans="1:14" s="3" customFormat="1" ht="12.2" customHeight="1" x14ac:dyDescent="0.15">
      <c r="A620" s="74"/>
      <c r="B620" s="22"/>
      <c r="C620" s="22"/>
      <c r="D620" s="22"/>
      <c r="E620" s="22"/>
      <c r="F620" s="87" t="s">
        <v>685</v>
      </c>
      <c r="G620" s="80">
        <f>SUM(H19)</f>
        <v>64480.179999999971</v>
      </c>
      <c r="H620" s="80">
        <f>SUM(H52)</f>
        <v>64480.18</v>
      </c>
      <c r="I620" s="87" t="s">
        <v>873</v>
      </c>
      <c r="J620" s="80">
        <f>G620-H620</f>
        <v>0</v>
      </c>
      <c r="K620" s="80"/>
      <c r="L620" s="80"/>
      <c r="M620" s="8"/>
    </row>
    <row r="621" spans="1:14" s="3" customFormat="1" ht="12.2" customHeight="1" x14ac:dyDescent="0.15">
      <c r="A621" s="74"/>
      <c r="B621" s="22"/>
      <c r="C621" s="22"/>
      <c r="D621" s="22"/>
      <c r="E621" s="22"/>
      <c r="F621" s="87" t="s">
        <v>686</v>
      </c>
      <c r="G621" s="80">
        <f>SUM(I19)</f>
        <v>358632.33999999997</v>
      </c>
      <c r="H621" s="80">
        <f>SUM(I52)</f>
        <v>358632.34000000008</v>
      </c>
      <c r="I621" s="87" t="s">
        <v>874</v>
      </c>
      <c r="J621" s="80">
        <f>G621-H621</f>
        <v>0</v>
      </c>
      <c r="K621" s="80"/>
      <c r="L621" s="80"/>
      <c r="M621" s="8"/>
    </row>
    <row r="622" spans="1:14" s="3" customFormat="1" ht="12.2" customHeight="1" x14ac:dyDescent="0.15">
      <c r="A622" s="74"/>
      <c r="B622" s="22"/>
      <c r="C622" s="22"/>
      <c r="D622" s="22"/>
      <c r="E622" s="22"/>
      <c r="F622" s="87" t="s">
        <v>687</v>
      </c>
      <c r="G622" s="80">
        <f>SUM(J19)</f>
        <v>331568.68000000005</v>
      </c>
      <c r="H622" s="80">
        <f>SUM(J52)</f>
        <v>331568.68000000005</v>
      </c>
      <c r="I622" s="87" t="s">
        <v>875</v>
      </c>
      <c r="J622" s="80">
        <f>G622-H622</f>
        <v>0</v>
      </c>
      <c r="K622" s="80"/>
      <c r="L622" s="80"/>
      <c r="M622" s="8"/>
    </row>
    <row r="623" spans="1:14" s="3" customFormat="1" ht="12.2" customHeight="1" x14ac:dyDescent="0.15">
      <c r="A623" s="74"/>
      <c r="B623" s="22"/>
      <c r="C623" s="22"/>
      <c r="D623" s="22"/>
      <c r="E623" s="22"/>
      <c r="F623" s="87" t="s">
        <v>861</v>
      </c>
      <c r="G623" s="80">
        <f>F51</f>
        <v>511626.61000000103</v>
      </c>
      <c r="H623" s="80">
        <f>F477</f>
        <v>511626.6099999994</v>
      </c>
      <c r="I623" s="87" t="s">
        <v>101</v>
      </c>
      <c r="J623" s="80">
        <f t="shared" ref="J623:J656" si="51">G623-H623</f>
        <v>1.6298145055770874E-9</v>
      </c>
      <c r="K623" s="80"/>
      <c r="L623" s="80"/>
      <c r="M623" s="8"/>
    </row>
    <row r="624" spans="1:14" s="3" customFormat="1" ht="12.2" customHeight="1" x14ac:dyDescent="0.15">
      <c r="A624" s="74"/>
      <c r="B624" s="22"/>
      <c r="C624" s="85"/>
      <c r="D624" s="85"/>
      <c r="E624" s="85"/>
      <c r="F624" s="85" t="s">
        <v>862</v>
      </c>
      <c r="G624" s="80">
        <f>G51</f>
        <v>18255.28</v>
      </c>
      <c r="H624" s="80">
        <f>G477</f>
        <v>18255.280000000028</v>
      </c>
      <c r="I624" s="87" t="s">
        <v>102</v>
      </c>
      <c r="J624" s="80">
        <f t="shared" si="51"/>
        <v>-2.9103830456733704E-11</v>
      </c>
      <c r="K624" s="80"/>
      <c r="L624" s="80"/>
      <c r="M624" s="8"/>
    </row>
    <row r="625" spans="1:13" s="3" customFormat="1" ht="12.2" customHeight="1" x14ac:dyDescent="0.15">
      <c r="A625" s="74"/>
      <c r="B625" s="22"/>
      <c r="C625" s="22"/>
      <c r="D625" s="22"/>
      <c r="E625" s="22"/>
      <c r="F625" s="86" t="s">
        <v>863</v>
      </c>
      <c r="G625" s="80">
        <f>H51</f>
        <v>60482.79</v>
      </c>
      <c r="H625" s="80">
        <f>H477</f>
        <v>60482.790000000037</v>
      </c>
      <c r="I625" s="87" t="s">
        <v>103</v>
      </c>
      <c r="J625" s="80">
        <f t="shared" si="51"/>
        <v>0</v>
      </c>
      <c r="K625" s="80"/>
      <c r="L625" s="80"/>
      <c r="M625" s="8"/>
    </row>
    <row r="626" spans="1:13" s="3" customFormat="1" ht="12.2" customHeight="1" x14ac:dyDescent="0.15">
      <c r="A626" s="74"/>
      <c r="B626" s="22"/>
      <c r="C626" s="22"/>
      <c r="D626" s="22"/>
      <c r="E626" s="22"/>
      <c r="F626" s="86" t="s">
        <v>864</v>
      </c>
      <c r="G626" s="80">
        <f>I51</f>
        <v>358632.34000000008</v>
      </c>
      <c r="H626" s="80">
        <f>I477</f>
        <v>358632.34000000078</v>
      </c>
      <c r="I626" s="87" t="s">
        <v>104</v>
      </c>
      <c r="J626" s="80">
        <f t="shared" si="51"/>
        <v>-6.9849193096160889E-10</v>
      </c>
      <c r="K626" s="80"/>
      <c r="L626" s="80"/>
      <c r="M626" s="8"/>
    </row>
    <row r="627" spans="1:13" s="3" customFormat="1" ht="12.2" customHeight="1" x14ac:dyDescent="0.15">
      <c r="A627" s="21"/>
      <c r="B627" s="22"/>
      <c r="C627" s="22"/>
      <c r="D627" s="22"/>
      <c r="E627" s="22"/>
      <c r="F627" s="86" t="s">
        <v>865</v>
      </c>
      <c r="G627" s="80">
        <f>J51</f>
        <v>331568.68000000005</v>
      </c>
      <c r="H627" s="80">
        <f>J477</f>
        <v>331568.68</v>
      </c>
      <c r="I627" s="87" t="s">
        <v>105</v>
      </c>
      <c r="J627" s="80">
        <f t="shared" si="51"/>
        <v>0</v>
      </c>
      <c r="K627" s="67"/>
      <c r="L627" s="69"/>
      <c r="M627" s="8"/>
    </row>
    <row r="628" spans="1:13" s="3" customFormat="1" ht="12.2" customHeight="1" x14ac:dyDescent="0.15">
      <c r="A628" s="21"/>
      <c r="B628" s="22"/>
      <c r="C628" s="22"/>
      <c r="D628" s="22"/>
      <c r="E628" s="22"/>
      <c r="F628" s="86" t="s">
        <v>658</v>
      </c>
      <c r="G628" s="80">
        <f>F194</f>
        <v>20068896.780000001</v>
      </c>
      <c r="H628" s="80">
        <f>SUM(F469)</f>
        <v>20068896.780000001</v>
      </c>
      <c r="I628" s="87" t="s">
        <v>106</v>
      </c>
      <c r="J628" s="80">
        <f>G628-H628</f>
        <v>0</v>
      </c>
      <c r="K628" s="67"/>
      <c r="L628" s="69"/>
      <c r="M628" s="8"/>
    </row>
    <row r="629" spans="1:13" s="3" customFormat="1" ht="12.2" customHeight="1" x14ac:dyDescent="0.15">
      <c r="A629" s="21"/>
      <c r="B629" s="22"/>
      <c r="C629" s="22"/>
      <c r="D629" s="22"/>
      <c r="E629" s="22"/>
      <c r="F629" s="86" t="s">
        <v>659</v>
      </c>
      <c r="G629" s="80">
        <f>G194</f>
        <v>475186.27</v>
      </c>
      <c r="H629" s="80">
        <f>SUM(G469)</f>
        <v>475186.27</v>
      </c>
      <c r="I629" s="87" t="s">
        <v>107</v>
      </c>
      <c r="J629" s="80">
        <f>G629-H629</f>
        <v>0</v>
      </c>
      <c r="K629" s="67"/>
      <c r="L629" s="69"/>
      <c r="M629" s="8"/>
    </row>
    <row r="630" spans="1:13" s="3" customFormat="1" ht="12.2" customHeight="1" x14ac:dyDescent="0.15">
      <c r="A630" s="21"/>
      <c r="B630" s="22"/>
      <c r="C630" s="22"/>
      <c r="D630" s="22"/>
      <c r="E630" s="22"/>
      <c r="F630" s="86" t="s">
        <v>660</v>
      </c>
      <c r="G630" s="80">
        <f>H194</f>
        <v>4678816.8299999991</v>
      </c>
      <c r="H630" s="80">
        <f>SUM(H469)</f>
        <v>4678816.83</v>
      </c>
      <c r="I630" s="87" t="s">
        <v>108</v>
      </c>
      <c r="J630" s="80">
        <f>G630-H630</f>
        <v>0</v>
      </c>
      <c r="K630" s="67"/>
      <c r="L630" s="69"/>
      <c r="M630" s="8"/>
    </row>
    <row r="631" spans="1:13" s="3" customFormat="1" ht="12.2" customHeight="1" x14ac:dyDescent="0.15">
      <c r="A631" s="21"/>
      <c r="B631" s="22"/>
      <c r="C631" s="22"/>
      <c r="D631" s="22"/>
      <c r="E631" s="22"/>
      <c r="F631" s="86" t="s">
        <v>661</v>
      </c>
      <c r="G631" s="80">
        <f>I194</f>
        <v>5951578.8599999994</v>
      </c>
      <c r="H631" s="80">
        <f>SUM(I469)</f>
        <v>5951578.8600000003</v>
      </c>
      <c r="I631" s="87" t="s">
        <v>109</v>
      </c>
      <c r="J631" s="80">
        <f>G631-H631</f>
        <v>0</v>
      </c>
      <c r="K631" s="67"/>
      <c r="L631" s="69"/>
      <c r="M631" s="8"/>
    </row>
    <row r="632" spans="1:13" s="3" customFormat="1" ht="12.2" customHeight="1" x14ac:dyDescent="0.15">
      <c r="A632" s="21"/>
      <c r="B632" s="22"/>
      <c r="C632" s="22"/>
      <c r="D632" s="22"/>
      <c r="E632" s="22"/>
      <c r="F632" s="86" t="s">
        <v>662</v>
      </c>
      <c r="G632" s="80">
        <f>J194</f>
        <v>314.85000000000002</v>
      </c>
      <c r="H632" s="80">
        <f>SUM(J469)</f>
        <v>314.85000000000002</v>
      </c>
      <c r="I632" s="87" t="s">
        <v>110</v>
      </c>
      <c r="J632" s="80">
        <f>G632-H632</f>
        <v>0</v>
      </c>
      <c r="K632" s="67"/>
      <c r="L632" s="69"/>
      <c r="M632" s="8"/>
    </row>
    <row r="633" spans="1:13" s="3" customFormat="1" ht="12.2" customHeight="1" x14ac:dyDescent="0.15">
      <c r="A633" s="21"/>
      <c r="B633" s="22"/>
      <c r="C633" s="22"/>
      <c r="D633" s="22"/>
      <c r="E633" s="22"/>
      <c r="F633" s="86" t="s">
        <v>394</v>
      </c>
      <c r="G633" s="80">
        <f>SUM(L272)</f>
        <v>19787830.280000001</v>
      </c>
      <c r="H633" s="80">
        <f>SUM(F473)</f>
        <v>19787830.280000001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4678816.83</v>
      </c>
      <c r="H634" s="80">
        <f>SUM(H473)</f>
        <v>4678816.83</v>
      </c>
      <c r="I634" s="87" t="s">
        <v>112</v>
      </c>
      <c r="J634" s="80">
        <f>G634-H634</f>
        <v>0</v>
      </c>
      <c r="K634" s="67"/>
      <c r="L634" s="69"/>
      <c r="M634" s="8"/>
    </row>
    <row r="635" spans="1:13" s="124" customFormat="1" ht="12.2" customHeight="1" x14ac:dyDescent="0.15">
      <c r="A635" s="21"/>
      <c r="B635" s="22"/>
      <c r="C635" s="22"/>
      <c r="D635" s="22"/>
      <c r="E635" s="22"/>
      <c r="F635" s="99" t="s">
        <v>247</v>
      </c>
      <c r="G635" s="80">
        <f>I363</f>
        <v>171.16</v>
      </c>
      <c r="H635" s="80">
        <f>I370</f>
        <v>171.16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474159.19</v>
      </c>
      <c r="H636" s="80">
        <f>SUM(G473)</f>
        <v>474159.19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7032660.7699999986</v>
      </c>
      <c r="H637" s="80">
        <f>SUM(I473)</f>
        <v>7032660.7699999996</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314.85000000000002</v>
      </c>
      <c r="H638" s="108">
        <f>SUM(J469)</f>
        <v>314.85000000000002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169857.54</v>
      </c>
      <c r="H640" s="80">
        <f>SUM(F462)</f>
        <v>169857.54</v>
      </c>
      <c r="I640" s="87" t="s">
        <v>837</v>
      </c>
      <c r="J640" s="80">
        <f t="shared" si="51"/>
        <v>0</v>
      </c>
      <c r="K640" s="67"/>
      <c r="L640" s="69"/>
      <c r="M640" s="8"/>
    </row>
    <row r="641" spans="1:13" s="3" customFormat="1" ht="12.2" customHeight="1" x14ac:dyDescent="0.15">
      <c r="A641" s="21"/>
      <c r="B641" s="22"/>
      <c r="C641" s="22"/>
      <c r="D641" s="22"/>
      <c r="E641" s="22"/>
      <c r="F641" s="86" t="s">
        <v>119</v>
      </c>
      <c r="G641" s="80">
        <f>SUM(G447)</f>
        <v>161711.14000000001</v>
      </c>
      <c r="H641" s="80">
        <f>SUM(G462)</f>
        <v>161711.14000000001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331568.68000000005</v>
      </c>
      <c r="H643" s="80">
        <f>SUM(I462)</f>
        <v>331568.68000000005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314.85000000000002</v>
      </c>
      <c r="H645" s="80">
        <f>H409</f>
        <v>314.85000000000002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314.85000000000002</v>
      </c>
      <c r="H647" s="80">
        <f>L409</f>
        <v>314.85000000000002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709901.16</v>
      </c>
      <c r="H648" s="80">
        <f>L209+L227+L245</f>
        <v>709901.15999999992</v>
      </c>
      <c r="I648" s="87" t="s">
        <v>396</v>
      </c>
      <c r="J648" s="80">
        <f t="shared" si="51"/>
        <v>0</v>
      </c>
      <c r="K648" s="67"/>
      <c r="L648" s="69"/>
      <c r="M648" s="8"/>
    </row>
    <row r="649" spans="1:13" s="3" customFormat="1" ht="12.2" customHeight="1" x14ac:dyDescent="0.15">
      <c r="A649" s="21"/>
      <c r="B649" s="22"/>
      <c r="C649" s="22"/>
      <c r="D649" s="22"/>
      <c r="E649" s="22"/>
      <c r="F649" s="86" t="s">
        <v>52</v>
      </c>
      <c r="G649" s="80">
        <f>K606</f>
        <v>318008.69</v>
      </c>
      <c r="H649" s="80">
        <f>(J258+J339)-(J256+J337)</f>
        <v>318008.68999999994</v>
      </c>
      <c r="I649" s="87" t="s">
        <v>699</v>
      </c>
      <c r="J649" s="80">
        <f t="shared" si="51"/>
        <v>0</v>
      </c>
      <c r="K649" s="67"/>
      <c r="L649" s="69"/>
      <c r="M649" s="8"/>
    </row>
    <row r="650" spans="1:13" s="3" customFormat="1" ht="12.2" customHeight="1" x14ac:dyDescent="0.15">
      <c r="A650" s="21"/>
      <c r="B650" s="22"/>
      <c r="C650" s="22"/>
      <c r="D650" s="22"/>
      <c r="E650" s="22"/>
      <c r="F650" s="86" t="s">
        <v>387</v>
      </c>
      <c r="G650" s="80">
        <f>L209</f>
        <v>282310.8</v>
      </c>
      <c r="H650" s="80">
        <f>H599</f>
        <v>282310.8</v>
      </c>
      <c r="I650" s="87" t="s">
        <v>388</v>
      </c>
      <c r="J650" s="80">
        <f t="shared" si="51"/>
        <v>0</v>
      </c>
      <c r="K650" s="67"/>
      <c r="L650" s="69"/>
      <c r="M650" s="8"/>
    </row>
    <row r="651" spans="1:13" s="3" customFormat="1" ht="12.2" customHeight="1" x14ac:dyDescent="0.15">
      <c r="A651" s="21"/>
      <c r="B651" s="22"/>
      <c r="C651" s="22"/>
      <c r="D651" s="22"/>
      <c r="E651" s="22"/>
      <c r="F651" s="86" t="s">
        <v>392</v>
      </c>
      <c r="G651" s="80">
        <f>L227</f>
        <v>165434.69</v>
      </c>
      <c r="H651" s="80">
        <f>I599</f>
        <v>165434.68999999997</v>
      </c>
      <c r="I651" s="87" t="s">
        <v>389</v>
      </c>
      <c r="J651" s="80">
        <f t="shared" si="51"/>
        <v>0</v>
      </c>
      <c r="K651" s="67"/>
      <c r="L651" s="69"/>
      <c r="M651" s="8"/>
    </row>
    <row r="652" spans="1:13" s="3" customFormat="1" ht="12.2" customHeight="1" x14ac:dyDescent="0.15">
      <c r="A652" s="21"/>
      <c r="B652" s="22"/>
      <c r="C652" s="22"/>
      <c r="D652" s="22"/>
      <c r="E652" s="22"/>
      <c r="F652" s="86" t="s">
        <v>393</v>
      </c>
      <c r="G652" s="80">
        <f>L245</f>
        <v>262155.67</v>
      </c>
      <c r="H652" s="80">
        <f>J599</f>
        <v>262155.67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53635.14</v>
      </c>
      <c r="H653" s="80">
        <f>K264+K346</f>
        <v>53635.14</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8211120.3770589996</v>
      </c>
      <c r="G661" s="13">
        <f>(L230+L310+L360)</f>
        <v>5005519.6696500005</v>
      </c>
      <c r="H661" s="13">
        <f>(L248+L329+L361)</f>
        <v>8582593.9832910001</v>
      </c>
      <c r="I661" s="13">
        <f>SUM(F661:H661)</f>
        <v>21799234.030000001</v>
      </c>
      <c r="J661" s="13"/>
      <c r="K661" s="13"/>
      <c r="L661" s="13"/>
      <c r="M661" s="9"/>
    </row>
    <row r="662" spans="1:13" s="3" customFormat="1" ht="12.2" customHeight="1" x14ac:dyDescent="0.2">
      <c r="A662" s="1" t="s">
        <v>127</v>
      </c>
      <c r="F662" s="13">
        <f>(L359/IF(SUM(L359:L361)=0,1,SUM(L359:L361))*(SUM(G97:G110)))</f>
        <v>35012.224197000003</v>
      </c>
      <c r="G662" s="13">
        <f>(L360/IF(SUM(L359:L361)=0,1,SUM(L359:L361))*(SUM(G97:G110)))</f>
        <v>20260.705949999996</v>
      </c>
      <c r="H662" s="13">
        <f>(L361/IF(SUM(L359:L361)=0,1,SUM(L359:L361))*(SUM(G97:G110)))</f>
        <v>30942.839853000001</v>
      </c>
      <c r="I662" s="13">
        <f>SUM(F662:H662)</f>
        <v>86215.77</v>
      </c>
      <c r="J662"/>
      <c r="K662" s="13"/>
      <c r="L662" s="13"/>
      <c r="M662" s="8"/>
    </row>
    <row r="663" spans="1:13" s="3" customFormat="1" ht="12.2" customHeight="1" x14ac:dyDescent="0.2">
      <c r="A663" s="1" t="s">
        <v>128</v>
      </c>
      <c r="F663" s="13">
        <f>(L209+L288)-(J209+J288)</f>
        <v>290470.25</v>
      </c>
      <c r="G663" s="13">
        <f>(L227+L307)-(J227+J307)</f>
        <v>170330.36000000002</v>
      </c>
      <c r="H663" s="13">
        <f>(L245+L326)-(J245+J326)</f>
        <v>269499.17</v>
      </c>
      <c r="I663" s="13">
        <f>SUM(F663:H663)</f>
        <v>730299.78</v>
      </c>
      <c r="J663"/>
      <c r="K663" s="13"/>
      <c r="L663" s="13"/>
      <c r="M663" s="9"/>
    </row>
    <row r="664" spans="1:13" s="3" customFormat="1" ht="12.2" customHeight="1" x14ac:dyDescent="0.15">
      <c r="A664" s="141" t="s">
        <v>129</v>
      </c>
      <c r="B664" s="124"/>
      <c r="C664" s="124"/>
      <c r="D664" s="124"/>
      <c r="E664" s="124"/>
      <c r="F664" s="142">
        <f>SUM(F576:F588)+SUM(H603:H605)+SUM(L612)</f>
        <v>94418.450000000012</v>
      </c>
      <c r="G664" s="142">
        <f>SUM(G576:G588)+SUM(I603:I605)+L613</f>
        <v>363290.1</v>
      </c>
      <c r="H664" s="142">
        <f>SUM(H576:H588)+SUM(J603:J605)+L614</f>
        <v>320077.40999999997</v>
      </c>
      <c r="I664" s="13">
        <f>SUM(F664:H664)</f>
        <v>777785.96</v>
      </c>
      <c r="J664" s="13"/>
      <c r="K664" s="13"/>
      <c r="L664" s="13"/>
      <c r="M664" s="9"/>
    </row>
    <row r="665" spans="1:13" s="3" customFormat="1" ht="12.2" customHeight="1" x14ac:dyDescent="0.15">
      <c r="A665" s="1" t="s">
        <v>130</v>
      </c>
      <c r="F665" s="13">
        <f>F661-SUM(F662:F664)</f>
        <v>7791219.4528619992</v>
      </c>
      <c r="G665" s="13">
        <f>G661-SUM(G662:G664)</f>
        <v>4451638.5037000002</v>
      </c>
      <c r="H665" s="13">
        <f>H661-SUM(H662:H664)</f>
        <v>7962074.5634380002</v>
      </c>
      <c r="I665" s="13">
        <f>I661-SUM(I662:I664)</f>
        <v>20204932.52</v>
      </c>
      <c r="J665" s="13"/>
      <c r="K665" s="13"/>
      <c r="L665" s="13"/>
      <c r="M665" s="8"/>
    </row>
    <row r="666" spans="1:13" s="3" customFormat="1" ht="12.2" customHeight="1" x14ac:dyDescent="0.2">
      <c r="A666" s="1" t="s">
        <v>131</v>
      </c>
      <c r="F666" s="182">
        <v>299.20999999999998</v>
      </c>
      <c r="G666" s="183">
        <v>145.19</v>
      </c>
      <c r="H666" s="183">
        <v>284.75</v>
      </c>
      <c r="I666" s="13">
        <f>SUM(F666:H666)</f>
        <v>729.15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26039.3</v>
      </c>
      <c r="G668" s="13">
        <f>ROUND(G665/G666,2)</f>
        <v>30660.78</v>
      </c>
      <c r="H668" s="13">
        <f>ROUND(H665/H666,2)</f>
        <v>27961.63</v>
      </c>
      <c r="I668" s="13">
        <f>ROUND(I665/I666,2)</f>
        <v>27710.26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2.16</v>
      </c>
      <c r="I671" s="13">
        <f>SUM(F671:H671)</f>
        <v>2.16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26039.3</v>
      </c>
      <c r="G673" s="13">
        <f>ROUND((G665+G670)/(G666+G671),2)</f>
        <v>30660.78</v>
      </c>
      <c r="H673" s="13">
        <f>ROUND((H665+H670)/(H666+H671),2)</f>
        <v>27751.119999999999</v>
      </c>
      <c r="I673" s="13">
        <f>ROUND((I665+I670)/(I666+I671),2)</f>
        <v>27628.41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22" sqref="E2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162884.79999999999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6056.97+35770.81+61317.09</f>
        <v>103144.87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29069.119999999999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30670.81</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Newport</v>
      </c>
      <c r="C5" s="321"/>
      <c r="D5" s="321"/>
      <c r="E5" s="321"/>
      <c r="F5" s="321"/>
    </row>
    <row r="8" spans="1:9" ht="18" x14ac:dyDescent="0.25">
      <c r="A8" s="239" t="s">
        <v>1548</v>
      </c>
      <c r="F8" s="246" t="s">
        <v>1566</v>
      </c>
    </row>
    <row r="9" spans="1:9" ht="15" x14ac:dyDescent="0.2">
      <c r="A9" s="237" t="s">
        <v>1549</v>
      </c>
      <c r="B9" s="240">
        <f>'DOE25'!G97</f>
        <v>86215.77</v>
      </c>
      <c r="F9" s="237" t="s">
        <v>1562</v>
      </c>
    </row>
    <row r="10" spans="1:9" ht="15" x14ac:dyDescent="0.2">
      <c r="A10" s="237" t="s">
        <v>1550</v>
      </c>
      <c r="B10" s="240">
        <f>'DOE25'!G112-'DOE25'!G97</f>
        <v>0</v>
      </c>
      <c r="F10" s="237" t="s">
        <v>1563</v>
      </c>
    </row>
    <row r="11" spans="1:9" ht="15" x14ac:dyDescent="0.2">
      <c r="A11" s="237" t="s">
        <v>1551</v>
      </c>
      <c r="B11" s="240">
        <f>'DOE25'!G140</f>
        <v>5786.2199999999993</v>
      </c>
      <c r="F11" s="237" t="s">
        <v>1564</v>
      </c>
    </row>
    <row r="12" spans="1:9" ht="15" x14ac:dyDescent="0.2">
      <c r="A12" s="237" t="s">
        <v>1552</v>
      </c>
      <c r="B12" s="240">
        <f>'DOE25'!G170</f>
        <v>329549.14</v>
      </c>
      <c r="F12" s="237" t="s">
        <v>1565</v>
      </c>
    </row>
    <row r="13" spans="1:9" ht="15" x14ac:dyDescent="0.2">
      <c r="A13" s="237" t="s">
        <v>1553</v>
      </c>
      <c r="B13" s="240">
        <f>'DOE25'!G193-'DOE25'!G180</f>
        <v>0</v>
      </c>
      <c r="F13" s="237" t="s">
        <v>1575</v>
      </c>
    </row>
    <row r="14" spans="1:9" ht="18" x14ac:dyDescent="0.25">
      <c r="A14" s="239" t="s">
        <v>732</v>
      </c>
      <c r="B14" s="241">
        <f>SUM(B9:B13)</f>
        <v>421551.13</v>
      </c>
    </row>
    <row r="16" spans="1:9" ht="18" x14ac:dyDescent="0.25">
      <c r="A16" s="239" t="s">
        <v>783</v>
      </c>
      <c r="F16" s="246" t="s">
        <v>1567</v>
      </c>
    </row>
    <row r="17" spans="1:6" ht="15" x14ac:dyDescent="0.2">
      <c r="A17" s="237" t="s">
        <v>1554</v>
      </c>
      <c r="B17" s="240">
        <f>'DOE25'!L363-'DOE25'!L362</f>
        <v>474159.19</v>
      </c>
      <c r="F17" s="237" t="s">
        <v>1568</v>
      </c>
    </row>
    <row r="18" spans="1:6" ht="15" x14ac:dyDescent="0.2">
      <c r="A18" s="237" t="s">
        <v>1555</v>
      </c>
      <c r="B18" s="250">
        <v>1027.08</v>
      </c>
      <c r="F18" s="246" t="s">
        <v>1592</v>
      </c>
    </row>
    <row r="19" spans="1:6" ht="18" x14ac:dyDescent="0.25">
      <c r="A19" s="239" t="s">
        <v>725</v>
      </c>
      <c r="B19" s="241">
        <f>SUM(B17:B18)</f>
        <v>475186.27</v>
      </c>
    </row>
    <row r="21" spans="1:6" ht="18.75" thickBot="1" x14ac:dyDescent="0.3">
      <c r="A21" s="239" t="s">
        <v>1556</v>
      </c>
    </row>
    <row r="22" spans="1:6" ht="18.75" thickTop="1" x14ac:dyDescent="0.25">
      <c r="A22" s="239" t="s">
        <v>1557</v>
      </c>
      <c r="B22" s="245">
        <f>B14-B19</f>
        <v>-53635.140000000014</v>
      </c>
      <c r="F22" s="237" t="s">
        <v>1569</v>
      </c>
    </row>
    <row r="26" spans="1:6" ht="18" x14ac:dyDescent="0.25">
      <c r="A26" s="239" t="s">
        <v>186</v>
      </c>
    </row>
    <row r="27" spans="1:6" ht="15" x14ac:dyDescent="0.2">
      <c r="A27" s="237" t="s">
        <v>1558</v>
      </c>
      <c r="B27" s="240">
        <f>'DOE25'!G180</f>
        <v>53635.14</v>
      </c>
      <c r="F27" s="237" t="s">
        <v>1570</v>
      </c>
    </row>
    <row r="28" spans="1:6" ht="15" x14ac:dyDescent="0.2">
      <c r="A28" s="237" t="s">
        <v>1560</v>
      </c>
      <c r="B28" s="240">
        <f>'DOE25'!L362</f>
        <v>0</v>
      </c>
      <c r="F28" s="237" t="s">
        <v>1571</v>
      </c>
    </row>
    <row r="31" spans="1:6" ht="15" x14ac:dyDescent="0.2">
      <c r="A31" s="237" t="s">
        <v>1789</v>
      </c>
      <c r="B31" s="240">
        <f>'DOE25'!G466</f>
        <v>17228.2</v>
      </c>
      <c r="F31" s="237" t="s">
        <v>1572</v>
      </c>
    </row>
    <row r="33" spans="1:6" ht="15" x14ac:dyDescent="0.2">
      <c r="A33" s="237" t="s">
        <v>1790</v>
      </c>
      <c r="B33" s="240">
        <f>'DOE25'!G477</f>
        <v>18255.280000000028</v>
      </c>
      <c r="F33" s="237" t="s">
        <v>1573</v>
      </c>
    </row>
    <row r="36" spans="1:6" ht="15" x14ac:dyDescent="0.2">
      <c r="A36" s="237" t="s">
        <v>1559</v>
      </c>
      <c r="B36" s="251">
        <v>35944.26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3"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Newport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3498663.21</v>
      </c>
      <c r="C9" s="166">
        <f>'DOE25'!G198+'DOE25'!G216+'DOE25'!G234+'DOE25'!G277+'DOE25'!G296+'DOE25'!G315</f>
        <v>1848011.02</v>
      </c>
    </row>
    <row r="10" spans="1:3" x14ac:dyDescent="0.2">
      <c r="A10" t="s">
        <v>772</v>
      </c>
      <c r="B10" s="176">
        <v>2961212.45</v>
      </c>
      <c r="C10" s="176">
        <v>1564126.9</v>
      </c>
    </row>
    <row r="11" spans="1:3" x14ac:dyDescent="0.2">
      <c r="A11" t="s">
        <v>773</v>
      </c>
      <c r="B11" s="176">
        <v>42224.02</v>
      </c>
      <c r="C11" s="176">
        <v>22302.93</v>
      </c>
    </row>
    <row r="12" spans="1:3" x14ac:dyDescent="0.2">
      <c r="A12" t="s">
        <v>774</v>
      </c>
      <c r="B12" s="176">
        <v>495226.74</v>
      </c>
      <c r="C12" s="176">
        <v>261581.19</v>
      </c>
    </row>
    <row r="13" spans="1:3" x14ac:dyDescent="0.2">
      <c r="A13" t="str">
        <f>IF(B9=B13,IF(C9=C13,"Check Total OK","Check Total Error"),"Check Total Error")</f>
        <v>Check Total OK</v>
      </c>
      <c r="B13" s="168">
        <f>SUM(B10:B12)</f>
        <v>3498663.21</v>
      </c>
      <c r="C13" s="168">
        <f>SUM(C10:C12)</f>
        <v>1848011.0199999998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1837797.0899999999</v>
      </c>
      <c r="C18" s="166">
        <f>'DOE25'!G199+'DOE25'!G217+'DOE25'!G235+'DOE25'!G278+'DOE25'!G297+'DOE25'!G316</f>
        <v>882347.58</v>
      </c>
    </row>
    <row r="19" spans="1:3" x14ac:dyDescent="0.2">
      <c r="A19" t="s">
        <v>772</v>
      </c>
      <c r="B19" s="176">
        <v>401872.25</v>
      </c>
      <c r="C19" s="176">
        <v>192943.5</v>
      </c>
    </row>
    <row r="20" spans="1:3" x14ac:dyDescent="0.2">
      <c r="A20" t="s">
        <v>773</v>
      </c>
      <c r="B20" s="176">
        <v>1137736.6599999999</v>
      </c>
      <c r="C20" s="176">
        <v>546240.49</v>
      </c>
    </row>
    <row r="21" spans="1:3" x14ac:dyDescent="0.2">
      <c r="A21" t="s">
        <v>774</v>
      </c>
      <c r="B21" s="176">
        <v>298188.18</v>
      </c>
      <c r="C21" s="176">
        <v>143163.59</v>
      </c>
    </row>
    <row r="22" spans="1:3" x14ac:dyDescent="0.2">
      <c r="A22" t="str">
        <f>IF(B18=B22,IF(C18=C22,"Check Total OK","Check Total Error"),"Check Total Error")</f>
        <v>Check Total OK</v>
      </c>
      <c r="B22" s="168">
        <f>SUM(B19:B21)</f>
        <v>1837797.0899999999</v>
      </c>
      <c r="C22" s="168">
        <f>SUM(C19:C21)</f>
        <v>882347.58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547799.39</v>
      </c>
      <c r="C27" s="171">
        <f>'DOE25'!G200+'DOE25'!G218+'DOE25'!G236+'DOE25'!G279+'DOE25'!G298+'DOE25'!G317</f>
        <v>328366.63000000006</v>
      </c>
    </row>
    <row r="28" spans="1:3" x14ac:dyDescent="0.2">
      <c r="A28" t="s">
        <v>772</v>
      </c>
      <c r="B28" s="176">
        <v>485304.58</v>
      </c>
      <c r="C28" s="176">
        <v>290905.45</v>
      </c>
    </row>
    <row r="29" spans="1:3" x14ac:dyDescent="0.2">
      <c r="A29" t="s">
        <v>773</v>
      </c>
      <c r="B29" s="176"/>
      <c r="C29" s="176"/>
    </row>
    <row r="30" spans="1:3" x14ac:dyDescent="0.2">
      <c r="A30" t="s">
        <v>774</v>
      </c>
      <c r="B30" s="176">
        <f>547799.39-485304.58</f>
        <v>62494.81</v>
      </c>
      <c r="C30" s="176">
        <v>37461.18</v>
      </c>
    </row>
    <row r="31" spans="1:3" x14ac:dyDescent="0.2">
      <c r="A31" t="str">
        <f>IF(B27=B31,IF(C27=C31,"Check Total OK","Check Total Error"),"Check Total Error")</f>
        <v>Check Total OK</v>
      </c>
      <c r="B31" s="168">
        <f>SUM(B28:B30)</f>
        <v>547799.39</v>
      </c>
      <c r="C31" s="168">
        <f>SUM(C28:C30)</f>
        <v>328366.63</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274496.84999999998</v>
      </c>
      <c r="C36" s="172">
        <f>'DOE25'!G201+'DOE25'!G219+'DOE25'!G237+'DOE25'!G280+'DOE25'!G299+'DOE25'!G318</f>
        <v>82899.3</v>
      </c>
    </row>
    <row r="37" spans="1:3" x14ac:dyDescent="0.2">
      <c r="A37" t="s">
        <v>772</v>
      </c>
      <c r="B37" s="176">
        <v>142098.32</v>
      </c>
      <c r="C37" s="176">
        <v>42914.34</v>
      </c>
    </row>
    <row r="38" spans="1:3" x14ac:dyDescent="0.2">
      <c r="A38" t="s">
        <v>773</v>
      </c>
      <c r="B38" s="176"/>
      <c r="C38" s="176"/>
    </row>
    <row r="39" spans="1:3" x14ac:dyDescent="0.2">
      <c r="A39" t="s">
        <v>774</v>
      </c>
      <c r="B39" s="176">
        <v>132398.53</v>
      </c>
      <c r="C39" s="176">
        <v>39984.959999999999</v>
      </c>
    </row>
    <row r="40" spans="1:3" x14ac:dyDescent="0.2">
      <c r="A40" t="str">
        <f>IF(B36=B40,IF(C36=C40,"Check Total OK","Check Total Error"),"Check Total Error")</f>
        <v>Check Total OK</v>
      </c>
      <c r="B40" s="168">
        <f>SUM(B37:B39)</f>
        <v>274496.84999999998</v>
      </c>
      <c r="C40" s="168">
        <f>SUM(C37:C39)</f>
        <v>82899.299999999988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Newport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9819048.629999999</v>
      </c>
      <c r="D5" s="19">
        <f>SUM('DOE25'!L198:L201)+SUM('DOE25'!L216:L219)+SUM('DOE25'!L234:L237)-F5-G5-H5</f>
        <v>9769838.1399999987</v>
      </c>
      <c r="E5" s="179"/>
      <c r="F5" s="180"/>
      <c r="G5" s="19">
        <f>SUM('DOE25'!J198:J201)+SUM('DOE25'!J216:J219)+SUM('DOE25'!J234:J237)</f>
        <v>26769.350000000002</v>
      </c>
      <c r="H5" s="19">
        <f>SUM('DOE25'!K198:K201)+SUM('DOE25'!K216:K219)+SUM('DOE25'!K234:K237)</f>
        <v>22441.14</v>
      </c>
      <c r="I5" s="191"/>
    </row>
    <row r="6" spans="1:9" x14ac:dyDescent="0.2">
      <c r="A6" s="31">
        <v>2100</v>
      </c>
      <c r="B6" t="s">
        <v>793</v>
      </c>
      <c r="C6" s="205">
        <f t="shared" si="0"/>
        <v>1815991.7399999998</v>
      </c>
      <c r="D6" s="19">
        <f>'DOE25'!L203+'DOE25'!L221+'DOE25'!L239-F6-G6-H6</f>
        <v>1740677.0099999998</v>
      </c>
      <c r="E6" s="179"/>
      <c r="F6" s="180">
        <v>75128.850000000006</v>
      </c>
      <c r="G6" s="19">
        <f>'DOE25'!J203+'DOE25'!J221+'DOE25'!J239</f>
        <v>135.88</v>
      </c>
      <c r="H6" s="19">
        <f>'DOE25'!K203+'DOE25'!K221+'DOE25'!K239</f>
        <v>50</v>
      </c>
      <c r="I6" s="191"/>
    </row>
    <row r="7" spans="1:9" x14ac:dyDescent="0.2">
      <c r="A7" s="31">
        <v>2200</v>
      </c>
      <c r="B7" t="s">
        <v>817</v>
      </c>
      <c r="C7" s="205">
        <f t="shared" si="0"/>
        <v>1035998.8499999999</v>
      </c>
      <c r="D7" s="19">
        <f>'DOE25'!L204+'DOE25'!L222+'DOE25'!L240-F7-G7-H7</f>
        <v>807514.19</v>
      </c>
      <c r="E7" s="179"/>
      <c r="F7" s="180">
        <v>93586.58</v>
      </c>
      <c r="G7" s="19">
        <f>'DOE25'!J204+'DOE25'!J222+'DOE25'!J240</f>
        <v>132838.08000000002</v>
      </c>
      <c r="H7" s="19">
        <f>'DOE25'!K204+'DOE25'!K222+'DOE25'!K240</f>
        <v>2060</v>
      </c>
      <c r="I7" s="191"/>
    </row>
    <row r="8" spans="1:9" x14ac:dyDescent="0.2">
      <c r="A8" s="31">
        <v>2300</v>
      </c>
      <c r="B8" t="s">
        <v>794</v>
      </c>
      <c r="C8" s="205">
        <f t="shared" si="0"/>
        <v>681516.49</v>
      </c>
      <c r="D8" s="179"/>
      <c r="E8" s="19">
        <f>'DOE25'!L205+'DOE25'!L223+'DOE25'!L241-F8-G8-H8-D9-D11</f>
        <v>673051.96</v>
      </c>
      <c r="F8" s="180"/>
      <c r="G8" s="19">
        <f>'DOE25'!J205+'DOE25'!J223+'DOE25'!J241</f>
        <v>0</v>
      </c>
      <c r="H8" s="19">
        <f>'DOE25'!K205+'DOE25'!K223+'DOE25'!K241</f>
        <v>8464.5299999999988</v>
      </c>
      <c r="I8" s="191"/>
    </row>
    <row r="9" spans="1:9" ht="14.25" x14ac:dyDescent="0.2">
      <c r="A9" s="31">
        <v>2310</v>
      </c>
      <c r="B9" s="71" t="s">
        <v>884</v>
      </c>
      <c r="C9" s="205">
        <f t="shared" si="0"/>
        <v>130470.93</v>
      </c>
      <c r="D9" s="180">
        <v>130470.93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1513406.1800000002</v>
      </c>
      <c r="D12" s="19">
        <f>'DOE25'!L206+'DOE25'!L224+'DOE25'!L242-F12-G12-H12</f>
        <v>1505111.57</v>
      </c>
      <c r="E12" s="179"/>
      <c r="F12" s="180"/>
      <c r="G12" s="19">
        <f>'DOE25'!J206+'DOE25'!J224+'DOE25'!J242</f>
        <v>1994.61</v>
      </c>
      <c r="H12" s="19">
        <f>'DOE25'!K206+'DOE25'!K224+'DOE25'!K242</f>
        <v>6300</v>
      </c>
      <c r="I12" s="191"/>
    </row>
    <row r="13" spans="1:9" x14ac:dyDescent="0.2">
      <c r="A13" s="31">
        <v>2500</v>
      </c>
      <c r="B13" t="s">
        <v>795</v>
      </c>
      <c r="C13" s="205">
        <f t="shared" si="0"/>
        <v>493377.25</v>
      </c>
      <c r="D13" s="179"/>
      <c r="E13" s="19">
        <f>'DOE25'!L207+'DOE25'!L225+'DOE25'!L243-F13-G13-H13</f>
        <v>410710.11</v>
      </c>
      <c r="F13" s="180">
        <v>82188.14</v>
      </c>
      <c r="G13" s="19">
        <f>'DOE25'!J207+'DOE25'!J225+'DOE25'!J243</f>
        <v>0</v>
      </c>
      <c r="H13" s="19">
        <f>'DOE25'!K207+'DOE25'!K225+'DOE25'!K243</f>
        <v>479</v>
      </c>
      <c r="I13" s="191"/>
    </row>
    <row r="14" spans="1:9" x14ac:dyDescent="0.2">
      <c r="A14" s="31">
        <v>2600</v>
      </c>
      <c r="B14" t="s">
        <v>815</v>
      </c>
      <c r="C14" s="205">
        <f t="shared" si="0"/>
        <v>2550664.39</v>
      </c>
      <c r="D14" s="19">
        <f>'DOE25'!L208+'DOE25'!L226+'DOE25'!L244-F14-G14-H14</f>
        <v>1775734.5399999998</v>
      </c>
      <c r="E14" s="179"/>
      <c r="F14" s="180">
        <v>707109.71</v>
      </c>
      <c r="G14" s="19">
        <f>'DOE25'!J208+'DOE25'!J226+'DOE25'!J244</f>
        <v>66880.14</v>
      </c>
      <c r="H14" s="19">
        <f>'DOE25'!K208+'DOE25'!K226+'DOE25'!K244</f>
        <v>940</v>
      </c>
      <c r="I14" s="191"/>
    </row>
    <row r="15" spans="1:9" x14ac:dyDescent="0.2">
      <c r="A15" s="31">
        <v>2700</v>
      </c>
      <c r="B15" t="s">
        <v>796</v>
      </c>
      <c r="C15" s="205">
        <f t="shared" si="0"/>
        <v>709901.15999999992</v>
      </c>
      <c r="D15" s="19">
        <f>'DOE25'!L209+'DOE25'!L227+'DOE25'!L245-F15-G15-H15</f>
        <v>707746.71</v>
      </c>
      <c r="E15" s="179"/>
      <c r="F15" s="180"/>
      <c r="G15" s="19">
        <f>'DOE25'!J209+'DOE25'!J227+'DOE25'!J245</f>
        <v>0</v>
      </c>
      <c r="H15" s="19">
        <f>'DOE25'!K209+'DOE25'!K227+'DOE25'!K245</f>
        <v>2154.4499999999998</v>
      </c>
      <c r="I15" s="191"/>
    </row>
    <row r="16" spans="1:9" x14ac:dyDescent="0.2">
      <c r="A16" s="31">
        <v>2800</v>
      </c>
      <c r="B16" t="s">
        <v>797</v>
      </c>
      <c r="C16" s="205">
        <f t="shared" si="0"/>
        <v>144430.81</v>
      </c>
      <c r="D16" s="179"/>
      <c r="E16" s="19">
        <f>'DOE25'!L210+'DOE25'!L228+'DOE25'!L246-F16-G16-H16</f>
        <v>144430.81</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2358624.38</v>
      </c>
      <c r="D22" s="179"/>
      <c r="E22" s="179"/>
      <c r="F22" s="179"/>
      <c r="G22" s="19">
        <f>'DOE25'!L256+'DOE25'!L337</f>
        <v>2358624.38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724507.75</v>
      </c>
      <c r="D25" s="179"/>
      <c r="E25" s="179"/>
      <c r="F25" s="190"/>
      <c r="G25" s="179"/>
      <c r="H25" s="179"/>
      <c r="I25" s="189">
        <f>'DOE25'!L261+'DOE25'!L262+'DOE25'!L342+'DOE25'!L343</f>
        <v>724507.75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319543.98</v>
      </c>
      <c r="D29" s="211">
        <f>'DOE25'!L359+'DOE25'!L360+'DOE25'!L361-'DOE25'!I368-F29-G29-H29-F39</f>
        <v>319543.98</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2430268.4100000006</v>
      </c>
      <c r="D31" s="19">
        <f>'DOE25'!L291+'DOE25'!L310+'DOE25'!L329+'DOE25'!L334+'DOE25'!L335+'DOE25'!L336-F31-G31-H31</f>
        <v>1875778.2000000004</v>
      </c>
      <c r="E31" s="179"/>
      <c r="F31" s="180">
        <v>463250.42</v>
      </c>
      <c r="G31" s="19">
        <f>'DOE25'!J291+'DOE25'!J310+'DOE25'!J329+'DOE25'!J334+'DOE25'!J335+'DOE25'!J336</f>
        <v>89390.63</v>
      </c>
      <c r="H31" s="19">
        <f>'DOE25'!K291+'DOE25'!K310+'DOE25'!K329+'DOE25'!K334+'DOE25'!K335+'DOE25'!K336</f>
        <v>1849.16</v>
      </c>
      <c r="I31" s="191"/>
    </row>
    <row r="32" spans="1:9" ht="12" thickBot="1" x14ac:dyDescent="0.25">
      <c r="C32" s="206"/>
      <c r="G32" s="187"/>
      <c r="H32" s="187"/>
      <c r="I32" s="193"/>
    </row>
    <row r="33" spans="1:9" ht="12" thickTop="1" x14ac:dyDescent="0.2">
      <c r="B33" t="s">
        <v>806</v>
      </c>
      <c r="D33" s="181">
        <f t="shared" ref="D33:I33" si="1">SUM(D5:D31)</f>
        <v>18632415.269999996</v>
      </c>
      <c r="E33" s="181">
        <f t="shared" si="1"/>
        <v>1228192.8799999999</v>
      </c>
      <c r="F33" s="181">
        <f t="shared" si="1"/>
        <v>1421263.7</v>
      </c>
      <c r="G33" s="181">
        <f t="shared" si="1"/>
        <v>2676633.0699999998</v>
      </c>
      <c r="H33" s="181">
        <f t="shared" si="1"/>
        <v>44738.28</v>
      </c>
      <c r="I33" s="181">
        <f t="shared" si="1"/>
        <v>724507.75</v>
      </c>
    </row>
    <row r="34" spans="1:9" ht="12" thickBot="1" x14ac:dyDescent="0.25"/>
    <row r="35" spans="1:9" ht="12" thickBot="1" x14ac:dyDescent="0.25">
      <c r="B35" s="187" t="s">
        <v>827</v>
      </c>
      <c r="D35" s="188">
        <f>E33</f>
        <v>1228192.8799999999</v>
      </c>
      <c r="E35" s="184"/>
      <c r="F35" s="294" t="s">
        <v>1596</v>
      </c>
      <c r="G35" s="295"/>
      <c r="H35" s="295"/>
      <c r="I35" s="296"/>
    </row>
    <row r="36" spans="1:9" ht="12" thickTop="1" x14ac:dyDescent="0.2">
      <c r="B36" t="s">
        <v>807</v>
      </c>
      <c r="D36" s="19">
        <f>D33</f>
        <v>18632415.269999996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154615.21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0" zoomScaleNormal="90" workbookViewId="0">
      <selection activeCell="A20" sqref="A2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Newport</v>
      </c>
      <c r="B2">
        <f>'DOE25'!B2</f>
        <v>401</v>
      </c>
      <c r="J2" s="223" t="s">
        <v>1799</v>
      </c>
      <c r="K2" s="308">
        <f>SUM('DOE25'!L198:L201)+SUM('DOE25'!L277:L280)</f>
        <v>3913949.2099999995</v>
      </c>
      <c r="L2" s="308">
        <f>'DOE25'!L203+'DOE25'!L282</f>
        <v>1420776.27</v>
      </c>
      <c r="M2" s="308">
        <f>'DOE25'!L204+'DOE25'!L283</f>
        <v>517063.75999999995</v>
      </c>
      <c r="N2" s="308">
        <f>'DOE25'!L206+'DOE25'!L285</f>
        <v>458185.24</v>
      </c>
      <c r="O2" s="316">
        <f>'Salaries-Benefits'!B10+'Salaries-Benefits'!B12+'Salaries-Benefits'!B19+'Salaries-Benefits'!B21+'Salaries-Benefits'!B28+'Salaries-Benefits'!B30+'Salaries-Benefits'!B37+'Salaries-Benefits'!B39</f>
        <v>4978795.8600000003</v>
      </c>
      <c r="P2" s="316">
        <f>'Salaries-Benefits'!B11+'Salaries-Benefits'!B20+'Salaries-Benefits'!B29+'Salaries-Benefits'!B38</f>
        <v>1179960.68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8018564.330000001</v>
      </c>
      <c r="G4" s="228">
        <f>'DOE25'!L212+'DOE25'!L291</f>
        <v>8018564.3299999991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5178</v>
      </c>
      <c r="E5" s="219">
        <v>8159.45</v>
      </c>
      <c r="F5" s="231">
        <f>D5+E5</f>
        <v>13337.45</v>
      </c>
      <c r="G5" s="222"/>
      <c r="H5" s="222"/>
      <c r="J5" s="71" t="s">
        <v>1840</v>
      </c>
      <c r="K5" s="20">
        <v>5178</v>
      </c>
      <c r="L5" s="20"/>
      <c r="M5" s="20"/>
      <c r="N5" s="20"/>
      <c r="O5" s="20"/>
      <c r="P5" s="20"/>
      <c r="Q5" s="20"/>
    </row>
    <row r="6" spans="1:22" x14ac:dyDescent="0.2">
      <c r="A6" t="str" cm="1">
        <f t="array" ref="A6">IFERROR(INDEX('School Tables'!$A$4:$G$365,'School Tables'!$J4,3),"")</f>
        <v>Richards Elementary School</v>
      </c>
      <c r="B6" s="229">
        <f>IFERROR(VLOOKUP(A6,'School Tables'!$C$3:$D$365,2,FALSE),"")</f>
        <v>21995</v>
      </c>
      <c r="C6" s="222" t="str">
        <f>IFERROR(INDEX('School Tables'!$B$3:$B$365,MATCH('School Level Expenditures'!B6,'School Tables'!$D$3:$D$365,0)),"")</f>
        <v>Newport</v>
      </c>
      <c r="D6" s="219">
        <f>6922779.69-5178</f>
        <v>6917601.6900000004</v>
      </c>
      <c r="E6" s="219">
        <f>1095784.64-8159.45</f>
        <v>1087625.19</v>
      </c>
      <c r="F6" s="231">
        <f t="shared" ref="F6:F20" si="2">D6+E6</f>
        <v>8005226.8800000008</v>
      </c>
      <c r="G6" s="222"/>
      <c r="H6" s="222"/>
      <c r="J6" t="str">
        <f t="shared" ref="J6:J20" si="3">A6</f>
        <v>Richards Elementary School</v>
      </c>
      <c r="K6" s="20">
        <f>637007.46+3276941.75-5178</f>
        <v>3908771.21</v>
      </c>
      <c r="L6" s="20">
        <v>1420776.27</v>
      </c>
      <c r="M6" s="307">
        <v>517063.76</v>
      </c>
      <c r="N6" s="20">
        <v>458185.24</v>
      </c>
      <c r="O6" s="20">
        <f>2448743.85-589889.2</f>
        <v>1858854.6500000001</v>
      </c>
      <c r="P6" s="20">
        <v>589889.19999999995</v>
      </c>
      <c r="Q6" s="20">
        <v>1063.55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6922779.6900000004</v>
      </c>
      <c r="E21" s="261">
        <f>SUM(E5:E20)</f>
        <v>1095784.6399999999</v>
      </c>
      <c r="F21" s="216"/>
      <c r="G21" s="216"/>
      <c r="H21" s="216"/>
      <c r="K21" s="262">
        <f t="shared" ref="K21:Q21" si="4">SUM(K5:K20)</f>
        <v>3913949.21</v>
      </c>
      <c r="L21" s="262">
        <f t="shared" si="4"/>
        <v>1420776.27</v>
      </c>
      <c r="M21" s="262">
        <f t="shared" si="4"/>
        <v>517063.76</v>
      </c>
      <c r="N21" s="262">
        <f t="shared" si="4"/>
        <v>458185.24</v>
      </c>
      <c r="O21" s="262">
        <f t="shared" si="4"/>
        <v>1858854.6500000001</v>
      </c>
      <c r="P21" s="262">
        <f t="shared" si="4"/>
        <v>589889.19999999995</v>
      </c>
      <c r="Q21" s="262">
        <f t="shared" si="4"/>
        <v>1063.55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2600205.83</v>
      </c>
      <c r="L23" s="19">
        <f>'DOE25'!L221+'DOE25'!L301</f>
        <v>622129.36</v>
      </c>
      <c r="M23" s="19">
        <f>'DOE25'!L222+'DOE25'!L302</f>
        <v>278099.21000000002</v>
      </c>
      <c r="N23" s="19">
        <f>'DOE25'!L224+'DOE25'!L304</f>
        <v>295502.55</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4894092.2600000007</v>
      </c>
      <c r="G25" s="228">
        <f>'DOE25'!L230+'DOE25'!L310</f>
        <v>4894092.2600000007</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305180.11</v>
      </c>
      <c r="E26" s="219"/>
      <c r="F26" s="231">
        <f>D26+E26</f>
        <v>305180.11</v>
      </c>
      <c r="G26" s="222"/>
      <c r="H26" s="222"/>
      <c r="J26" s="71" t="s">
        <v>1840</v>
      </c>
      <c r="K26" s="315">
        <v>305180.11</v>
      </c>
      <c r="L26" s="315"/>
      <c r="M26" s="315"/>
      <c r="N26" s="315"/>
      <c r="O26" s="315"/>
      <c r="P26" s="315"/>
      <c r="Q26" s="315"/>
    </row>
    <row r="27" spans="1:17" x14ac:dyDescent="0.2">
      <c r="A27" t="str" cm="1">
        <f t="array" ref="A27">IFERROR(INDEX('School Tables'!$L$4:$R$100,'School Tables'!$U4,3),"")</f>
        <v>Newport Middle School</v>
      </c>
      <c r="B27" s="229">
        <f>IFERROR(VLOOKUP(A27,'School Tables'!$N$4:$O$100,2,FALSE),"")</f>
        <v>26970</v>
      </c>
      <c r="C27" s="222" t="str">
        <f>IFERROR(INDEX('School Tables'!$M$4:$M$100,MATCH('School Level Expenditures'!A27,'School Tables'!$N$4:$N$100,0)),"")</f>
        <v>Newport</v>
      </c>
      <c r="D27" s="219">
        <f>4521425.92-632314.84</f>
        <v>3889111.08</v>
      </c>
      <c r="E27" s="219">
        <v>632314.84</v>
      </c>
      <c r="F27" s="231">
        <f t="shared" ref="F27:F33" si="6">D27+E27</f>
        <v>4521425.92</v>
      </c>
      <c r="G27" s="222"/>
      <c r="H27" s="222"/>
      <c r="J27" t="str">
        <f t="shared" ref="J27:J33" si="7">A27</f>
        <v>Newport Middle School</v>
      </c>
      <c r="K27" s="20">
        <v>2227539.4900000002</v>
      </c>
      <c r="L27" s="20">
        <v>622129.36</v>
      </c>
      <c r="M27" s="307">
        <v>278099.21000000002</v>
      </c>
      <c r="N27" s="20">
        <v>295502.55</v>
      </c>
      <c r="O27" s="20">
        <f>1313835.39-231979.28-67486.23</f>
        <v>1014369.8799999999</v>
      </c>
      <c r="P27" s="20">
        <f>188937.84+43041.44</f>
        <v>231979.28</v>
      </c>
      <c r="Q27" s="20">
        <v>6776.86</v>
      </c>
    </row>
    <row r="28" spans="1:17" x14ac:dyDescent="0.2">
      <c r="A28" t="str" cm="1">
        <f t="array" ref="A28">IFERROR(INDEX('School Tables'!$L$4:$R$100,'School Tables'!$U5,3),"")</f>
        <v>Newport SOAR Middle School</v>
      </c>
      <c r="B28" s="229">
        <f>IFERROR(VLOOKUP(A28,'School Tables'!$N$4:$O$100,2,FALSE),"")</f>
        <v>29257</v>
      </c>
      <c r="C28" s="222" t="str">
        <f>IFERROR(INDEX('School Tables'!$M$4:$M$100,MATCH('School Level Expenditures'!A28,'School Tables'!$N$4:$N$100,0)),"")</f>
        <v>Newport</v>
      </c>
      <c r="D28" s="219">
        <v>67486.23</v>
      </c>
      <c r="E28" s="219"/>
      <c r="F28" s="231">
        <f t="shared" si="6"/>
        <v>67486.23</v>
      </c>
      <c r="G28" s="222"/>
      <c r="H28" s="222"/>
      <c r="J28" t="str">
        <f t="shared" si="7"/>
        <v>Newport SOAR Middle School</v>
      </c>
      <c r="K28" s="20">
        <v>67486.23</v>
      </c>
      <c r="L28" s="20"/>
      <c r="M28" s="20"/>
      <c r="N28" s="20"/>
      <c r="O28" s="20">
        <v>67486.23</v>
      </c>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4261777.42</v>
      </c>
      <c r="E34" s="261">
        <f>SUM(E26:E33)</f>
        <v>632314.84</v>
      </c>
      <c r="F34" s="216"/>
      <c r="G34" s="216"/>
      <c r="H34" s="216"/>
      <c r="K34" s="262">
        <f t="shared" ref="K34:Q34" si="8">SUM(K26:K33)</f>
        <v>2600205.83</v>
      </c>
      <c r="L34" s="262">
        <f t="shared" si="8"/>
        <v>622129.36</v>
      </c>
      <c r="M34" s="262">
        <f t="shared" si="8"/>
        <v>278099.21000000002</v>
      </c>
      <c r="N34" s="262">
        <f t="shared" si="8"/>
        <v>295502.55</v>
      </c>
      <c r="O34" s="262">
        <f t="shared" si="8"/>
        <v>1081856.1099999999</v>
      </c>
      <c r="P34" s="262">
        <f t="shared" si="8"/>
        <v>231979.28</v>
      </c>
      <c r="Q34" s="262">
        <f t="shared" si="8"/>
        <v>6776.86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4530765.93</v>
      </c>
      <c r="L36" s="19">
        <f>'DOE25'!L239+'DOE25'!L320</f>
        <v>782344.47</v>
      </c>
      <c r="M36" s="19">
        <f>'DOE25'!L240+'DOE25'!L321</f>
        <v>410264.97000000003</v>
      </c>
      <c r="N36" s="19">
        <f>'DOE25'!L242+'DOE25'!L323</f>
        <v>759718.39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8412418.25</v>
      </c>
      <c r="G38" s="228">
        <f>'DOE25'!L248+'DOE25'!L329</f>
        <v>8412418.25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147186.39000000001</v>
      </c>
      <c r="E39" s="219"/>
      <c r="F39" s="231">
        <f t="shared" ref="F39:F44" si="10">D39+E39</f>
        <v>147186.39000000001</v>
      </c>
      <c r="G39" s="222"/>
      <c r="H39" s="222"/>
      <c r="J39" s="71" t="s">
        <v>1840</v>
      </c>
      <c r="K39" s="315">
        <v>147186.39000000001</v>
      </c>
      <c r="L39" s="315"/>
      <c r="M39" s="315"/>
      <c r="N39" s="315"/>
      <c r="O39" s="315"/>
      <c r="P39" s="315"/>
      <c r="Q39" s="315"/>
    </row>
    <row r="40" spans="1:17" x14ac:dyDescent="0.2">
      <c r="A40" t="str" cm="1">
        <f t="array" ref="A40">IFERROR(INDEX('School Tables'!$W$4:$AC$120,'School Tables'!$AF4,3),"")</f>
        <v>Newport Middle High School (High)</v>
      </c>
      <c r="B40" s="229">
        <f>IFERROR(VLOOKUP(A40,'School Tables'!$Y$4:$Z$120,2,FALSE),"")</f>
        <v>21985</v>
      </c>
      <c r="C40" s="222" t="str">
        <f>IFERROR(INDEX('School Tables'!$X$4:$X$120,MATCH('School Level Expenditures'!A40,'School Tables'!$Y$4:$Y$120,0)),"")</f>
        <v>Newport</v>
      </c>
      <c r="D40" s="219">
        <f>-702168.93+8197745.63</f>
        <v>7495576.7000000002</v>
      </c>
      <c r="E40" s="219">
        <v>702168.93</v>
      </c>
      <c r="F40" s="231">
        <f t="shared" si="10"/>
        <v>8197745.6299999999</v>
      </c>
      <c r="G40" s="222"/>
      <c r="H40" s="222"/>
      <c r="J40" t="str">
        <f>A40</f>
        <v>Newport Middle High School (High)</v>
      </c>
      <c r="K40" s="20">
        <v>4316093.3099999996</v>
      </c>
      <c r="L40" s="20">
        <v>782344.47</v>
      </c>
      <c r="M40" s="307">
        <v>410264.97</v>
      </c>
      <c r="N40" s="20">
        <v>759718.39</v>
      </c>
      <c r="O40" s="20">
        <f>2396177.3-358092.2-67486.23</f>
        <v>1970598.8699999999</v>
      </c>
      <c r="P40" s="20">
        <f>401133.64-43041.44</f>
        <v>358092.2</v>
      </c>
      <c r="Q40" s="20">
        <v>44989.32</v>
      </c>
    </row>
    <row r="41" spans="1:17" x14ac:dyDescent="0.2">
      <c r="A41" t="str" cm="1">
        <f t="array" ref="A41">IFERROR(INDEX('School Tables'!$W$4:$AC$120,'School Tables'!$AF5,3),"")</f>
        <v>Newport SOAR High School</v>
      </c>
      <c r="B41" s="229">
        <f>IFERROR(VLOOKUP(A41,'School Tables'!$Y$4:$Z$120,2,FALSE),"")</f>
        <v>29258</v>
      </c>
      <c r="C41" s="222" t="str">
        <f>IFERROR(INDEX('School Tables'!$X$4:$X$120,MATCH('School Level Expenditures'!A41,'School Tables'!$Y$4:$Y$120,0)),"")</f>
        <v>Newport</v>
      </c>
      <c r="D41" s="219">
        <v>67486.23</v>
      </c>
      <c r="E41" s="219"/>
      <c r="F41" s="231">
        <f t="shared" si="10"/>
        <v>67486.23</v>
      </c>
      <c r="G41" s="222"/>
      <c r="H41" s="222"/>
      <c r="J41" t="str">
        <f>A41</f>
        <v>Newport SOAR High School</v>
      </c>
      <c r="K41" s="20">
        <v>67486.23</v>
      </c>
      <c r="L41" s="20"/>
      <c r="M41" s="20"/>
      <c r="N41" s="20"/>
      <c r="O41" s="20">
        <v>67486.23</v>
      </c>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7710249.3200000003</v>
      </c>
      <c r="E45" s="262">
        <f>SUM(E39:E44)</f>
        <v>702168.93</v>
      </c>
      <c r="K45" s="262">
        <f t="shared" ref="K45:Q45" si="11">SUM(K39:K44)</f>
        <v>4530765.93</v>
      </c>
      <c r="L45" s="262">
        <f t="shared" si="11"/>
        <v>782344.47</v>
      </c>
      <c r="M45" s="262">
        <f t="shared" si="11"/>
        <v>410264.97</v>
      </c>
      <c r="N45" s="262">
        <f t="shared" si="11"/>
        <v>759718.39</v>
      </c>
      <c r="O45" s="262">
        <f t="shared" si="11"/>
        <v>2038085.0999999999</v>
      </c>
      <c r="P45" s="262">
        <f t="shared" si="11"/>
        <v>358092.2</v>
      </c>
      <c r="Q45" s="262">
        <f t="shared" si="11"/>
        <v>44989.32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12" zoomScaleNormal="112" workbookViewId="0">
      <selection activeCell="G12" sqref="G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Newport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22334.04</v>
      </c>
      <c r="D8" s="73">
        <f>'DOE25'!G9</f>
        <v>200</v>
      </c>
      <c r="E8" s="73">
        <f>'DOE25'!H9</f>
        <v>0</v>
      </c>
      <c r="F8" s="73">
        <f>'DOE25'!I9</f>
        <v>0</v>
      </c>
      <c r="G8" s="73">
        <f>'DOE25'!J9</f>
        <v>0</v>
      </c>
      <c r="H8" s="13">
        <f>SUM(C8:G8)</f>
        <v>22534.04</v>
      </c>
      <c r="I8" s="90"/>
    </row>
    <row r="9" spans="1:9" x14ac:dyDescent="0.2">
      <c r="A9" s="1" t="s">
        <v>140</v>
      </c>
      <c r="B9" s="6">
        <v>110</v>
      </c>
      <c r="C9" s="73">
        <f>'DOE25'!F10</f>
        <v>1612615.67</v>
      </c>
      <c r="D9" s="73">
        <f>'DOE25'!G10</f>
        <v>0</v>
      </c>
      <c r="E9" s="73">
        <f>'DOE25'!H10</f>
        <v>0</v>
      </c>
      <c r="F9" s="73">
        <f>'DOE25'!I10</f>
        <v>0</v>
      </c>
      <c r="G9" s="73">
        <f>'DOE25'!J10</f>
        <v>0</v>
      </c>
      <c r="H9" s="13">
        <f t="shared" ref="H9:H18" si="0">SUM(C9:G9)</f>
        <v>1612615.67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187143.2</v>
      </c>
      <c r="D11" s="73">
        <f>'DOE25'!G12</f>
        <v>-7739.24</v>
      </c>
      <c r="E11" s="73">
        <f>'DOE25'!H12</f>
        <v>-471297.82</v>
      </c>
      <c r="F11" s="73">
        <f>'DOE25'!I12</f>
        <v>291893.86</v>
      </c>
      <c r="G11" s="73">
        <f>'DOE25'!J12</f>
        <v>0</v>
      </c>
      <c r="H11" s="13">
        <f t="shared" si="0"/>
        <v>0</v>
      </c>
      <c r="I11" s="90"/>
    </row>
    <row r="12" spans="1:9" x14ac:dyDescent="0.2">
      <c r="A12" s="1" t="s">
        <v>143</v>
      </c>
      <c r="B12" s="6">
        <v>140</v>
      </c>
      <c r="C12" s="73">
        <f>'DOE25'!F13</f>
        <v>0</v>
      </c>
      <c r="D12" s="73">
        <f>'DOE25'!G13</f>
        <v>42997.41</v>
      </c>
      <c r="E12" s="73">
        <f>'DOE25'!H13</f>
        <v>504254.1</v>
      </c>
      <c r="F12" s="73">
        <f>'DOE25'!I13</f>
        <v>66738.48</v>
      </c>
      <c r="G12" s="73">
        <f>'DOE25'!J13</f>
        <v>331568.68000000005</v>
      </c>
      <c r="H12" s="13">
        <f t="shared" si="0"/>
        <v>945558.67</v>
      </c>
      <c r="I12" s="90"/>
    </row>
    <row r="13" spans="1:9" x14ac:dyDescent="0.2">
      <c r="A13" s="1" t="s">
        <v>144</v>
      </c>
      <c r="B13" s="6">
        <v>150</v>
      </c>
      <c r="C13" s="73">
        <f>'DOE25'!F14</f>
        <v>168906.45</v>
      </c>
      <c r="D13" s="73">
        <f>'DOE25'!G14</f>
        <v>0</v>
      </c>
      <c r="E13" s="73">
        <f>'DOE25'!H14</f>
        <v>31523.9</v>
      </c>
      <c r="F13" s="73">
        <f>'DOE25'!I14</f>
        <v>0</v>
      </c>
      <c r="G13" s="73">
        <f>'DOE25'!J14</f>
        <v>0</v>
      </c>
      <c r="H13" s="13">
        <f t="shared" si="0"/>
        <v>200430.35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9031.64</v>
      </c>
      <c r="E15" s="73">
        <f>'DOE25'!H16</f>
        <v>0</v>
      </c>
      <c r="F15" s="73">
        <f>'DOE25'!I16</f>
        <v>0</v>
      </c>
      <c r="G15" s="23" t="s">
        <v>288</v>
      </c>
      <c r="H15" s="13">
        <f t="shared" si="0"/>
        <v>9031.64</v>
      </c>
      <c r="I15" s="90"/>
    </row>
    <row r="16" spans="1:9" x14ac:dyDescent="0.2">
      <c r="A16" s="1" t="s">
        <v>147</v>
      </c>
      <c r="B16" s="6">
        <v>180</v>
      </c>
      <c r="C16" s="73">
        <f>'DOE25'!F17</f>
        <v>0</v>
      </c>
      <c r="D16" s="73">
        <f>'DOE25'!G17</f>
        <v>9223.64</v>
      </c>
      <c r="E16" s="73">
        <f>'DOE25'!H17</f>
        <v>0</v>
      </c>
      <c r="F16" s="73">
        <f>'DOE25'!I17</f>
        <v>0</v>
      </c>
      <c r="G16" s="73">
        <f>'DOE25'!J17</f>
        <v>0</v>
      </c>
      <c r="H16" s="13">
        <f t="shared" si="0"/>
        <v>9223.64</v>
      </c>
      <c r="I16" s="90"/>
    </row>
    <row r="17" spans="1:9" ht="12" thickBot="1" x14ac:dyDescent="0.25">
      <c r="A17" s="1" t="s">
        <v>148</v>
      </c>
      <c r="B17" s="6">
        <v>190</v>
      </c>
      <c r="C17" s="73">
        <f>'DOE25'!F18</f>
        <v>1369.98</v>
      </c>
      <c r="D17" s="73">
        <f>'DOE25'!G18</f>
        <v>0</v>
      </c>
      <c r="E17" s="73">
        <f>'DOE25'!H18</f>
        <v>0</v>
      </c>
      <c r="F17" s="73">
        <f>'DOE25'!I18</f>
        <v>0</v>
      </c>
      <c r="G17" s="73">
        <f>'DOE25'!J18</f>
        <v>0</v>
      </c>
      <c r="H17" s="13">
        <f t="shared" si="0"/>
        <v>1369.98</v>
      </c>
      <c r="I17" s="90"/>
    </row>
    <row r="18" spans="1:9" ht="12" thickTop="1" x14ac:dyDescent="0.2">
      <c r="A18" s="35" t="s">
        <v>149</v>
      </c>
      <c r="B18" s="36"/>
      <c r="C18" s="38">
        <f>SUM(C8:C17)</f>
        <v>1992369.3399999999</v>
      </c>
      <c r="D18" s="38">
        <f>SUM(D8:D17)</f>
        <v>53713.450000000004</v>
      </c>
      <c r="E18" s="38">
        <f>SUM(E8:E17)</f>
        <v>64480.179999999971</v>
      </c>
      <c r="F18" s="38">
        <f>SUM(F8:F17)</f>
        <v>358632.33999999997</v>
      </c>
      <c r="G18" s="38">
        <f>SUM(G8:G17)</f>
        <v>331568.68000000005</v>
      </c>
      <c r="H18" s="38">
        <f t="shared" si="0"/>
        <v>2800763.9899999998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977199.64</v>
      </c>
      <c r="D23" s="73">
        <f>'DOE25'!G24</f>
        <v>0</v>
      </c>
      <c r="E23" s="73">
        <f>'DOE25'!H24</f>
        <v>3947.39</v>
      </c>
      <c r="F23" s="73">
        <f>'DOE25'!I24</f>
        <v>0</v>
      </c>
      <c r="G23" s="73">
        <f>'DOE25'!J24</f>
        <v>0</v>
      </c>
      <c r="H23" s="13">
        <f t="shared" si="1"/>
        <v>981147.03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34504.14</v>
      </c>
      <c r="D27" s="73">
        <f>'DOE25'!G28</f>
        <v>0</v>
      </c>
      <c r="E27" s="73">
        <f>'DOE25'!H28</f>
        <v>0</v>
      </c>
      <c r="F27" s="73">
        <f>'DOE25'!I28</f>
        <v>0</v>
      </c>
      <c r="G27" s="23" t="s">
        <v>288</v>
      </c>
      <c r="H27" s="13">
        <f t="shared" si="1"/>
        <v>34504.14</v>
      </c>
      <c r="I27" s="90"/>
    </row>
    <row r="28" spans="1:9" x14ac:dyDescent="0.2">
      <c r="A28" s="1" t="s">
        <v>157</v>
      </c>
      <c r="B28" s="6">
        <v>470</v>
      </c>
      <c r="C28" s="73">
        <f>'DOE25'!F29</f>
        <v>469038.95</v>
      </c>
      <c r="D28" s="73">
        <f>'DOE25'!G29</f>
        <v>0</v>
      </c>
      <c r="E28" s="73">
        <f>'DOE25'!H29</f>
        <v>0</v>
      </c>
      <c r="F28" s="73">
        <f>'DOE25'!I29</f>
        <v>0</v>
      </c>
      <c r="G28" s="23" t="s">
        <v>288</v>
      </c>
      <c r="H28" s="13">
        <f t="shared" si="1"/>
        <v>469038.95</v>
      </c>
      <c r="I28" s="90"/>
    </row>
    <row r="29" spans="1:9" x14ac:dyDescent="0.2">
      <c r="A29" s="1" t="s">
        <v>158</v>
      </c>
      <c r="B29" s="6">
        <v>480</v>
      </c>
      <c r="C29" s="73">
        <f>'DOE25'!F30</f>
        <v>0</v>
      </c>
      <c r="D29" s="73">
        <f>'DOE25'!G30</f>
        <v>31251.99</v>
      </c>
      <c r="E29" s="73">
        <f>'DOE25'!H30</f>
        <v>0</v>
      </c>
      <c r="F29" s="73">
        <f>'DOE25'!I30</f>
        <v>0</v>
      </c>
      <c r="G29" s="23" t="s">
        <v>288</v>
      </c>
      <c r="H29" s="13">
        <f t="shared" si="1"/>
        <v>31251.99</v>
      </c>
      <c r="I29" s="90"/>
    </row>
    <row r="30" spans="1:9" ht="12" thickBot="1" x14ac:dyDescent="0.25">
      <c r="A30" s="1" t="s">
        <v>159</v>
      </c>
      <c r="B30" s="56">
        <v>490</v>
      </c>
      <c r="C30" s="73">
        <f>'DOE25'!F31</f>
        <v>0</v>
      </c>
      <c r="D30" s="73">
        <f>'DOE25'!G31</f>
        <v>4206.18</v>
      </c>
      <c r="E30" s="73">
        <f>'DOE25'!H31</f>
        <v>50</v>
      </c>
      <c r="F30" s="73">
        <f>'DOE25'!I31</f>
        <v>0</v>
      </c>
      <c r="G30" s="73">
        <f>'DOE25'!J31</f>
        <v>0</v>
      </c>
      <c r="H30" s="13">
        <f t="shared" si="1"/>
        <v>4256.18</v>
      </c>
      <c r="I30" s="90"/>
    </row>
    <row r="31" spans="1:9" ht="12" thickTop="1" x14ac:dyDescent="0.2">
      <c r="A31" s="35" t="s">
        <v>160</v>
      </c>
      <c r="B31" s="2"/>
      <c r="C31" s="38">
        <f>SUM(C21:C30)</f>
        <v>1480742.73</v>
      </c>
      <c r="D31" s="38">
        <f>SUM(D21:D30)</f>
        <v>35458.17</v>
      </c>
      <c r="E31" s="38">
        <f>SUM(E21:E30)</f>
        <v>3997.39</v>
      </c>
      <c r="F31" s="38">
        <f>SUM(F21:F30)</f>
        <v>0</v>
      </c>
      <c r="G31" s="38">
        <f>SUM(G21:G30)</f>
        <v>0</v>
      </c>
      <c r="H31" s="38">
        <f t="shared" si="1"/>
        <v>1520198.2899999998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9031.64</v>
      </c>
      <c r="E34" s="73">
        <f>'DOE25'!H35</f>
        <v>0</v>
      </c>
      <c r="F34" s="73">
        <f>'DOE25'!I35</f>
        <v>0</v>
      </c>
      <c r="G34" s="23" t="s">
        <v>288</v>
      </c>
      <c r="H34" s="13">
        <f t="shared" ref="H34:H51" si="2">SUM(C34:G34)</f>
        <v>9031.64</v>
      </c>
      <c r="I34" s="90"/>
    </row>
    <row r="35" spans="1:9" x14ac:dyDescent="0.2">
      <c r="A35" s="1" t="s">
        <v>846</v>
      </c>
      <c r="B35" s="6">
        <v>752</v>
      </c>
      <c r="C35" s="73">
        <f>'DOE25'!F36</f>
        <v>0</v>
      </c>
      <c r="D35" s="73">
        <f>'DOE25'!G36</f>
        <v>9223.64</v>
      </c>
      <c r="E35" s="73">
        <f>'DOE25'!H36</f>
        <v>0</v>
      </c>
      <c r="F35" s="73">
        <f>'DOE25'!I36</f>
        <v>0</v>
      </c>
      <c r="G35" s="23" t="s">
        <v>288</v>
      </c>
      <c r="H35" s="13">
        <f t="shared" si="2"/>
        <v>9223.64</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60482.79</v>
      </c>
      <c r="F47" s="73">
        <f>'DOE25'!I48</f>
        <v>358632.34000000008</v>
      </c>
      <c r="G47" s="73">
        <f>'DOE25'!J48</f>
        <v>331568.68000000005</v>
      </c>
      <c r="H47" s="13">
        <f t="shared" si="2"/>
        <v>750683.81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511626.61000000103</v>
      </c>
      <c r="D49" s="23" t="s">
        <v>288</v>
      </c>
      <c r="E49" s="23" t="s">
        <v>288</v>
      </c>
      <c r="F49" s="23" t="s">
        <v>288</v>
      </c>
      <c r="G49" s="23" t="s">
        <v>288</v>
      </c>
      <c r="H49" s="13">
        <f t="shared" si="2"/>
        <v>511626.61000000103</v>
      </c>
      <c r="I49" s="90"/>
    </row>
    <row r="50" spans="1:9" ht="12.75" thickTop="1" thickBot="1" x14ac:dyDescent="0.25">
      <c r="A50" s="35" t="s">
        <v>880</v>
      </c>
      <c r="B50" s="44"/>
      <c r="C50" s="38">
        <f>SUM(C34:C49)</f>
        <v>511626.61000000103</v>
      </c>
      <c r="D50" s="38">
        <f>SUM(D34:D49)</f>
        <v>18255.28</v>
      </c>
      <c r="E50" s="38">
        <f>SUM(E34:E49)</f>
        <v>60482.79</v>
      </c>
      <c r="F50" s="38">
        <f>SUM(F34:F49)</f>
        <v>358632.34000000008</v>
      </c>
      <c r="G50" s="38">
        <f>SUM(G34:G49)</f>
        <v>331568.68000000005</v>
      </c>
      <c r="H50" s="38">
        <f t="shared" si="2"/>
        <v>1280565.7000000011</v>
      </c>
      <c r="I50" s="90"/>
    </row>
    <row r="51" spans="1:9" ht="12" thickTop="1" x14ac:dyDescent="0.2">
      <c r="A51" s="35" t="s">
        <v>881</v>
      </c>
      <c r="B51" s="2"/>
      <c r="C51" s="38">
        <f>C50+C31</f>
        <v>1992369.340000001</v>
      </c>
      <c r="D51" s="38">
        <f>D50+D31</f>
        <v>53713.45</v>
      </c>
      <c r="E51" s="38">
        <f>E50+E31</f>
        <v>64480.18</v>
      </c>
      <c r="F51" s="38">
        <f>F50+F31</f>
        <v>358632.34000000008</v>
      </c>
      <c r="G51" s="38">
        <f>G50+G31</f>
        <v>331568.68000000005</v>
      </c>
      <c r="H51" s="38">
        <f t="shared" si="2"/>
        <v>2800763.9900000016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9504536</v>
      </c>
      <c r="D56" s="73">
        <f>'DOE25'!G60</f>
        <v>0</v>
      </c>
      <c r="E56" s="73">
        <f>'DOE25'!H60</f>
        <v>0</v>
      </c>
      <c r="F56" s="73">
        <f>'DOE25'!I60</f>
        <v>0</v>
      </c>
      <c r="G56" s="73">
        <f>'DOE25'!J60</f>
        <v>0</v>
      </c>
      <c r="H56" s="13">
        <f t="shared" ref="H56:H63" si="3">SUM(C56:G56)</f>
        <v>9504536</v>
      </c>
      <c r="I56"/>
    </row>
    <row r="57" spans="1:9" x14ac:dyDescent="0.2">
      <c r="A57" s="1" t="s">
        <v>164</v>
      </c>
      <c r="B57" s="6" t="s">
        <v>165</v>
      </c>
      <c r="C57" s="73">
        <f>'DOE25'!F79</f>
        <v>1494643.9800000002</v>
      </c>
      <c r="D57" s="23" t="s">
        <v>288</v>
      </c>
      <c r="E57" s="73">
        <f>'DOE25'!H79</f>
        <v>0</v>
      </c>
      <c r="F57" s="23" t="s">
        <v>288</v>
      </c>
      <c r="G57" s="23" t="s">
        <v>288</v>
      </c>
      <c r="H57" s="13">
        <f t="shared" si="3"/>
        <v>1494643.9800000002</v>
      </c>
      <c r="I57"/>
    </row>
    <row r="58" spans="1:9" x14ac:dyDescent="0.2">
      <c r="A58" s="1" t="s">
        <v>166</v>
      </c>
      <c r="B58" s="6" t="s">
        <v>167</v>
      </c>
      <c r="C58" s="73">
        <f>'DOE25'!F94</f>
        <v>4847.1099999999997</v>
      </c>
      <c r="D58" s="23" t="s">
        <v>288</v>
      </c>
      <c r="E58" s="73">
        <f>'DOE25'!H94</f>
        <v>0</v>
      </c>
      <c r="F58" s="23" t="s">
        <v>288</v>
      </c>
      <c r="G58" s="23" t="s">
        <v>288</v>
      </c>
      <c r="H58" s="13">
        <f t="shared" si="3"/>
        <v>4847.1099999999997</v>
      </c>
      <c r="I58"/>
    </row>
    <row r="59" spans="1:9" x14ac:dyDescent="0.2">
      <c r="A59" s="1" t="s">
        <v>168</v>
      </c>
      <c r="B59" s="6" t="s">
        <v>169</v>
      </c>
      <c r="C59" s="73">
        <f>'DOE25'!F96</f>
        <v>2738.3</v>
      </c>
      <c r="D59" s="73">
        <f>'DOE25'!G96</f>
        <v>0</v>
      </c>
      <c r="E59" s="73">
        <f>'DOE25'!H96</f>
        <v>0</v>
      </c>
      <c r="F59" s="73">
        <f>'DOE25'!I96</f>
        <v>84487.52</v>
      </c>
      <c r="G59" s="73">
        <f>'DOE25'!J96</f>
        <v>314.85000000000002</v>
      </c>
      <c r="H59" s="13">
        <f t="shared" si="3"/>
        <v>87540.670000000013</v>
      </c>
      <c r="I59"/>
    </row>
    <row r="60" spans="1:9" x14ac:dyDescent="0.2">
      <c r="A60" s="1" t="s">
        <v>170</v>
      </c>
      <c r="B60" s="22" t="s">
        <v>171</v>
      </c>
      <c r="C60" s="23" t="s">
        <v>288</v>
      </c>
      <c r="D60" s="73">
        <f>'DOE25'!G97</f>
        <v>86215.77</v>
      </c>
      <c r="E60" s="23" t="s">
        <v>288</v>
      </c>
      <c r="F60" s="23" t="s">
        <v>288</v>
      </c>
      <c r="G60" s="23" t="s">
        <v>288</v>
      </c>
      <c r="H60" s="13">
        <f t="shared" si="3"/>
        <v>86215.77</v>
      </c>
      <c r="I60"/>
    </row>
    <row r="61" spans="1:9" ht="12" thickBot="1" x14ac:dyDescent="0.25">
      <c r="A61" s="1" t="s">
        <v>172</v>
      </c>
      <c r="B61" s="22" t="s">
        <v>173</v>
      </c>
      <c r="C61" s="73">
        <f>SUM('DOE25'!F98:F110)</f>
        <v>8059.59</v>
      </c>
      <c r="D61" s="73">
        <f>SUM('DOE25'!G98:G110)</f>
        <v>0</v>
      </c>
      <c r="E61" s="73">
        <f>SUM('DOE25'!H98:H110)</f>
        <v>44719.429999999993</v>
      </c>
      <c r="F61" s="73">
        <f>SUM('DOE25'!I98:I110)</f>
        <v>147900</v>
      </c>
      <c r="G61" s="73">
        <f>SUM('DOE25'!J98:J110)</f>
        <v>0</v>
      </c>
      <c r="H61" s="13">
        <f t="shared" si="3"/>
        <v>200679.02</v>
      </c>
      <c r="I61"/>
    </row>
    <row r="62" spans="1:9" ht="12.75" thickTop="1" thickBot="1" x14ac:dyDescent="0.25">
      <c r="A62" s="28" t="s">
        <v>174</v>
      </c>
      <c r="B62" s="6"/>
      <c r="C62" s="93">
        <f>SUM(C57:C61)</f>
        <v>1510288.9800000004</v>
      </c>
      <c r="D62" s="93">
        <f>SUM(D57:D61)</f>
        <v>86215.77</v>
      </c>
      <c r="E62" s="93">
        <f>SUM(E57:E61)</f>
        <v>44719.429999999993</v>
      </c>
      <c r="F62" s="93">
        <f>SUM(F57:F61)</f>
        <v>232387.52000000002</v>
      </c>
      <c r="G62" s="93">
        <f>SUM(G57:G61)</f>
        <v>314.85000000000002</v>
      </c>
      <c r="H62" s="13">
        <f t="shared" si="3"/>
        <v>1873926.5500000005</v>
      </c>
      <c r="I62"/>
    </row>
    <row r="63" spans="1:9" ht="12" thickTop="1" x14ac:dyDescent="0.2">
      <c r="A63" s="28" t="s">
        <v>175</v>
      </c>
      <c r="B63" s="6"/>
      <c r="C63" s="21">
        <f>C56+C62</f>
        <v>11014824.98</v>
      </c>
      <c r="D63" s="21">
        <f>D56+D62</f>
        <v>86215.77</v>
      </c>
      <c r="E63" s="21">
        <f>E56+E62</f>
        <v>44719.429999999993</v>
      </c>
      <c r="F63" s="21">
        <f>F56+F62</f>
        <v>232387.52000000002</v>
      </c>
      <c r="G63" s="21">
        <f>G56+G62</f>
        <v>314.85000000000002</v>
      </c>
      <c r="H63" s="13">
        <f t="shared" si="3"/>
        <v>11378462.549999999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7487319.9299999997</v>
      </c>
      <c r="D66" s="23" t="s">
        <v>288</v>
      </c>
      <c r="E66" s="23" t="s">
        <v>288</v>
      </c>
      <c r="F66" s="23" t="s">
        <v>288</v>
      </c>
      <c r="G66" s="23" t="s">
        <v>288</v>
      </c>
      <c r="H66" s="13">
        <f t="shared" ref="H66:H81" si="4">SUM(C66:G66)</f>
        <v>7487319.9299999997</v>
      </c>
      <c r="I66"/>
    </row>
    <row r="67" spans="1:9" x14ac:dyDescent="0.2">
      <c r="A67" s="1" t="s">
        <v>767</v>
      </c>
      <c r="B67" s="6">
        <v>3112</v>
      </c>
      <c r="C67" s="73">
        <f>'DOE25'!F118</f>
        <v>889205</v>
      </c>
      <c r="D67" s="23"/>
      <c r="E67" s="23"/>
      <c r="F67" s="23"/>
      <c r="G67" s="23"/>
      <c r="H67" s="13">
        <f t="shared" si="4"/>
        <v>889205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17757.16</v>
      </c>
      <c r="D69" s="73">
        <f>'DOE25'!G120</f>
        <v>0</v>
      </c>
      <c r="E69" s="73">
        <f>'DOE25'!H120</f>
        <v>13438.380000000001</v>
      </c>
      <c r="F69" s="73">
        <f>'DOE25'!I120</f>
        <v>0</v>
      </c>
      <c r="G69" s="73">
        <f>'DOE25'!J120</f>
        <v>0</v>
      </c>
      <c r="H69" s="13">
        <f t="shared" si="4"/>
        <v>31195.54</v>
      </c>
      <c r="I69"/>
    </row>
    <row r="70" spans="1:9" ht="12" thickTop="1" x14ac:dyDescent="0.2">
      <c r="A70" s="28" t="s">
        <v>252</v>
      </c>
      <c r="B70" s="2"/>
      <c r="C70" s="97">
        <f>SUM(C66:C69)</f>
        <v>8394282.0899999999</v>
      </c>
      <c r="D70" s="97">
        <f>D69</f>
        <v>0</v>
      </c>
      <c r="E70" s="97">
        <f>E69</f>
        <v>13438.380000000001</v>
      </c>
      <c r="F70" s="97">
        <f>F69</f>
        <v>0</v>
      </c>
      <c r="G70" s="97">
        <f>G69</f>
        <v>0</v>
      </c>
      <c r="H70" s="13">
        <f t="shared" si="4"/>
        <v>8407720.4700000007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336744.38</v>
      </c>
      <c r="D72" s="23" t="s">
        <v>288</v>
      </c>
      <c r="E72" s="23" t="s">
        <v>288</v>
      </c>
      <c r="F72" s="73">
        <f>'DOE25'!I123</f>
        <v>0</v>
      </c>
      <c r="G72" s="23" t="s">
        <v>288</v>
      </c>
      <c r="H72" s="13">
        <f t="shared" si="4"/>
        <v>336744.38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68026.67</v>
      </c>
      <c r="D75" s="23" t="s">
        <v>288</v>
      </c>
      <c r="E75" s="23" t="s">
        <v>288</v>
      </c>
      <c r="F75" s="23" t="s">
        <v>288</v>
      </c>
      <c r="G75" s="23" t="s">
        <v>288</v>
      </c>
      <c r="H75" s="13">
        <f t="shared" si="4"/>
        <v>68026.67</v>
      </c>
      <c r="I75"/>
    </row>
    <row r="76" spans="1:9" x14ac:dyDescent="0.2">
      <c r="A76" s="1" t="s">
        <v>257</v>
      </c>
      <c r="B76" s="6" t="s">
        <v>179</v>
      </c>
      <c r="C76" s="73">
        <f>SUM('DOE25'!F127:F130)</f>
        <v>104999.48</v>
      </c>
      <c r="D76" s="23" t="s">
        <v>288</v>
      </c>
      <c r="E76" s="73">
        <f>SUM('DOE25'!H127:H130)</f>
        <v>0</v>
      </c>
      <c r="F76" s="73">
        <f>SUM('DOE25'!I127:I130)</f>
        <v>5719191.3399999999</v>
      </c>
      <c r="G76" s="23" t="s">
        <v>288</v>
      </c>
      <c r="H76" s="13">
        <f t="shared" si="4"/>
        <v>5824190.8200000003</v>
      </c>
      <c r="I76"/>
    </row>
    <row r="77" spans="1:9" ht="12" thickBot="1" x14ac:dyDescent="0.25">
      <c r="A77" s="1" t="s">
        <v>258</v>
      </c>
      <c r="B77" s="6" t="s">
        <v>180</v>
      </c>
      <c r="C77" s="73">
        <f>SUM('DOE25'!F131:F135)</f>
        <v>0</v>
      </c>
      <c r="D77" s="73">
        <f>SUM('DOE25'!G131:G135)</f>
        <v>5786.2199999999993</v>
      </c>
      <c r="E77" s="73">
        <f>SUM('DOE25'!H131:H135)</f>
        <v>0</v>
      </c>
      <c r="F77" s="73">
        <f>SUM('DOE25'!I131:I135)</f>
        <v>0</v>
      </c>
      <c r="G77" s="73">
        <f>SUM('DOE25'!J131:J135)</f>
        <v>0</v>
      </c>
      <c r="H77" s="13">
        <f t="shared" si="4"/>
        <v>5786.2199999999993</v>
      </c>
      <c r="I77"/>
    </row>
    <row r="78" spans="1:9" ht="12.75" thickTop="1" thickBot="1" x14ac:dyDescent="0.25">
      <c r="A78" s="28" t="s">
        <v>259</v>
      </c>
      <c r="B78" s="6"/>
      <c r="C78" s="93">
        <f>SUM(C72:C77)</f>
        <v>509770.52999999997</v>
      </c>
      <c r="D78" s="93">
        <f>SUM(D72:D77)</f>
        <v>5786.2199999999993</v>
      </c>
      <c r="E78" s="93">
        <f>SUM(E72:E77)</f>
        <v>0</v>
      </c>
      <c r="F78" s="93">
        <f>SUM(F72:F77)</f>
        <v>5719191.3399999999</v>
      </c>
      <c r="G78" s="93">
        <f>SUM(G72:G77)</f>
        <v>0</v>
      </c>
      <c r="H78" s="13">
        <f t="shared" si="4"/>
        <v>6234748.0899999999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8904052.6199999992</v>
      </c>
      <c r="D81" s="93">
        <f>SUM(D79:D80)+D78+D70</f>
        <v>5786.2199999999993</v>
      </c>
      <c r="E81" s="93">
        <f>SUM(E79:E80)+E78+E70</f>
        <v>13438.380000000001</v>
      </c>
      <c r="F81" s="93">
        <f>SUM(F79:F80)+F78+F70</f>
        <v>5719191.3399999999</v>
      </c>
      <c r="G81" s="93">
        <f>SUM(G79:G80)+G78+G70</f>
        <v>0</v>
      </c>
      <c r="H81" s="93">
        <f t="shared" si="4"/>
        <v>14642468.560000001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16038.67</v>
      </c>
      <c r="D85" s="73">
        <f>'DOE25'!G147</f>
        <v>0</v>
      </c>
      <c r="E85" s="73">
        <f>'DOE25'!H147</f>
        <v>0</v>
      </c>
      <c r="F85" s="73">
        <f>'DOE25'!I147</f>
        <v>0</v>
      </c>
      <c r="G85" s="23" t="s">
        <v>288</v>
      </c>
      <c r="H85" s="13">
        <f t="shared" ref="H85:H104" si="5">SUM(C85:G85)</f>
        <v>16038.67</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133980.51</v>
      </c>
      <c r="D88" s="252">
        <f>SUM('DOE25'!G153:G162)</f>
        <v>329549.14</v>
      </c>
      <c r="E88" s="252">
        <f>SUM('DOE25'!H153:H162)</f>
        <v>4620659.0199999996</v>
      </c>
      <c r="F88" s="252">
        <f>SUM('DOE25'!I153:I162)</f>
        <v>0</v>
      </c>
      <c r="G88" s="23" t="s">
        <v>288</v>
      </c>
      <c r="H88" s="13">
        <f t="shared" si="5"/>
        <v>5084188.67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150019.18000000002</v>
      </c>
      <c r="D91" s="94">
        <f>SUM(D85:D90)</f>
        <v>329549.14</v>
      </c>
      <c r="E91" s="94">
        <f>SUM(E85:E90)</f>
        <v>4620659.0199999996</v>
      </c>
      <c r="F91" s="94">
        <f>SUM(F85:F90)</f>
        <v>0</v>
      </c>
      <c r="G91" s="23" t="s">
        <v>288</v>
      </c>
      <c r="H91" s="13">
        <f t="shared" si="5"/>
        <v>5100227.34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53635.14</v>
      </c>
      <c r="E96" s="73">
        <f>'DOE25'!H180</f>
        <v>0</v>
      </c>
      <c r="F96" s="73">
        <f>'DOE25'!I180</f>
        <v>0</v>
      </c>
      <c r="G96" s="73">
        <f>'DOE25'!J180</f>
        <v>0</v>
      </c>
      <c r="H96" s="13">
        <f t="shared" si="5"/>
        <v>53635.14</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53635.14</v>
      </c>
      <c r="E103" s="68">
        <f>SUM(E93:E102)</f>
        <v>0</v>
      </c>
      <c r="F103" s="68">
        <f>SUM(F93:F102)</f>
        <v>0</v>
      </c>
      <c r="G103" s="68">
        <f>SUM(G93:G102)</f>
        <v>0</v>
      </c>
      <c r="H103" s="68">
        <f t="shared" si="5"/>
        <v>53635.14</v>
      </c>
    </row>
    <row r="104" spans="1:8" ht="12.75" thickTop="1" thickBot="1" x14ac:dyDescent="0.25">
      <c r="A104" s="32" t="s">
        <v>758</v>
      </c>
      <c r="C104" s="68">
        <f>C63+C81+C91+C103</f>
        <v>20068896.780000001</v>
      </c>
      <c r="D104" s="68">
        <f>D63+D81+D91+D103</f>
        <v>475186.27</v>
      </c>
      <c r="E104" s="68">
        <f>E63+E81+E91+E103</f>
        <v>4678816.8299999991</v>
      </c>
      <c r="F104" s="68">
        <f>F63+F81+F91+F103</f>
        <v>5951578.8599999994</v>
      </c>
      <c r="G104" s="68">
        <f>G63+G81+G103</f>
        <v>314.85000000000002</v>
      </c>
      <c r="H104" s="68">
        <f t="shared" si="5"/>
        <v>31174793.59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4942501.63</v>
      </c>
      <c r="D109" s="23" t="s">
        <v>288</v>
      </c>
      <c r="E109" s="73">
        <f>('DOE25'!L277)+('DOE25'!L296)+('DOE25'!L315)</f>
        <v>729469.41</v>
      </c>
      <c r="F109" s="23" t="s">
        <v>288</v>
      </c>
      <c r="G109" s="23" t="s">
        <v>288</v>
      </c>
      <c r="H109" s="13">
        <f t="shared" ref="H109:H115" si="6">SUM(C109:G109)</f>
        <v>5671971.04</v>
      </c>
    </row>
    <row r="110" spans="1:8" x14ac:dyDescent="0.2">
      <c r="A110" t="s">
        <v>198</v>
      </c>
      <c r="B110" s="31" t="s">
        <v>199</v>
      </c>
      <c r="C110" s="73">
        <f>('DOE25'!L199)+('DOE25'!L217)+('DOE25'!L235)</f>
        <v>3505178.8899999997</v>
      </c>
      <c r="D110" s="23" t="s">
        <v>288</v>
      </c>
      <c r="E110" s="73">
        <f>('DOE25'!L278)+('DOE25'!L297)+('DOE25'!L316)</f>
        <v>322520.46999999997</v>
      </c>
      <c r="F110" s="23" t="s">
        <v>288</v>
      </c>
      <c r="G110" s="23" t="s">
        <v>288</v>
      </c>
      <c r="H110" s="13">
        <f t="shared" si="6"/>
        <v>3827699.3599999994</v>
      </c>
    </row>
    <row r="111" spans="1:8" x14ac:dyDescent="0.2">
      <c r="A111" t="s">
        <v>200</v>
      </c>
      <c r="B111" s="31" t="s">
        <v>165</v>
      </c>
      <c r="C111" s="73">
        <f>('DOE25'!L200)+('DOE25'!L218)+('DOE25'!L236)</f>
        <v>944018.38</v>
      </c>
      <c r="D111" s="23" t="s">
        <v>288</v>
      </c>
      <c r="E111" s="73">
        <f>('DOE25'!L279)+('DOE25'!L298)+('DOE25'!L317)</f>
        <v>125619.27</v>
      </c>
      <c r="F111" s="23" t="s">
        <v>288</v>
      </c>
      <c r="G111" s="23" t="s">
        <v>288</v>
      </c>
      <c r="H111" s="13">
        <f t="shared" si="6"/>
        <v>1069637.6499999999</v>
      </c>
    </row>
    <row r="112" spans="1:8" x14ac:dyDescent="0.2">
      <c r="A112" t="s">
        <v>201</v>
      </c>
      <c r="B112" s="31" t="s">
        <v>167</v>
      </c>
      <c r="C112" s="73">
        <f>('DOE25'!L201)+('DOE25'!L219)+('DOE25'!L237)</f>
        <v>427349.73</v>
      </c>
      <c r="D112" s="23" t="s">
        <v>288</v>
      </c>
      <c r="E112" s="73">
        <f>+('DOE25'!L280)+('DOE25'!L299)+('DOE25'!L318)</f>
        <v>48263.189999999995</v>
      </c>
      <c r="F112" s="23" t="s">
        <v>288</v>
      </c>
      <c r="G112" s="23" t="s">
        <v>288</v>
      </c>
      <c r="H112" s="13">
        <f t="shared" si="6"/>
        <v>475612.92</v>
      </c>
    </row>
    <row r="113" spans="1:8" x14ac:dyDescent="0.2">
      <c r="A113" t="s">
        <v>202</v>
      </c>
      <c r="B113" s="31" t="s">
        <v>169</v>
      </c>
      <c r="C113" s="73">
        <f>'DOE25'!L251</f>
        <v>0</v>
      </c>
      <c r="D113" s="23" t="s">
        <v>288</v>
      </c>
      <c r="E113" s="73">
        <f>+'DOE25'!L333</f>
        <v>4805</v>
      </c>
      <c r="F113" s="23" t="s">
        <v>288</v>
      </c>
      <c r="G113" s="23" t="s">
        <v>288</v>
      </c>
      <c r="H113" s="13">
        <f t="shared" si="6"/>
        <v>4805</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9819048.6300000008</v>
      </c>
      <c r="D115" s="68">
        <f>SUM(D109:D114)</f>
        <v>0</v>
      </c>
      <c r="E115" s="68">
        <f>SUM(E109:E114)</f>
        <v>1230677.3399999999</v>
      </c>
      <c r="F115" s="68">
        <f>SUM(F109:F114)</f>
        <v>0</v>
      </c>
      <c r="G115" s="68">
        <f>SUM(G109:G114)</f>
        <v>0</v>
      </c>
      <c r="H115" s="68">
        <f t="shared" si="6"/>
        <v>11049725.970000001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1815991.7399999998</v>
      </c>
      <c r="D118" s="23" t="s">
        <v>288</v>
      </c>
      <c r="E118" s="73">
        <f>+('DOE25'!L282)+('DOE25'!L301)+('DOE25'!L320)</f>
        <v>1009258.36</v>
      </c>
      <c r="F118" s="23" t="s">
        <v>288</v>
      </c>
      <c r="G118" s="23" t="s">
        <v>288</v>
      </c>
      <c r="H118" s="13">
        <f t="shared" ref="H118:H145" si="7">SUM(C118:G118)</f>
        <v>2825250.0999999996</v>
      </c>
    </row>
    <row r="119" spans="1:8" x14ac:dyDescent="0.2">
      <c r="A119" t="s">
        <v>208</v>
      </c>
      <c r="B119" s="31" t="s">
        <v>209</v>
      </c>
      <c r="C119" s="73">
        <f>('DOE25'!L204)+('DOE25'!L222)+('DOE25'!L240)</f>
        <v>1035998.8499999999</v>
      </c>
      <c r="D119" s="23" t="s">
        <v>288</v>
      </c>
      <c r="E119" s="73">
        <f>+('DOE25'!L283)+('DOE25'!L302)+('DOE25'!L321)</f>
        <v>169429.09</v>
      </c>
      <c r="F119" s="23" t="s">
        <v>288</v>
      </c>
      <c r="G119" s="23" t="s">
        <v>288</v>
      </c>
      <c r="H119" s="13">
        <f t="shared" si="7"/>
        <v>1205427.94</v>
      </c>
    </row>
    <row r="120" spans="1:8" x14ac:dyDescent="0.2">
      <c r="A120" t="s">
        <v>210</v>
      </c>
      <c r="B120" s="31" t="s">
        <v>211</v>
      </c>
      <c r="C120" s="73">
        <f>('DOE25'!L205)+('DOE25'!L223)+('DOE25'!L241)</f>
        <v>811987.41999999993</v>
      </c>
      <c r="D120" s="23" t="s">
        <v>288</v>
      </c>
      <c r="E120" s="73">
        <f>+('DOE25'!L284)+('DOE25'!L303)+('DOE25'!L322)</f>
        <v>5310</v>
      </c>
      <c r="F120" s="23" t="s">
        <v>288</v>
      </c>
      <c r="G120" s="23" t="s">
        <v>288</v>
      </c>
      <c r="H120" s="13">
        <f t="shared" si="7"/>
        <v>817297.41999999993</v>
      </c>
    </row>
    <row r="121" spans="1:8" x14ac:dyDescent="0.2">
      <c r="A121" t="s">
        <v>212</v>
      </c>
      <c r="B121" s="31" t="s">
        <v>213</v>
      </c>
      <c r="C121" s="73">
        <f>('DOE25'!L206)+('DOE25'!L224)+('DOE25'!L242)</f>
        <v>1513406.1800000002</v>
      </c>
      <c r="D121" s="23" t="s">
        <v>288</v>
      </c>
      <c r="E121" s="73">
        <f>+('DOE25'!L285)+('DOE25'!L304)+('DOE25'!L323)</f>
        <v>0</v>
      </c>
      <c r="F121" s="23" t="s">
        <v>288</v>
      </c>
      <c r="G121" s="23" t="s">
        <v>288</v>
      </c>
      <c r="H121" s="13">
        <f t="shared" si="7"/>
        <v>1513406.1800000002</v>
      </c>
    </row>
    <row r="122" spans="1:8" x14ac:dyDescent="0.2">
      <c r="A122" t="s">
        <v>214</v>
      </c>
      <c r="B122" s="31" t="s">
        <v>215</v>
      </c>
      <c r="C122" s="73">
        <f>('DOE25'!L207)+('DOE25'!L225)+('DOE25'!L243)</f>
        <v>493377.25</v>
      </c>
      <c r="D122" s="23" t="s">
        <v>288</v>
      </c>
      <c r="E122" s="73">
        <f>+('DOE25'!L286)+('DOE25'!L305)+('DOE25'!L324)</f>
        <v>0</v>
      </c>
      <c r="F122" s="23" t="s">
        <v>288</v>
      </c>
      <c r="G122" s="23" t="s">
        <v>288</v>
      </c>
      <c r="H122" s="13">
        <f t="shared" si="7"/>
        <v>493377.25</v>
      </c>
    </row>
    <row r="123" spans="1:8" x14ac:dyDescent="0.2">
      <c r="A123" t="s">
        <v>216</v>
      </c>
      <c r="B123" s="31" t="s">
        <v>217</v>
      </c>
      <c r="C123" s="73">
        <f>('DOE25'!L208)+('DOE25'!L226)+('DOE25'!L244)</f>
        <v>2550664.3899999997</v>
      </c>
      <c r="D123" s="23" t="s">
        <v>288</v>
      </c>
      <c r="E123" s="73">
        <f>+('DOE25'!L287)+('DOE25'!L306)+('DOE25'!L325)</f>
        <v>0</v>
      </c>
      <c r="F123" s="23" t="s">
        <v>288</v>
      </c>
      <c r="G123" s="23" t="s">
        <v>288</v>
      </c>
      <c r="H123" s="13">
        <f t="shared" si="7"/>
        <v>2550664.3899999997</v>
      </c>
    </row>
    <row r="124" spans="1:8" x14ac:dyDescent="0.2">
      <c r="A124" t="s">
        <v>218</v>
      </c>
      <c r="B124" s="31" t="s">
        <v>219</v>
      </c>
      <c r="C124" s="73">
        <f>('DOE25'!L209)+('DOE25'!L227)+('DOE25'!L245+'DOE25'!L255)</f>
        <v>709901.15999999992</v>
      </c>
      <c r="D124" s="23" t="s">
        <v>288</v>
      </c>
      <c r="E124" s="73">
        <f>+('DOE25'!L288)+('DOE25'!L307)+('DOE25'!L326)</f>
        <v>20398.62</v>
      </c>
      <c r="F124" s="23" t="s">
        <v>288</v>
      </c>
      <c r="G124" s="23" t="s">
        <v>288</v>
      </c>
      <c r="H124" s="13">
        <f t="shared" si="7"/>
        <v>730299.77999999991</v>
      </c>
    </row>
    <row r="125" spans="1:8" x14ac:dyDescent="0.2">
      <c r="A125" t="s">
        <v>220</v>
      </c>
      <c r="B125" s="31" t="s">
        <v>221</v>
      </c>
      <c r="C125" s="73">
        <f>('DOE25'!L210)+('DOE25'!L228)+('DOE25'!L246)</f>
        <v>144430.81</v>
      </c>
      <c r="D125" s="23" t="s">
        <v>288</v>
      </c>
      <c r="E125" s="73">
        <f>+('DOE25'!L289)+('DOE25'!L308)+('DOE25'!L327)</f>
        <v>0</v>
      </c>
      <c r="F125" s="23" t="s">
        <v>288</v>
      </c>
      <c r="G125" s="23" t="s">
        <v>288</v>
      </c>
      <c r="H125" s="13">
        <f t="shared" si="7"/>
        <v>144430.81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474159.19</v>
      </c>
      <c r="E127" s="23" t="s">
        <v>288</v>
      </c>
      <c r="F127" s="23" t="s">
        <v>288</v>
      </c>
      <c r="G127" s="23" t="s">
        <v>288</v>
      </c>
      <c r="H127" s="13">
        <f t="shared" si="7"/>
        <v>474159.19</v>
      </c>
    </row>
    <row r="128" spans="1:8" ht="12.75" thickTop="1" thickBot="1" x14ac:dyDescent="0.25">
      <c r="A128" s="32" t="s">
        <v>226</v>
      </c>
      <c r="C128" s="68">
        <f>SUM(C118:C127)</f>
        <v>9075757.7999999989</v>
      </c>
      <c r="D128" s="68">
        <f>SUM(D118:D127)</f>
        <v>474159.19</v>
      </c>
      <c r="E128" s="68">
        <f>SUM(E118:E127)</f>
        <v>1204396.07</v>
      </c>
      <c r="F128" s="68">
        <f>SUM(F118:F127)</f>
        <v>0</v>
      </c>
      <c r="G128" s="68">
        <f>SUM(G118:G127)</f>
        <v>0</v>
      </c>
      <c r="H128" s="68">
        <f t="shared" si="7"/>
        <v>10754313.059999999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114880.96000000001</v>
      </c>
      <c r="D130" s="23" t="s">
        <v>288</v>
      </c>
      <c r="E130" s="92">
        <f>'DOE25'!L337</f>
        <v>2243743.42</v>
      </c>
      <c r="F130" s="92">
        <f>SUM('DOE25'!L375:'DOE25'!L381)</f>
        <v>7032660.7699999986</v>
      </c>
      <c r="G130" s="23" t="s">
        <v>288</v>
      </c>
      <c r="H130" s="13">
        <f t="shared" si="7"/>
        <v>9391285.1499999985</v>
      </c>
    </row>
    <row r="131" spans="1:8" x14ac:dyDescent="0.2">
      <c r="A131" t="s">
        <v>229</v>
      </c>
      <c r="B131" s="31">
        <v>5110</v>
      </c>
      <c r="C131" s="73">
        <f>'DOE25'!L261</f>
        <v>593200</v>
      </c>
      <c r="D131" s="23" t="s">
        <v>288</v>
      </c>
      <c r="E131" s="92">
        <f>'DOE25'!L342</f>
        <v>0</v>
      </c>
      <c r="F131" s="23" t="s">
        <v>288</v>
      </c>
      <c r="G131" s="23" t="s">
        <v>288</v>
      </c>
      <c r="H131" s="13">
        <f t="shared" si="7"/>
        <v>593200</v>
      </c>
    </row>
    <row r="132" spans="1:8" x14ac:dyDescent="0.2">
      <c r="A132" t="s">
        <v>230</v>
      </c>
      <c r="B132" s="31">
        <v>5120</v>
      </c>
      <c r="C132" s="73">
        <f>'DOE25'!L262</f>
        <v>131307.75</v>
      </c>
      <c r="D132" s="23" t="s">
        <v>288</v>
      </c>
      <c r="E132" s="92">
        <f>'DOE25'!L343</f>
        <v>0</v>
      </c>
      <c r="F132" s="23" t="s">
        <v>288</v>
      </c>
      <c r="G132" s="23" t="s">
        <v>288</v>
      </c>
      <c r="H132" s="13">
        <f t="shared" si="7"/>
        <v>131307.75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53635.14</v>
      </c>
      <c r="D135" s="23" t="s">
        <v>288</v>
      </c>
      <c r="E135" s="92">
        <f>'DOE25'!L346</f>
        <v>0</v>
      </c>
      <c r="F135" s="23" t="s">
        <v>288</v>
      </c>
      <c r="G135" s="23" t="s">
        <v>288</v>
      </c>
      <c r="H135" s="13">
        <f t="shared" si="7"/>
        <v>53635.14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234.01</v>
      </c>
      <c r="D138" s="23" t="s">
        <v>288</v>
      </c>
      <c r="E138" s="23" t="s">
        <v>288</v>
      </c>
      <c r="F138" s="23" t="s">
        <v>288</v>
      </c>
      <c r="G138" s="23" t="s">
        <v>288</v>
      </c>
      <c r="H138" s="13">
        <f t="shared" si="7"/>
        <v>234.01</v>
      </c>
    </row>
    <row r="139" spans="1:8" x14ac:dyDescent="0.2">
      <c r="A139" t="s">
        <v>239</v>
      </c>
      <c r="B139" s="31">
        <v>5252</v>
      </c>
      <c r="C139" s="73">
        <f>'DOE25'!L402</f>
        <v>80.84</v>
      </c>
      <c r="D139" s="23" t="s">
        <v>288</v>
      </c>
      <c r="E139" s="23" t="s">
        <v>288</v>
      </c>
      <c r="F139" s="23" t="s">
        <v>288</v>
      </c>
      <c r="G139" s="23" t="s">
        <v>288</v>
      </c>
      <c r="H139" s="13">
        <f t="shared" si="7"/>
        <v>80.84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-314.85000000000002</v>
      </c>
      <c r="D141" s="23" t="s">
        <v>288</v>
      </c>
      <c r="E141" s="23" t="s">
        <v>288</v>
      </c>
      <c r="F141" s="23" t="s">
        <v>288</v>
      </c>
      <c r="G141" s="23" t="s">
        <v>288</v>
      </c>
      <c r="H141" s="13">
        <f t="shared" si="7"/>
        <v>-314.85000000000002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893023.85</v>
      </c>
      <c r="D144" s="98">
        <f>SUM(D130:D143)</f>
        <v>0</v>
      </c>
      <c r="E144" s="98">
        <f>SUM(E130:E143)</f>
        <v>2243743.42</v>
      </c>
      <c r="F144" s="98">
        <f>SUM(F130:F143)</f>
        <v>7032660.7699999986</v>
      </c>
      <c r="G144" s="98">
        <f>SUM(G130:G143)</f>
        <v>0</v>
      </c>
      <c r="H144" s="98">
        <f t="shared" si="7"/>
        <v>10169428.039999999</v>
      </c>
    </row>
    <row r="145" spans="1:9" ht="12.75" thickTop="1" thickBot="1" x14ac:dyDescent="0.25">
      <c r="A145" s="32" t="s">
        <v>244</v>
      </c>
      <c r="C145" s="68">
        <f>(C115+C128+C144)</f>
        <v>19787830.280000001</v>
      </c>
      <c r="D145" s="68">
        <f>(D115+D128+D144)</f>
        <v>474159.19</v>
      </c>
      <c r="E145" s="68">
        <f>(E115+E128+E144)</f>
        <v>4678816.83</v>
      </c>
      <c r="F145" s="68">
        <f>(F115+F128+F144)</f>
        <v>7032660.7699999986</v>
      </c>
      <c r="G145" s="68">
        <f>(G115+G128+G144)</f>
        <v>0</v>
      </c>
      <c r="H145" s="68">
        <f t="shared" si="7"/>
        <v>31973467.070000004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07/22</v>
      </c>
      <c r="C152" s="109" t="str">
        <f>'DOE25'!G492</f>
        <v>08/07</v>
      </c>
      <c r="D152" s="109">
        <f>'DOE25'!H492</f>
        <v>0</v>
      </c>
      <c r="E152" s="109">
        <f>'DOE25'!I492</f>
        <v>0</v>
      </c>
      <c r="F152" s="109">
        <f>'DOE25'!J492</f>
        <v>0</v>
      </c>
      <c r="G152" s="23" t="s">
        <v>288</v>
      </c>
    </row>
    <row r="153" spans="1:9" x14ac:dyDescent="0.2">
      <c r="A153" s="21" t="s">
        <v>29</v>
      </c>
      <c r="B153" s="109" t="str">
        <f>'DOE25'!F493</f>
        <v>08/42</v>
      </c>
      <c r="C153" s="109" t="str">
        <f>'DOE25'!G493</f>
        <v>08/27</v>
      </c>
      <c r="D153" s="109">
        <f>'DOE25'!H493</f>
        <v>0</v>
      </c>
      <c r="E153" s="109">
        <f>'DOE25'!I493</f>
        <v>0</v>
      </c>
      <c r="F153" s="109">
        <f>'DOE25'!J493</f>
        <v>0</v>
      </c>
      <c r="G153" s="23" t="s">
        <v>288</v>
      </c>
    </row>
    <row r="154" spans="1:9" x14ac:dyDescent="0.2">
      <c r="A154" s="21" t="s">
        <v>30</v>
      </c>
      <c r="B154" s="19">
        <f>'DOE25'!F494</f>
        <v>1763100</v>
      </c>
      <c r="C154" s="19">
        <f>'DOE25'!G494</f>
        <v>10156100</v>
      </c>
      <c r="D154" s="19">
        <f>'DOE25'!H494</f>
        <v>0</v>
      </c>
      <c r="E154" s="19">
        <f>'DOE25'!I494</f>
        <v>0</v>
      </c>
      <c r="F154" s="19">
        <f>'DOE25'!J494</f>
        <v>0</v>
      </c>
      <c r="G154" s="23" t="s">
        <v>288</v>
      </c>
    </row>
    <row r="155" spans="1:9" x14ac:dyDescent="0.2">
      <c r="A155" s="21" t="s">
        <v>31</v>
      </c>
      <c r="B155" s="19">
        <f>'DOE25'!F495</f>
        <v>3.38</v>
      </c>
      <c r="C155" s="19">
        <f>'DOE25'!G495</f>
        <v>4.57</v>
      </c>
      <c r="D155" s="19">
        <f>'DOE25'!H495</f>
        <v>0</v>
      </c>
      <c r="E155" s="19">
        <f>'DOE25'!I495</f>
        <v>0</v>
      </c>
      <c r="F155" s="19">
        <f>'DOE25'!J495</f>
        <v>0</v>
      </c>
      <c r="G155" s="23" t="s">
        <v>288</v>
      </c>
    </row>
    <row r="156" spans="1:9" x14ac:dyDescent="0.2">
      <c r="A156" s="21" t="s">
        <v>32</v>
      </c>
      <c r="B156" s="19">
        <f>'DOE25'!F496</f>
        <v>1763100</v>
      </c>
      <c r="C156" s="19">
        <f>'DOE25'!G496</f>
        <v>2525000</v>
      </c>
      <c r="D156" s="19">
        <f>'DOE25'!H496</f>
        <v>0</v>
      </c>
      <c r="E156" s="19">
        <f>'DOE25'!I496</f>
        <v>0</v>
      </c>
      <c r="F156" s="19">
        <f>'DOE25'!J496</f>
        <v>0</v>
      </c>
      <c r="G156" s="96">
        <f>SUM(B156:F156)</f>
        <v>4288100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1674900</v>
      </c>
      <c r="C159" s="19">
        <f>'DOE25'!G499</f>
        <v>2020000</v>
      </c>
      <c r="D159" s="19">
        <f>'DOE25'!H499</f>
        <v>0</v>
      </c>
      <c r="E159" s="19">
        <f>'DOE25'!I499</f>
        <v>0</v>
      </c>
      <c r="F159" s="19">
        <f>'DOE25'!J499</f>
        <v>0</v>
      </c>
      <c r="G159" s="96">
        <f t="shared" si="8"/>
        <v>3694900</v>
      </c>
    </row>
    <row r="160" spans="1:9" x14ac:dyDescent="0.2">
      <c r="A160" s="21" t="s">
        <v>36</v>
      </c>
      <c r="B160" s="19">
        <f>'DOE25'!F500</f>
        <v>698069.6</v>
      </c>
      <c r="C160" s="19">
        <f>'DOE25'!G500</f>
        <v>95800</v>
      </c>
      <c r="D160" s="19">
        <f>'DOE25'!H500</f>
        <v>0</v>
      </c>
      <c r="E160" s="19">
        <f>'DOE25'!I500</f>
        <v>0</v>
      </c>
      <c r="F160" s="19">
        <f>'DOE25'!J500</f>
        <v>0</v>
      </c>
      <c r="G160" s="96">
        <f t="shared" si="8"/>
        <v>793869.6</v>
      </c>
    </row>
    <row r="161" spans="1:7" x14ac:dyDescent="0.2">
      <c r="A161" s="21" t="s">
        <v>37</v>
      </c>
      <c r="B161" s="19">
        <f>'DOE25'!F501</f>
        <v>2372969.6</v>
      </c>
      <c r="C161" s="19">
        <f>'DOE25'!G501</f>
        <v>2115800</v>
      </c>
      <c r="D161" s="19">
        <f>'DOE25'!H501</f>
        <v>0</v>
      </c>
      <c r="E161" s="19">
        <f>'DOE25'!I501</f>
        <v>0</v>
      </c>
      <c r="F161" s="19">
        <f>'DOE25'!J501</f>
        <v>0</v>
      </c>
      <c r="G161" s="96">
        <f t="shared" si="8"/>
        <v>4488769.5999999996</v>
      </c>
    </row>
    <row r="162" spans="1:7" x14ac:dyDescent="0.2">
      <c r="A162" s="21" t="s">
        <v>38</v>
      </c>
      <c r="B162" s="19">
        <f>'DOE25'!F502</f>
        <v>88200</v>
      </c>
      <c r="C162" s="19">
        <f>'DOE25'!G502</f>
        <v>505000</v>
      </c>
      <c r="D162" s="19">
        <f>'DOE25'!H502</f>
        <v>0</v>
      </c>
      <c r="E162" s="19">
        <f>'DOE25'!I502</f>
        <v>0</v>
      </c>
      <c r="F162" s="19">
        <f>'DOE25'!J502</f>
        <v>0</v>
      </c>
      <c r="G162" s="96">
        <f t="shared" si="8"/>
        <v>593200</v>
      </c>
    </row>
    <row r="163" spans="1:7" x14ac:dyDescent="0.2">
      <c r="A163" s="21" t="s">
        <v>39</v>
      </c>
      <c r="B163" s="19">
        <f>'DOE25'!F503</f>
        <v>78765.799999999988</v>
      </c>
      <c r="C163" s="19">
        <f>'DOE25'!G503</f>
        <v>36056.25</v>
      </c>
      <c r="D163" s="19">
        <f>'DOE25'!H503</f>
        <v>0</v>
      </c>
      <c r="E163" s="19">
        <f>'DOE25'!I503</f>
        <v>0</v>
      </c>
      <c r="F163" s="19">
        <f>'DOE25'!J503</f>
        <v>0</v>
      </c>
      <c r="G163" s="96">
        <f t="shared" si="8"/>
        <v>114822.04999999999</v>
      </c>
    </row>
    <row r="164" spans="1:7" x14ac:dyDescent="0.2">
      <c r="A164" s="21" t="s">
        <v>246</v>
      </c>
      <c r="B164" s="19">
        <f>'DOE25'!F504</f>
        <v>166965.79999999999</v>
      </c>
      <c r="C164" s="19">
        <f>'DOE25'!G504</f>
        <v>541056.25</v>
      </c>
      <c r="D164" s="19">
        <f>'DOE25'!H504</f>
        <v>0</v>
      </c>
      <c r="E164" s="19">
        <f>'DOE25'!I504</f>
        <v>0</v>
      </c>
      <c r="F164" s="19">
        <f>'DOE25'!J504</f>
        <v>0</v>
      </c>
      <c r="G164" s="96">
        <f t="shared" si="8"/>
        <v>708022.05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J43" sqref="J4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Newport</v>
      </c>
    </row>
    <row r="3" spans="1:4" x14ac:dyDescent="0.2">
      <c r="B3" s="136" t="s">
        <v>1792</v>
      </c>
    </row>
    <row r="4" spans="1:4" x14ac:dyDescent="0.2">
      <c r="B4" t="s">
        <v>61</v>
      </c>
      <c r="C4" s="128">
        <f>IF('DOE25'!F666+'DOE25'!F671=0,0,ROUND('DOE25'!F673,0))</f>
        <v>26039</v>
      </c>
    </row>
    <row r="5" spans="1:4" x14ac:dyDescent="0.2">
      <c r="B5" t="s">
        <v>700</v>
      </c>
      <c r="C5" s="128">
        <f>IF('DOE25'!G666+'DOE25'!G671=0,0,ROUND('DOE25'!G673,0))</f>
        <v>30661</v>
      </c>
    </row>
    <row r="6" spans="1:4" x14ac:dyDescent="0.2">
      <c r="B6" t="s">
        <v>62</v>
      </c>
      <c r="C6" s="128">
        <f>IF('DOE25'!H666+'DOE25'!H671=0,0,ROUND('DOE25'!H673,0))</f>
        <v>27751</v>
      </c>
    </row>
    <row r="7" spans="1:4" x14ac:dyDescent="0.2">
      <c r="B7" t="s">
        <v>701</v>
      </c>
      <c r="C7" s="128">
        <f>IF('DOE25'!I666+'DOE25'!I671=0,0,ROUND('DOE25'!I673,0))</f>
        <v>27628</v>
      </c>
    </row>
    <row r="9" spans="1:4" x14ac:dyDescent="0.2">
      <c r="A9" s="135" t="s">
        <v>94</v>
      </c>
      <c r="B9" s="136" t="s">
        <v>1793</v>
      </c>
      <c r="C9" s="130" t="s">
        <v>720</v>
      </c>
      <c r="D9" s="130" t="s">
        <v>721</v>
      </c>
    </row>
    <row r="10" spans="1:4" x14ac:dyDescent="0.2">
      <c r="A10">
        <v>1100</v>
      </c>
      <c r="B10" t="s">
        <v>702</v>
      </c>
      <c r="C10" s="128">
        <f>ROUND('DOE25'!L198+'DOE25'!L216+'DOE25'!L234+'DOE25'!L277+'DOE25'!L296+'DOE25'!L315,0)</f>
        <v>5671971</v>
      </c>
      <c r="D10" s="131">
        <f>ROUND((C10/$C$28)*100,1)</f>
        <v>26</v>
      </c>
    </row>
    <row r="11" spans="1:4" x14ac:dyDescent="0.2">
      <c r="A11">
        <v>1200</v>
      </c>
      <c r="B11" t="s">
        <v>703</v>
      </c>
      <c r="C11" s="128">
        <f>ROUND('DOE25'!L199+'DOE25'!L217+'DOE25'!L235+'DOE25'!L278+'DOE25'!L297+'DOE25'!L316,0)</f>
        <v>3827699</v>
      </c>
      <c r="D11" s="131">
        <f>ROUND((C11/$C$28)*100,1)</f>
        <v>17.5</v>
      </c>
    </row>
    <row r="12" spans="1:4" x14ac:dyDescent="0.2">
      <c r="A12">
        <v>1300</v>
      </c>
      <c r="B12" t="s">
        <v>704</v>
      </c>
      <c r="C12" s="128">
        <f>ROUND('DOE25'!L200+'DOE25'!L218+'DOE25'!L236+'DOE25'!L279+'DOE25'!L298+'DOE25'!L317,0)</f>
        <v>1069638</v>
      </c>
      <c r="D12" s="131">
        <f>ROUND((C12/$C$28)*100,1)</f>
        <v>4.9000000000000004</v>
      </c>
    </row>
    <row r="13" spans="1:4" x14ac:dyDescent="0.2">
      <c r="A13">
        <v>1400</v>
      </c>
      <c r="B13" t="s">
        <v>705</v>
      </c>
      <c r="C13" s="128">
        <f>ROUND('DOE25'!L201+'DOE25'!L219+'DOE25'!L237+'DOE25'!L280+'DOE25'!L299+'DOE25'!L318,0)</f>
        <v>475613</v>
      </c>
      <c r="D13" s="131">
        <f>ROUND((C13/$C$28)*100,1)</f>
        <v>2.2000000000000002</v>
      </c>
    </row>
    <row r="14" spans="1:4" x14ac:dyDescent="0.2">
      <c r="D14" s="131"/>
    </row>
    <row r="15" spans="1:4" x14ac:dyDescent="0.2">
      <c r="A15">
        <v>2100</v>
      </c>
      <c r="B15" t="s">
        <v>706</v>
      </c>
      <c r="C15" s="128">
        <f>ROUND('DOE25'!L203+'DOE25'!L221+'DOE25'!L239+'DOE25'!L282+'DOE25'!L301+'DOE25'!L320,0)</f>
        <v>2825250</v>
      </c>
      <c r="D15" s="131">
        <f t="shared" ref="D15:D27" si="0">ROUND((C15/$C$28)*100,1)</f>
        <v>12.9</v>
      </c>
    </row>
    <row r="16" spans="1:4" x14ac:dyDescent="0.2">
      <c r="A16">
        <v>2200</v>
      </c>
      <c r="B16" t="s">
        <v>707</v>
      </c>
      <c r="C16" s="128">
        <f>ROUND('DOE25'!L204+'DOE25'!L222+'DOE25'!L240+'DOE25'!L283+'DOE25'!L302+'DOE25'!L321,0)</f>
        <v>1205428</v>
      </c>
      <c r="D16" s="131">
        <f t="shared" si="0"/>
        <v>5.5</v>
      </c>
    </row>
    <row r="17" spans="1:4" x14ac:dyDescent="0.2">
      <c r="A17" s="132" t="s">
        <v>723</v>
      </c>
      <c r="B17" t="s">
        <v>738</v>
      </c>
      <c r="C17" s="128">
        <f>ROUND('DOE25'!L205+'DOE25'!L210+'DOE25'!L223+'DOE25'!L228+'DOE25'!L241+'DOE25'!L246+'DOE25'!L284+'DOE25'!L289+'DOE25'!L303+'DOE25'!L308+'DOE25'!L322+'DOE25'!L327,0)</f>
        <v>961728</v>
      </c>
      <c r="D17" s="131">
        <f t="shared" si="0"/>
        <v>4.4000000000000004</v>
      </c>
    </row>
    <row r="18" spans="1:4" x14ac:dyDescent="0.2">
      <c r="A18">
        <v>2400</v>
      </c>
      <c r="B18" t="s">
        <v>711</v>
      </c>
      <c r="C18" s="128">
        <f>ROUND('DOE25'!L206+'DOE25'!L224+'DOE25'!L242+'DOE25'!L285+'DOE25'!L304+'DOE25'!L323,0)</f>
        <v>1513406</v>
      </c>
      <c r="D18" s="131">
        <f t="shared" si="0"/>
        <v>6.9</v>
      </c>
    </row>
    <row r="19" spans="1:4" x14ac:dyDescent="0.2">
      <c r="A19">
        <v>2500</v>
      </c>
      <c r="B19" t="s">
        <v>708</v>
      </c>
      <c r="C19" s="128">
        <f>ROUND('DOE25'!L207+'DOE25'!L225+'DOE25'!L243+'DOE25'!L286+'DOE25'!L305+'DOE25'!L324,0)</f>
        <v>493377</v>
      </c>
      <c r="D19" s="131">
        <f t="shared" si="0"/>
        <v>2.2999999999999998</v>
      </c>
    </row>
    <row r="20" spans="1:4" x14ac:dyDescent="0.2">
      <c r="A20">
        <v>2600</v>
      </c>
      <c r="B20" t="s">
        <v>709</v>
      </c>
      <c r="C20" s="128">
        <f>ROUND('DOE25'!L208+'DOE25'!L226+'DOE25'!L244+'DOE25'!L287+'DOE25'!L306+'DOE25'!L325,0)</f>
        <v>2550664</v>
      </c>
      <c r="D20" s="131">
        <f t="shared" si="0"/>
        <v>11.7</v>
      </c>
    </row>
    <row r="21" spans="1:4" x14ac:dyDescent="0.2">
      <c r="A21">
        <v>2700</v>
      </c>
      <c r="B21" t="s">
        <v>710</v>
      </c>
      <c r="C21" s="128">
        <f>ROUND('DOE25'!L209+'DOE25'!L227+'DOE25'!L245+'DOE25'!L288+'DOE25'!L307+'DOE25'!L326,0)</f>
        <v>730300</v>
      </c>
      <c r="D21" s="131">
        <f t="shared" si="0"/>
        <v>3.3</v>
      </c>
    </row>
    <row r="22" spans="1:4" x14ac:dyDescent="0.2">
      <c r="A22">
        <v>2900</v>
      </c>
      <c r="B22" t="s">
        <v>712</v>
      </c>
      <c r="C22" s="128">
        <v>0</v>
      </c>
      <c r="D22" s="131">
        <f t="shared" si="0"/>
        <v>0</v>
      </c>
    </row>
    <row r="23" spans="1:4" x14ac:dyDescent="0.2">
      <c r="A23">
        <v>1500</v>
      </c>
      <c r="B23" t="s">
        <v>714</v>
      </c>
      <c r="C23" s="128">
        <f>ROUND('DOE25'!L251+'DOE25'!L333,0)</f>
        <v>4805</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131308</v>
      </c>
      <c r="D25" s="131">
        <f t="shared" si="0"/>
        <v>0.6</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387943.23</v>
      </c>
      <c r="D27" s="131">
        <f t="shared" si="0"/>
        <v>1.8</v>
      </c>
    </row>
    <row r="28" spans="1:4" x14ac:dyDescent="0.2">
      <c r="B28" s="135" t="s">
        <v>719</v>
      </c>
      <c r="C28" s="129">
        <f>SUM(C10:C27)</f>
        <v>21849130.23</v>
      </c>
      <c r="D28" s="133">
        <f>ROUND(SUM(D10:D27),0)</f>
        <v>100</v>
      </c>
    </row>
    <row r="29" spans="1:4" x14ac:dyDescent="0.2">
      <c r="A29">
        <v>4000</v>
      </c>
      <c r="B29" t="s">
        <v>724</v>
      </c>
      <c r="C29" s="128">
        <f>ROUND('DOE25'!L256+'DOE25'!L337+'DOE25'!L375+'DOE25'!L376+'DOE25'!L377+'DOE25'!L378+'DOE25'!L379+'DOE25'!L380+'DOE25'!L381,0)</f>
        <v>9391285</v>
      </c>
    </row>
    <row r="30" spans="1:4" x14ac:dyDescent="0.2">
      <c r="B30" s="135" t="s">
        <v>725</v>
      </c>
      <c r="C30" s="129">
        <f>SUM(C28:C29)</f>
        <v>31240415.23</v>
      </c>
    </row>
    <row r="31" spans="1:4" x14ac:dyDescent="0.2">
      <c r="B31" s="32"/>
      <c r="C31" s="129"/>
    </row>
    <row r="32" spans="1:4" x14ac:dyDescent="0.2">
      <c r="A32">
        <v>5100</v>
      </c>
      <c r="B32" s="32" t="s">
        <v>726</v>
      </c>
      <c r="C32" s="129">
        <f>ROUND('DOE25'!L261+'DOE25'!L342,0)</f>
        <v>593200</v>
      </c>
    </row>
    <row r="34" spans="1:4" x14ac:dyDescent="0.2">
      <c r="A34" s="135" t="s">
        <v>94</v>
      </c>
      <c r="B34" s="136" t="s">
        <v>1794</v>
      </c>
      <c r="C34" s="130" t="s">
        <v>720</v>
      </c>
      <c r="D34" s="130" t="s">
        <v>721</v>
      </c>
    </row>
    <row r="35" spans="1:4" x14ac:dyDescent="0.2">
      <c r="A35">
        <v>1100</v>
      </c>
      <c r="B35" s="71" t="s">
        <v>727</v>
      </c>
      <c r="C35" s="128">
        <f>ROUND('DOE25'!F60+'DOE25'!G60+'DOE25'!H60+'DOE25'!I60+'DOE25'!J60,0)</f>
        <v>9504536</v>
      </c>
      <c r="D35" s="131">
        <f t="shared" ref="D35:D40" si="1">ROUND((C35/$C$41)*100,1)</f>
        <v>30.6</v>
      </c>
    </row>
    <row r="36" spans="1:4" x14ac:dyDescent="0.2">
      <c r="B36" s="71" t="s">
        <v>739</v>
      </c>
      <c r="C36" s="128">
        <f>SUM('DOE25'!F112:J112)-SUM('DOE25'!G97:G110)+('DOE25'!F175+'DOE25'!F176+'DOE25'!I175+'DOE25'!I176)-C35</f>
        <v>1787710.7799999993</v>
      </c>
      <c r="D36" s="131">
        <f t="shared" si="1"/>
        <v>5.8</v>
      </c>
    </row>
    <row r="37" spans="1:4" x14ac:dyDescent="0.2">
      <c r="A37" s="132" t="s">
        <v>831</v>
      </c>
      <c r="B37" s="71" t="s">
        <v>728</v>
      </c>
      <c r="C37" s="128">
        <f>ROUND('DOE25'!F117+'DOE25'!F118,0)</f>
        <v>8376525</v>
      </c>
      <c r="D37" s="131">
        <f t="shared" si="1"/>
        <v>27</v>
      </c>
    </row>
    <row r="38" spans="1:4" x14ac:dyDescent="0.2">
      <c r="A38" s="132" t="s">
        <v>734</v>
      </c>
      <c r="B38" s="71" t="s">
        <v>729</v>
      </c>
      <c r="C38" s="128">
        <f>ROUND(SUM('DOE25'!F140:J140)-SUM('DOE25'!F117:F119),0)</f>
        <v>6265944</v>
      </c>
      <c r="D38" s="131">
        <f t="shared" si="1"/>
        <v>20.2</v>
      </c>
    </row>
    <row r="39" spans="1:4" x14ac:dyDescent="0.2">
      <c r="A39">
        <v>4000</v>
      </c>
      <c r="B39" s="71" t="s">
        <v>730</v>
      </c>
      <c r="C39" s="128">
        <f>ROUND('DOE25'!F170+'DOE25'!G170+'DOE25'!H170+'DOE25'!I170,0)</f>
        <v>5100227</v>
      </c>
      <c r="D39" s="131">
        <f t="shared" si="1"/>
        <v>16.399999999999999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31034942.780000001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Newport</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259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52</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67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f>IFERROR(SMALL($T$4:$T$95,ROWS($T$4:T5)),"")</f>
        <v>53</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f>IFERROR(SMALL(AE5:$AE$125,ROWS($AE$4:AE5)),"")</f>
        <v>68</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f>IF('School Level Expenditures'!$B$2='School Tables'!L55,'School Tables'!S55,"")</f>
        <v>52</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f>IF('School Level Expenditures'!$B$2='School Tables'!L56,'School Tables'!S56,"")</f>
        <v>53</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f>IF('School Level Expenditures'!$B$2='School Tables'!W70,'School Tables'!AD70,"")</f>
        <v>67</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f>IF('School Level Expenditures'!$B$2='School Tables'!W71,'School Tables'!AD71,"")</f>
        <v>68</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f>IF('School Level Expenditures'!$B$2=A262,'School Tables'!H262,"")</f>
        <v>259</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2024-09-30T14:00:34Z</cp:lastPrinted>
  <dcterms:created xsi:type="dcterms:W3CDTF">1997-12-04T19:04:30Z</dcterms:created>
  <dcterms:modified xsi:type="dcterms:W3CDTF">2024-12-20T19:20:50Z</dcterms:modified>
</cp:coreProperties>
</file>