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5471DCD3-FA30-4DE2-8022-9B5FADADFE78}"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40" i="14" l="1"/>
  <c r="P40" i="14"/>
  <c r="O40" i="14"/>
  <c r="G469" i="1"/>
  <c r="G180" i="1"/>
  <c r="K264" i="1"/>
  <c r="F474" i="1"/>
  <c r="F473" i="1"/>
  <c r="F23" i="1" l="1"/>
  <c r="F22" i="1"/>
  <c r="F30" i="1"/>
  <c r="F12" i="1"/>
  <c r="G22" i="1"/>
  <c r="J592" i="1" l="1"/>
  <c r="J522" i="1" l="1"/>
  <c r="I522" i="1"/>
  <c r="H524" i="1"/>
  <c r="H522" i="1"/>
  <c r="G524" i="1"/>
  <c r="G522" i="1"/>
  <c r="F522" i="1"/>
  <c r="F524" i="1"/>
  <c r="H542" i="1"/>
  <c r="Q6" i="14" l="1"/>
  <c r="P6" i="14"/>
  <c r="N40" i="14"/>
  <c r="M40" i="14"/>
  <c r="L40" i="14"/>
  <c r="K40" i="14"/>
  <c r="K39" i="14"/>
  <c r="P7" i="14"/>
  <c r="O7" i="14"/>
  <c r="O6" i="14"/>
  <c r="B12" i="12"/>
  <c r="B10" i="12"/>
  <c r="M7" i="14"/>
  <c r="M6" i="14"/>
  <c r="L7" i="14"/>
  <c r="L6" i="14"/>
  <c r="K7" i="14" l="1"/>
  <c r="K6" i="14"/>
  <c r="K5" i="14"/>
  <c r="D7" i="14"/>
  <c r="D6" i="14"/>
  <c r="D40" i="14"/>
  <c r="E5" i="14"/>
  <c r="D5" i="14"/>
  <c r="D39" i="14"/>
  <c r="C37" i="12"/>
  <c r="C39" i="12"/>
  <c r="C38" i="12"/>
  <c r="C19" i="12"/>
  <c r="C20" i="12"/>
  <c r="C21" i="12"/>
  <c r="C10" i="12"/>
  <c r="B11" i="12"/>
  <c r="F39" i="13" l="1"/>
  <c r="E9" i="17"/>
  <c r="H469" i="1" l="1"/>
  <c r="H473" i="1"/>
  <c r="G473" i="1"/>
  <c r="J469" i="1" l="1"/>
  <c r="H605" i="1" l="1"/>
  <c r="H592" i="1"/>
  <c r="F583" i="1"/>
  <c r="F278" i="1"/>
  <c r="G278" i="1"/>
  <c r="F323" i="1"/>
  <c r="G323" i="1"/>
  <c r="G287" i="1"/>
  <c r="F287" i="1"/>
  <c r="G325" i="1"/>
  <c r="F325" i="1"/>
  <c r="G334" i="1"/>
  <c r="H316" i="1"/>
  <c r="G316" i="1"/>
  <c r="J278" i="1"/>
  <c r="I278" i="1"/>
  <c r="J315" i="1"/>
  <c r="J277" i="1"/>
  <c r="H110" i="1"/>
  <c r="H145" i="1"/>
  <c r="H155" i="1"/>
  <c r="H159" i="1"/>
  <c r="H157" i="1"/>
  <c r="H154" i="1"/>
  <c r="H162" i="1"/>
  <c r="H361" i="1"/>
  <c r="H359" i="1"/>
  <c r="F469" i="1"/>
  <c r="B36" i="16"/>
  <c r="G158" i="1" l="1"/>
  <c r="H241" i="1" l="1"/>
  <c r="H205" i="1"/>
  <c r="I204" i="1"/>
  <c r="H240" i="1"/>
  <c r="H204" i="1"/>
  <c r="K203" i="1"/>
  <c r="I237" i="1"/>
  <c r="H237" i="1"/>
  <c r="G237" i="1"/>
  <c r="K201" i="1"/>
  <c r="I201" i="1"/>
  <c r="H201" i="1"/>
  <c r="G201" i="1"/>
  <c r="F201" i="1"/>
  <c r="I235" i="1"/>
  <c r="H235" i="1"/>
  <c r="F166" i="1"/>
  <c r="F9" i="1" l="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C11" i="14" s="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E112" i="2" s="1"/>
  <c r="L301" i="1"/>
  <c r="L302" i="1"/>
  <c r="L303" i="1"/>
  <c r="L304" i="1"/>
  <c r="L305" i="1"/>
  <c r="L306" i="1"/>
  <c r="L307" i="1"/>
  <c r="G663" i="1" s="1"/>
  <c r="L308" i="1"/>
  <c r="E125" i="2" s="1"/>
  <c r="L315" i="1"/>
  <c r="L316" i="1"/>
  <c r="L317" i="1"/>
  <c r="L318" i="1"/>
  <c r="L320" i="1"/>
  <c r="L321" i="1"/>
  <c r="L322" i="1"/>
  <c r="E120" i="2" s="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J111" i="1"/>
  <c r="F121" i="1"/>
  <c r="F136" i="1"/>
  <c r="G121" i="1"/>
  <c r="G136" i="1"/>
  <c r="H121" i="1"/>
  <c r="H136" i="1"/>
  <c r="I121" i="1"/>
  <c r="I136" i="1"/>
  <c r="J121" i="1"/>
  <c r="J136" i="1"/>
  <c r="F147" i="1"/>
  <c r="F170" i="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51" i="1"/>
  <c r="G652" i="1"/>
  <c r="H653" i="1"/>
  <c r="G654" i="1"/>
  <c r="H654" i="1"/>
  <c r="H655" i="1"/>
  <c r="H656" i="1"/>
  <c r="C13" i="10" l="1"/>
  <c r="C125" i="2"/>
  <c r="J140" i="1"/>
  <c r="H87" i="2"/>
  <c r="H26" i="2"/>
  <c r="H93" i="2"/>
  <c r="H80" i="2"/>
  <c r="H22" i="2"/>
  <c r="H72" i="2"/>
  <c r="I112" i="1"/>
  <c r="E124" i="2"/>
  <c r="I170" i="1"/>
  <c r="C32" i="10"/>
  <c r="C12" i="10"/>
  <c r="H102" i="2"/>
  <c r="F409" i="1"/>
  <c r="H644" i="1" s="1"/>
  <c r="J644" i="1" s="1"/>
  <c r="H94" i="2"/>
  <c r="H25" i="2"/>
  <c r="H140" i="1"/>
  <c r="I409" i="1"/>
  <c r="D18" i="13"/>
  <c r="C18" i="13" s="1"/>
  <c r="H47" i="2"/>
  <c r="D144" i="2"/>
  <c r="H97" i="2"/>
  <c r="H9" i="2"/>
  <c r="H73" i="2"/>
  <c r="H89" i="2"/>
  <c r="H30" i="2"/>
  <c r="H79" i="2"/>
  <c r="H27" i="2"/>
  <c r="H12" i="2"/>
  <c r="E13" i="13"/>
  <c r="C13" i="13" s="1"/>
  <c r="H100" i="2"/>
  <c r="H99" i="2"/>
  <c r="H23" i="2"/>
  <c r="H15" i="2"/>
  <c r="H143" i="2"/>
  <c r="H132" i="2"/>
  <c r="H36" i="2"/>
  <c r="H43" i="2"/>
  <c r="H48" i="2"/>
  <c r="H24" i="2"/>
  <c r="H28" i="2"/>
  <c r="H137" i="2"/>
  <c r="H125" i="2"/>
  <c r="H59" i="2"/>
  <c r="H35" i="2"/>
  <c r="H69" i="2"/>
  <c r="H17" i="2"/>
  <c r="H34" i="2"/>
  <c r="H101" i="2"/>
  <c r="H98" i="2"/>
  <c r="H76" i="2"/>
  <c r="H58" i="2"/>
  <c r="H11" i="2"/>
  <c r="H113" i="2"/>
  <c r="H38" i="2"/>
  <c r="H44" i="2"/>
  <c r="H135" i="2"/>
  <c r="J112" i="1"/>
  <c r="G62" i="2"/>
  <c r="G63" i="2" s="1"/>
  <c r="H96" i="2"/>
  <c r="G646" i="1"/>
  <c r="J652" i="1"/>
  <c r="H112" i="2"/>
  <c r="H61" i="2"/>
  <c r="G477" i="1"/>
  <c r="B33" i="16" s="1"/>
  <c r="H8" i="2"/>
  <c r="G409" i="1"/>
  <c r="H646" i="1" s="1"/>
  <c r="G662" i="1"/>
  <c r="D29" i="13"/>
  <c r="C29" i="13" s="1"/>
  <c r="D78" i="2"/>
  <c r="D81" i="2" s="1"/>
  <c r="H77" i="2"/>
  <c r="D15" i="13"/>
  <c r="C15" i="13" s="1"/>
  <c r="C120" i="2"/>
  <c r="H120" i="2" s="1"/>
  <c r="C119" i="2"/>
  <c r="K2" i="14"/>
  <c r="K3" i="14" s="1"/>
  <c r="K36" i="14"/>
  <c r="K37" i="14" s="1"/>
  <c r="H13" i="2"/>
  <c r="H29"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J51" i="1"/>
  <c r="G16" i="2"/>
  <c r="G18" i="2" s="1"/>
  <c r="J19" i="1"/>
  <c r="G622" i="1" s="1"/>
  <c r="F546" i="1"/>
  <c r="H435" i="1"/>
  <c r="D103" i="2"/>
  <c r="I140" i="1"/>
  <c r="A22" i="12"/>
  <c r="J653" i="1"/>
  <c r="G572" i="1"/>
  <c r="I435" i="1"/>
  <c r="G435" i="1"/>
  <c r="I664" i="1"/>
  <c r="J646" i="1" l="1"/>
  <c r="I663" i="1"/>
  <c r="L572" i="1"/>
  <c r="H124" i="2"/>
  <c r="H114" i="2"/>
  <c r="E144" i="2"/>
  <c r="H78" i="2"/>
  <c r="H134" i="2"/>
  <c r="H122" i="2"/>
  <c r="H21" i="2"/>
  <c r="H16" i="2"/>
  <c r="H57" i="2"/>
  <c r="H103" i="2"/>
  <c r="H624" i="1"/>
  <c r="J624" i="1" s="1"/>
  <c r="D51" i="2"/>
  <c r="H123" i="2"/>
  <c r="E91" i="2"/>
  <c r="H91" i="2" s="1"/>
  <c r="H85" i="2"/>
  <c r="G50" i="2"/>
  <c r="G51" i="2" s="1"/>
  <c r="H42" i="2"/>
  <c r="I662" i="1"/>
  <c r="D128" i="2"/>
  <c r="D145" i="2" s="1"/>
  <c r="H127" i="2"/>
  <c r="H62" i="2"/>
  <c r="H119" i="2"/>
  <c r="C81" i="2"/>
  <c r="H81" i="2" s="1"/>
  <c r="F194" i="1"/>
  <c r="G628" i="1" s="1"/>
  <c r="J628" i="1" s="1"/>
  <c r="H18" i="2"/>
  <c r="H31"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E104" i="2" l="1"/>
  <c r="H50" i="2"/>
  <c r="H51" i="2"/>
  <c r="C144" i="2"/>
  <c r="C145" i="2" s="1"/>
  <c r="H141" i="2"/>
  <c r="C104" i="2"/>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04" i="2" l="1"/>
  <c r="H144" i="2"/>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<sst xmlns="http://schemas.openxmlformats.org/spreadsheetml/2006/main" count="6644" uniqueCount="1846">
  <si>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</si>
  <si>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</si>
  <si>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</si>
  <si>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</si>
  <si>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</si>
  <si>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</si>
  <si>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</si>
  <si>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</si>
  <si>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</si>
  <si>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</si>
  <si>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</si>
  <si>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</si>
  <si>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</si>
  <si>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</si>
  <si>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</si>
  <si>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</si>
  <si>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</si>
  <si>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</si>
  <si>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</si>
  <si>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</si>
  <si>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</si>
  <si>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</si>
  <si>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</si>
  <si>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</si>
  <si>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</si>
  <si>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</si>
  <si>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</si>
  <si>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</si>
  <si>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</si>
  <si>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</si>
  <si>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</si>
  <si>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</si>
  <si>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</si>
  <si>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</si>
  <si>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</si>
  <si>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</si>
  <si>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</si>
  <si>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</si>
  <si>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</si>
  <si>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</si>
  <si>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</si>
  <si>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</si>
  <si>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</si>
  <si>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</si>
  <si>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</si>
  <si>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</si>
  <si>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</si>
  <si>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</si>
  <si>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</si>
  <si>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</si>
  <si>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</si>
  <si>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</si>
  <si>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</si>
  <si>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</si>
  <si>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</si>
  <si>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</si>
  <si>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</si>
  <si>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</si>
  <si>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</si>
  <si>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</si>
  <si>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</si>
  <si>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</si>
  <si>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</si>
  <si>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</si>
  <si>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</si>
  <si>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</si>
  <si>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</si>
  <si>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</si>
  <si>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</si>
  <si>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</si>
  <si>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</si>
  <si>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</si>
  <si>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</si>
  <si>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</si>
  <si>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</si>
  <si>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</si>
  <si>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</si>
  <si>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</si>
  <si>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</si>
  <si>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</si>
  <si>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</si>
  <si>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</si>
  <si>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</si>
  <si>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</si>
  <si>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</si>
  <si>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</si>
  <si>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</si>
  <si>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</si>
  <si>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</si>
  <si>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</si>
  <si>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</si>
  <si>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</si>
  <si>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</si>
  <si>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</si>
  <si>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</si>
  <si>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</si>
  <si>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</si>
  <si>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</si>
  <si>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</si>
  <si>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</si>
  <si>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</si>
  <si>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</si>
  <si>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</si>
  <si>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</si>
  <si>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</si>
  <si>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</si>
  <si>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</si>
  <si>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</si>
  <si>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</si>
  <si>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</si>
  <si>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</si>
  <si>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</si>
  <si>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</si>
  <si>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</si>
  <si>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</si>
  <si>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</si>
  <si>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</si>
  <si>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</si>
  <si>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</si>
  <si>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</si>
  <si>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</si>
  <si>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</si>
  <si>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</si>
  <si>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</si>
  <si>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</si>
  <si>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</si>
  <si>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</si>
  <si>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</si>
  <si>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</si>
  <si>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</si>
  <si>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</si>
  <si>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</si>
  <si>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</si>
  <si>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</si>
  <si>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</si>
  <si>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</si>
  <si>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</si>
  <si>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</si>
  <si>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</si>
  <si>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</si>
  <si>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</si>
  <si>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</si>
  <si>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</si>
  <si>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</si>
  <si>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</si>
  <si>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</si>
  <si>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</si>
  <si>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</si>
  <si>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</si>
  <si>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</si>
  <si>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</si>
  <si>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</si>
  <si>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</si>
  <si>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</si>
  <si>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</si>
  <si>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</si>
  <si>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</si>
  <si>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</si>
  <si>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</si>
  <si>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</si>
  <si>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</si>
  <si>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</si>
  <si>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</si>
  <si>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</si>
  <si>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</si>
  <si>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</si>
  <si>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</si>
  <si>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</si>
  <si>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</si>
  <si>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</si>
  <si>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</si>
  <si>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</si>
  <si>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</si>
  <si>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</si>
  <si>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</si>
  <si>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</si>
  <si>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</si>
  <si>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</si>
  <si>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</si>
  <si>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</si>
  <si>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</si>
  <si>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</si>
  <si>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</si>
  <si>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</si>
  <si>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</si>
  <si>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</si>
  <si>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</si>
  <si>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</si>
  <si>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</si>
  <si>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</si>
  <si>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</si>
  <si>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</si>
  <si>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</si>
  <si>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</si>
  <si>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</si>
  <si>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</si>
  <si>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</si>
  <si>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</si>
  <si>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</si>
  <si>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</si>
  <si>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</si>
  <si>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</si>
  <si>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</si>
  <si>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</si>
  <si>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</si>
  <si>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</si>
  <si>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</si>
  <si>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</si>
  <si>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</si>
  <si>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</si>
  <si>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</si>
  <si>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</si>
  <si>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</si>
  <si>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</si>
  <si>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</si>
  <si>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</si>
  <si>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</si>
  <si>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</si>
  <si>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</si>
  <si>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</si>
  <si>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</si>
  <si>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</si>
  <si>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</si>
  <si>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</si>
  <si>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</si>
  <si>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</si>
  <si>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</si>
  <si>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</si>
  <si>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</si>
  <si>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</si>
  <si>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</si>
  <si>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</si>
  <si>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</si>
  <si>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</si>
  <si>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</si>
  <si>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</si>
  <si>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</si>
  <si>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</si>
  <si>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</si>
  <si>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</si>
  <si>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</si>
  <si>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</si>
  <si>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</si>
  <si>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</si>
  <si>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</si>
  <si>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</si>
  <si>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</si>
  <si>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</si>
  <si>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</si>
  <si>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</si>
  <si>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</si>
  <si>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</si>
  <si>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</si>
  <si>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</si>
  <si>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</si>
  <si>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</si>
  <si>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</si>
  <si>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</si>
  <si>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</si>
  <si>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</si>
  <si>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</si>
  <si>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</si>
  <si>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</si>
  <si>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</si>
  <si>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</si>
  <si>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</si>
  <si>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</si>
  <si>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</si>
  <si>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</si>
  <si>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</si>
  <si>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</si>
  <si>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</si>
  <si>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</si>
  <si>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</si>
  <si>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</si>
  <si>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</si>
  <si>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</si>
  <si>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</si>
  <si>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</si>
  <si>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</si>
  <si>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</si>
  <si>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</si>
  <si>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</si>
  <si>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</si>
  <si>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</si>
  <si>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</si>
  <si>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</si>
  <si>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</si>
  <si>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</si>
  <si>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</si>
  <si>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</si>
  <si>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</si>
  <si>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</si>
  <si>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</si>
  <si>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</si>
  <si>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</si>
  <si>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</si>
  <si>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</si>
  <si>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</si>
  <si>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</si>
  <si>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</si>
  <si>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</si>
  <si>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</si>
  <si>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</si>
  <si>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</si>
  <si>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</si>
  <si>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</si>
  <si>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</si>
  <si>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</si>
  <si>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</si>
  <si>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</si>
  <si>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</si>
  <si>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</si>
  <si>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</si>
  <si>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</si>
  <si>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</si>
  <si>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</si>
  <si>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</si>
  <si>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</si>
  <si>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</si>
  <si>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</si>
  <si>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</si>
  <si>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</si>
  <si>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</si>
  <si>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</si>
  <si>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</si>
  <si>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</si>
  <si>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</si>
  <si>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</si>
  <si>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</si>
  <si>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</si>
  <si>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</si>
  <si>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</si>
  <si>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</si>
  <si>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</si>
  <si>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</si>
  <si>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</si>
  <si>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</si>
  <si>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</si>
  <si>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</si>
  <si>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</si>
  <si>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</si>
  <si>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</si>
  <si>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</si>
  <si>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</si>
  <si>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</si>
  <si>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</si>
  <si>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</si>
  <si>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</si>
  <si>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</si>
  <si>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</si>
  <si>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</si>
  <si>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</si>
  <si>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</si>
  <si>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</si>
  <si>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</si>
  <si>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</si>
  <si>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</si>
  <si>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</si>
  <si>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</si>
  <si>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</si>
  <si>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</si>
  <si>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</si>
  <si>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</si>
  <si>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</si>
  <si>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</si>
  <si>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</si>
  <si>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</si>
  <si>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</si>
  <si>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</si>
  <si>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</si>
  <si>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</si>
  <si>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</si>
  <si>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</si>
  <si>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</si>
  <si>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</si>
  <si>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</si>
  <si>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</si>
  <si>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</si>
  <si>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</si>
  <si>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</si>
  <si>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</si>
  <si>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</si>
  <si>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</si>
  <si>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</si>
  <si>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</si>
  <si>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</si>
  <si>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</si>
  <si>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</si>
  <si>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</si>
  <si>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</si>
  <si>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</si>
  <si>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</si>
  <si>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</si>
  <si>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</si>
  <si>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</si>
  <si>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</si>
  <si>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</si>
  <si>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</si>
  <si>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</si>
  <si>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</si>
  <si>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</si>
  <si>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</si>
  <si>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</si>
  <si>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</si>
  <si>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</si>
  <si>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</si>
  <si>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</si>
  <si>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</si>
  <si>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</si>
  <si>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</si>
  <si>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</si>
  <si>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</si>
  <si>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</si>
  <si>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</si>
  <si>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</si>
  <si>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</si>
  <si>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</si>
  <si>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</si>
  <si>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</si>
  <si>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</si>
  <si>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</si>
  <si>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</si>
  <si>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</si>
  <si>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</si>
  <si>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</si>
  <si>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</si>
  <si>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</si>
  <si>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</si>
  <si>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</si>
  <si>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</si>
  <si>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</si>
  <si>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</si>
  <si>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</si>
  <si>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</si>
  <si>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</si>
  <si>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</si>
  <si>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</si>
  <si>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</si>
  <si>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</si>
  <si>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</si>
  <si>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</si>
  <si>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</si>
  <si>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</si>
  <si>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</si>
  <si>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</si>
  <si>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</si>
  <si>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</si>
  <si>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</si>
  <si>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</si>
  <si>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</si>
  <si>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</si>
  <si>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</si>
  <si>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</si>
  <si>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</si>
  <si>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</si>
  <si>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</si>
  <si>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</si>
  <si>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</si>
  <si>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</si>
  <si>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</si>
  <si>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</si>
  <si>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</si>
  <si>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</si>
  <si>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</si>
  <si>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</si>
  <si>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</si>
  <si>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</si>
  <si>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</si>
  <si>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</si>
  <si>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</si>
  <si>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</si>
  <si>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</si>
  <si>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</si>
  <si>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</si>
  <si>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</si>
  <si>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</si>
  <si>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</si>
  <si>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</si>
  <si>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</si>
  <si>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</si>
  <si>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</si>
  <si>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</si>
  <si>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</si>
  <si>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</si>
  <si>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</si>
  <si>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</si>
  <si>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</si>
  <si>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</si>
  <si>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</si>
  <si>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</si>
  <si>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</si>
  <si>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</si>
  <si>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</si>
  <si>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</si>
  <si>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</si>
  <si>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</si>
  <si>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</si>
  <si>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</si>
  <si>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</si>
  <si>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</si>
  <si>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</si>
  <si>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</si>
  <si>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</si>
  <si>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</si>
  <si>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</si>
  <si>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</si>
  <si>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</si>
  <si>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</si>
  <si>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</si>
  <si>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</si>
  <si>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</si>
  <si>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</si>
  <si>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</si>
  <si>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</si>
  <si>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</si>
  <si>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</si>
  <si>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</si>
  <si>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</si>
  <si>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</si>
  <si>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</si>
  <si>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</si>
  <si>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</si>
  <si>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</si>
  <si>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</si>
  <si>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</si>
  <si>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</si>
  <si>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</si>
  <si>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</si>
  <si>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</si>
  <si>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</si>
  <si>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</si>
  <si>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</si>
  <si>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</si>
  <si>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</si>
  <si>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</si>
  <si>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</si>
  <si>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</si>
  <si>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</si>
  <si>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</si>
  <si>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</si>
  <si>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</si>
  <si>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</si>
  <si>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</si>
  <si>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</si>
  <si>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</si>
  <si>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</si>
  <si>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</si>
  <si>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</si>
  <si>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</si>
  <si>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</si>
  <si>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</si>
  <si>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</si>
  <si>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</si>
  <si>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</si>
  <si>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</si>
  <si>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</si>
  <si>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</si>
  <si>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</si>
  <si>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</si>
  <si>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</si>
  <si>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</si>
  <si>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</si>
  <si>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</si>
  <si>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</si>
  <si>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</si>
  <si>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</si>
  <si>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</si>
  <si>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</si>
  <si>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</si>
  <si>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</si>
  <si>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</si>
  <si>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</si>
  <si>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</si>
  <si>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</si>
  <si>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</si>
  <si>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</si>
  <si>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</si>
  <si>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</si>
  <si>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</si>
  <si>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</si>
  <si>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</si>
  <si>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</si>
  <si>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</si>
  <si>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</si>
  <si>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</si>
  <si>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</si>
  <si>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</si>
  <si>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</si>
  <si>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</si>
  <si>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</si>
  <si>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</si>
  <si>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</si>
  <si>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</si>
  <si>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</si>
  <si>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</si>
  <si>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</si>
  <si>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</si>
  <si>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</si>
  <si>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</si>
  <si>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</si>
  <si>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</si>
  <si>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</si>
  <si>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</si>
  <si>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</si>
  <si>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</si>
  <si>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</si>
  <si>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</si>
  <si>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</si>
  <si>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</si>
  <si>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</si>
  <si>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</si>
  <si>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</si>
  <si>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</si>
  <si>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</si>
  <si>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</si>
  <si>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</si>
  <si>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</si>
  <si>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</si>
  <si>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</si>
  <si>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</si>
  <si>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</si>
  <si>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</si>
  <si>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</si>
  <si>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</si>
  <si>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</si>
  <si>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</si>
  <si>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</si>
  <si>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</si>
  <si>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</si>
  <si>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</si>
  <si>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</si>
  <si>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</si>
  <si>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</si>
  <si>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</si>
  <si>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</si>
  <si>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</si>
  <si>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</si>
  <si>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</si>
  <si>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</si>
  <si>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</si>
  <si>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</si>
  <si>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</si>
  <si>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</si>
  <si>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</si>
  <si>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</si>
  <si>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</si>
  <si>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</si>
  <si>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</si>
  <si>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</si>
  <si>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</si>
  <si>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</si>
  <si>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</si>
  <si>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</si>
  <si>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</si>
  <si>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</si>
  <si>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</si>
  <si>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</si>
  <si>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</si>
  <si>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</si>
  <si>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</si>
  <si>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</si>
  <si>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</si>
  <si>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</si>
  <si>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</si>
  <si>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</si>
  <si>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</si>
  <si>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</si>
  <si>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</si>
  <si>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</si>
  <si>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</si>
  <si>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</si>
  <si>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</si>
  <si>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</si>
  <si>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</si>
  <si>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</si>
  <si>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</si>
  <si>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</si>
  <si>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</si>
  <si>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</si>
  <si>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</si>
  <si>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</si>
  <si>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</si>
  <si>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</si>
  <si>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</si>
  <si>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</si>
  <si>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</si>
  <si>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</si>
  <si>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</si>
  <si>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</si>
  <si>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</si>
  <si>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</si>
  <si>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</si>
  <si>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</si>
  <si>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</si>
  <si>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</si>
  <si>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</si>
  <si>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</si>
  <si>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</si>
  <si>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</si>
  <si>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</si>
  <si>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</si>
  <si>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</si>
  <si>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</si>
  <si>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</si>
  <si>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</si>
  <si>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</si>
  <si>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</si>
  <si>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</si>
  <si>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</si>
  <si>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</si>
  <si>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</si>
  <si>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</si>
  <si>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</si>
  <si>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</si>
  <si>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</si>
  <si>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</si>
  <si>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</si>
  <si>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</si>
  <si>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</si>
  <si>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</si>
  <si>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</si>
  <si>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</si>
  <si>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</si>
  <si>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</si>
  <si>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</si>
  <si>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</si>
  <si>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</si>
  <si>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</si>
  <si>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</si>
  <si>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</si>
  <si>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</si>
  <si>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</si>
  <si>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</si>
  <si>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</si>
  <si>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</si>
  <si>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</si>
  <si>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</si>
  <si>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</si>
  <si>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</si>
  <si>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</si>
  <si>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</si>
  <si>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</si>
  <si>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</si>
  <si>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</si>
  <si>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</si>
  <si>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</si>
  <si>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</si>
  <si>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</si>
  <si>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</si>
  <si>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</si>
  <si>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</si>
  <si>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</si>
  <si>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</si>
  <si>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</si>
  <si>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</si>
  <si>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</si>
  <si>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</si>
  <si>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</si>
  <si>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</si>
  <si>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</si>
  <si>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</si>
  <si>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</si>
  <si>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</si>
  <si>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</si>
  <si>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</si>
  <si>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</si>
  <si>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</si>
  <si>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</si>
  <si>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</si>
  <si>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</si>
  <si>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</si>
  <si>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</si>
  <si>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</si>
  <si>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</si>
  <si>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</si>
  <si>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</si>
  <si>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</si>
  <si>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</si>
  <si>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</si>
  <si>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</si>
  <si>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</si>
  <si>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</si>
  <si>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</si>
  <si>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</si>
  <si>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</si>
  <si>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</si>
  <si>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</si>
  <si>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</si>
  <si>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</si>
  <si>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</si>
  <si>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</si>
  <si>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</si>
  <si>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</si>
  <si>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</si>
  <si>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</si>
  <si>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</si>
  <si>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</si>
  <si>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</si>
  <si>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</si>
  <si>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</si>
  <si>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</si>
  <si>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</si>
  <si>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</si>
  <si>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</si>
  <si>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</si>
  <si>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</si>
  <si>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</si>
  <si>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</si>
  <si>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</si>
  <si>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</si>
  <si>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</si>
  <si>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</si>
  <si>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</si>
  <si>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</si>
  <si>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</si>
  <si>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</si>
  <si>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</si>
  <si>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</si>
  <si>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</si>
  <si>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</si>
  <si>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</si>
  <si>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</si>
  <si>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</si>
  <si>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</si>
  <si>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</si>
  <si>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</si>
  <si>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</si>
  <si>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</si>
  <si>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</si>
  <si>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</si>
  <si>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</si>
  <si>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</si>
  <si>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</si>
  <si>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</si>
  <si>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</si>
  <si>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</si>
  <si>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</si>
  <si>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</si>
  <si>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</si>
  <si>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</si>
  <si>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</si>
  <si>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</si>
  <si>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</si>
  <si>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</si>
  <si>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</si>
  <si>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</si>
  <si>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</si>
  <si>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</si>
  <si>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</si>
  <si>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</si>
  <si>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</si>
  <si>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</si>
  <si>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</si>
  <si>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</si>
  <si>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</si>
  <si>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</si>
  <si>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</si>
  <si>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</si>
  <si>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</si>
  <si>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</si>
  <si>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</si>
  <si>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</si>
  <si>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</si>
  <si>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</si>
  <si>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</si>
  <si>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</si>
  <si>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</si>
  <si>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</si>
  <si>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</si>
  <si>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</si>
  <si>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</si>
  <si>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</si>
  <si>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</si>
  <si>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</si>
  <si>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</si>
  <si>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</si>
  <si>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</si>
  <si>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</si>
  <si>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</si>
  <si>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</si>
  <si>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</si>
  <si>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</si>
  <si>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</si>
  <si>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</si>
  <si>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</si>
  <si>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</si>
  <si>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</si>
  <si>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</si>
  <si>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</si>
  <si>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</si>
  <si>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</si>
  <si>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</si>
  <si>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</si>
  <si>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</si>
  <si>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</si>
  <si>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</si>
  <si>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</si>
  <si>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</si>
  <si>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</si>
  <si>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</si>
  <si>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</si>
  <si>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</si>
  <si>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</si>
  <si>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</si>
  <si>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</si>
  <si>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</si>
  <si>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</si>
  <si>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</si>
  <si>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</si>
  <si>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</si>
  <si>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</si>
  <si>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</si>
  <si>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</si>
  <si>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</si>
  <si>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</si>
  <si>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</si>
  <si>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</si>
  <si>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</si>
  <si>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</si>
  <si>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</si>
  <si>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</si>
  <si>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</si>
  <si>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</si>
  <si>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</si>
  <si>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</si>
  <si>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</si>
  <si>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</si>
  <si>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</si>
  <si>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</si>
  <si>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</si>
  <si>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</si>
  <si>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</si>
  <si>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</si>
  <si>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</si>
  <si>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</si>
  <si>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</si>
  <si>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</si>
  <si>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</si>
  <si>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</si>
  <si>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</si>
  <si>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</si>
  <si>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</si>
  <si>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</si>
  <si>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</si>
  <si>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</si>
  <si>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</si>
  <si>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</si>
  <si>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</si>
  <si>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</si>
  <si>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</si>
  <si>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</si>
  <si>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</si>
  <si>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</si>
  <si>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</si>
  <si>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</si>
  <si>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</si>
  <si>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</si>
  <si>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</si>
  <si>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</si>
  <si>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</si>
  <si>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</si>
  <si>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</si>
  <si>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</si>
  <si>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</si>
  <si>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</si>
  <si>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</si>
  <si>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</si>
  <si>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</si>
  <si>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</si>
  <si>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</si>
  <si>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</si>
  <si>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</si>
  <si>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</si>
  <si>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</si>
  <si>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</si>
  <si>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</si>
  <si>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</si>
  <si>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</si>
  <si>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</si>
  <si>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</si>
  <si>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</si>
  <si>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</si>
  <si>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</si>
  <si>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</si>
  <si>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</si>
  <si>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</si>
  <si>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</si>
  <si>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</si>
  <si>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</si>
  <si>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</si>
  <si>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</si>
  <si>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</si>
  <si>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</si>
  <si>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</si>
  <si>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</si>
  <si>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</si>
  <si>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</si>
  <si>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</si>
  <si>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</si>
  <si>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</si>
  <si>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</si>
  <si>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</si>
  <si>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</si>
  <si>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</si>
  <si>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</si>
  <si>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</si>
  <si>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</si>
  <si>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</si>
  <si>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</si>
  <si>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</si>
  <si>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</si>
  <si>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</si>
  <si>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</si>
  <si>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</si>
  <si>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</si>
  <si>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</si>
  <si>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</si>
  <si>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</si>
  <si>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</si>
  <si>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</si>
  <si>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</si>
  <si>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</si>
  <si>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</si>
  <si>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</si>
  <si>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</si>
  <si>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</si>
  <si>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</si>
  <si>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</si>
  <si>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</si>
  <si>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</si>
  <si>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</si>
  <si>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</si>
  <si>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</si>
  <si>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</si>
  <si>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</si>
  <si>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</si>
  <si>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</si>
  <si>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</si>
  <si>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</si>
  <si>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</si>
  <si>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</si>
  <si>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</si>
  <si>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</si>
  <si>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</si>
  <si>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</si>
  <si>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</si>
  <si>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</si>
  <si>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</si>
  <si>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</si>
  <si>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</si>
  <si>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</si>
  <si>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</si>
  <si>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</si>
  <si>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</si>
  <si>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</si>
  <si>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</si>
  <si>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</si>
  <si>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</si>
  <si>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</si>
  <si>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</si>
  <si>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</si>
  <si>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</si>
  <si>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</si>
  <si>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</si>
  <si>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</si>
  <si>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</si>
  <si>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</si>
  <si>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</si>
  <si>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</si>
  <si>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</si>
  <si>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</si>
  <si>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</si>
  <si>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</si>
  <si>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</si>
  <si>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</si>
  <si>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</si>
  <si>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</si>
  <si>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</si>
  <si>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</si>
  <si>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</si>
  <si>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</si>
  <si>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</si>
  <si>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</si>
  <si>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</si>
  <si>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</si>
  <si>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</si>
  <si>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</si>
  <si>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</si>
  <si>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</si>
  <si>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</si>
  <si>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</si>
  <si>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</si>
  <si>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</si>
  <si>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</si>
  <si>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</si>
  <si>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</si>
  <si>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</si>
  <si>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</si>
  <si>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</si>
  <si>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</si>
  <si>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</si>
  <si>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</si>
  <si>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</si>
  <si>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</si>
  <si>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</si>
  <si>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</si>
  <si>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</si>
  <si>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</si>
  <si>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</si>
  <si>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</si>
  <si>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</si>
  <si>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</si>
  <si>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</si>
  <si>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</si>
  <si>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</si>
  <si>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</si>
  <si>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</si>
  <si>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</si>
  <si>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</si>
  <si>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</si>
  <si>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</si>
  <si>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</si>
  <si>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</si>
  <si>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</si>
  <si>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</si>
  <si>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</si>
  <si>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</si>
  <si>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</si>
  <si>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</si>
  <si>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</si>
  <si>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</si>
  <si>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</si>
  <si>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</si>
  <si>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</si>
  <si>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</si>
  <si>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</si>
  <si>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</si>
  <si>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</si>
  <si>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</si>
  <si>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</si>
  <si>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</si>
  <si>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</si>
  <si>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</si>
  <si>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</si>
  <si>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</si>
  <si>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</si>
  <si>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</si>
  <si>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</si>
  <si>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</si>
  <si>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</si>
  <si>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</si>
  <si>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</si>
  <si>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</si>
  <si>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</si>
  <si>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</si>
  <si>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</si>
  <si>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</si>
  <si>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</si>
  <si>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</si>
  <si>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</si>
  <si>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</si>
  <si>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</si>
  <si>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</si>
  <si>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</si>
  <si>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</si>
  <si>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</si>
  <si>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</si>
  <si>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</si>
  <si>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</si>
  <si>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</si>
  <si>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</si>
  <si>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</si>
  <si>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</si>
  <si>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</si>
  <si>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</si>
  <si>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</si>
  <si>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</si>
  <si>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</si>
  <si>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</si>
  <si>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</si>
  <si>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</si>
  <si>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</si>
  <si>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</si>
  <si>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</si>
  <si>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</si>
  <si>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</si>
  <si>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</si>
  <si>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</si>
  <si>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</si>
  <si>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</si>
  <si>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</si>
  <si>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</si>
  <si>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</si>
  <si>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</si>
  <si>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</si>
  <si>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</si>
  <si>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</si>
  <si>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</si>
  <si>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</si>
  <si>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</si>
  <si>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</si>
  <si>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</si>
  <si>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</si>
  <si>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</si>
  <si>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</si>
  <si>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</si>
  <si>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</si>
  <si>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</si>
  <si>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</si>
  <si>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</si>
  <si>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</si>
  <si>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</si>
  <si>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</si>
  <si>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</si>
  <si>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</si>
  <si>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</si>
  <si>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</si>
  <si>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</si>
  <si>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</si>
  <si>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</si>
  <si>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</si>
  <si>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</si>
  <si>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</si>
  <si>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</si>
  <si>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</si>
  <si>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</si>
  <si>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</si>
  <si>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</si>
  <si>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</si>
  <si>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</si>
  <si>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</si>
  <si>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</si>
  <si>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</si>
  <si>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</si>
  <si>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</si>
  <si>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</si>
  <si>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</si>
  <si>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</si>
  <si>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</si>
  <si>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</si>
  <si>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</si>
  <si>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</si>
  <si>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</si>
  <si>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</si>
  <si>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</si>
  <si>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</si>
  <si>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</si>
  <si>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</si>
  <si>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</si>
  <si>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</si>
  <si>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</si>
  <si>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</si>
  <si>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</si>
  <si>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</si>
  <si>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</si>
  <si>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</si>
  <si>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</si>
  <si>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</si>
  <si>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</si>
  <si>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</si>
  <si>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</si>
  <si>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</si>
  <si>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</si>
  <si>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</si>
  <si>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</si>
  <si>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</si>
  <si>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</si>
  <si>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</si>
  <si>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</si>
  <si>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</si>
  <si>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</si>
  <si>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</si>
  <si>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</si>
  <si>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</si>
  <si>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</si>
  <si>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</si>
  <si>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</si>
  <si>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</si>
  <si>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</si>
  <si>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</si>
  <si>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</si>
  <si>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</si>
  <si>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</si>
  <si>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</si>
  <si>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</si>
  <si>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</si>
  <si>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</si>
  <si>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</si>
  <si>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</si>
  <si>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</si>
  <si>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</si>
  <si>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</si>
  <si>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</si>
  <si>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</si>
  <si>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</si>
  <si>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</si>
  <si>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</si>
  <si>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</si>
  <si>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</si>
  <si>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</si>
  <si>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</si>
  <si>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</si>
  <si>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</si>
  <si>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</si>
  <si>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</si>
  <si>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</si>
  <si>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</si>
  <si>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</si>
  <si>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</si>
  <si>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</si>
  <si>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</si>
  <si>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</si>
  <si>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</si>
  <si>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</si>
  <si>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</si>
  <si>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</si>
  <si>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</si>
  <si>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</si>
  <si>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</si>
  <si>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</si>
  <si>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</si>
  <si>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</si>
  <si>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</si>
  <si>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</si>
  <si>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</si>
  <si>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</si>
  <si>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</si>
  <si>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</si>
  <si>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</si>
  <si>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</si>
  <si>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</si>
  <si>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</si>
  <si>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</si>
  <si>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</si>
  <si>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</si>
  <si>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</si>
  <si>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</si>
  <si>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</si>
  <si>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</si>
  <si>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</si>
  <si>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</si>
  <si>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</si>
  <si>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</si>
  <si>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</si>
  <si>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</si>
  <si>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</si>
  <si>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</si>
  <si>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</si>
  <si>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</si>
  <si>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</si>
  <si>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</si>
  <si>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</si>
  <si>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</si>
  <si>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</si>
  <si>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</si>
  <si>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</si>
  <si>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</si>
  <si>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</si>
  <si>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</si>
  <si>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</si>
  <si>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</si>
  <si>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</si>
  <si>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</si>
  <si>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</si>
  <si>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</si>
  <si>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</si>
  <si>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</si>
  <si>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</si>
  <si>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</si>
  <si>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</si>
  <si>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</si>
  <si>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</si>
  <si>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</si>
  <si>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</si>
  <si>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</si>
  <si>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</si>
  <si>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</si>
  <si>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</si>
  <si>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</si>
  <si>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</si>
  <si>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</si>
  <si>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</si>
  <si>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</si>
  <si>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</si>
  <si>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</si>
  <si>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</si>
  <si>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</si>
  <si>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</si>
  <si>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</si>
  <si>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</si>
  <si>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</si>
  <si>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</si>
  <si>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</si>
  <si>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</si>
  <si>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</si>
  <si>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</si>
  <si>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</si>
  <si>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</si>
  <si>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</si>
  <si>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</si>
  <si>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</si>
  <si>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</si>
  <si>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</si>
  <si>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</si>
  <si>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</si>
  <si>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</si>
  <si>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</si>
  <si>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</si>
  <si>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</si>
  <si>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</si>
  <si>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</si>
  <si>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</si>
  <si>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</si>
  <si>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</si>
  <si>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</si>
  <si>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</si>
  <si>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</si>
  <si>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</si>
  <si>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</si>
  <si>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</si>
  <si>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</si>
  <si>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</si>
  <si>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</si>
  <si>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</si>
  <si>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</si>
  <si>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</si>
  <si>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</si>
  <si>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</si>
  <si>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</si>
  <si>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</si>
  <si>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</si>
  <si>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</si>
  <si>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</si>
  <si>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</si>
  <si>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</si>
  <si>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</si>
  <si>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</si>
  <si>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</si>
  <si>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</si>
  <si>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</si>
  <si>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</si>
  <si>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</si>
  <si>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</si>
  <si>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</si>
  <si>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</si>
  <si>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</si>
  <si>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</si>
  <si>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</si>
  <si>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</si>
  <si>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</si>
  <si>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</si>
  <si>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</si>
  <si>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</si>
  <si>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</si>
  <si>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</si>
  <si>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</si>
  <si>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</si>
  <si>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</si>
  <si>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</si>
  <si>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</si>
  <si>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</si>
  <si>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</si>
  <si>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</si>
  <si>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</si>
  <si>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</si>
  <si>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</si>
  <si>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</si>
  <si>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</si>
  <si>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</si>
  <si>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</si>
  <si>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</si>
  <si>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</si>
  <si>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</si>
  <si>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</si>
  <si>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</si>
  <si>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</si>
  <si>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</si>
  <si>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</si>
  <si>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</si>
  <si>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</si>
  <si>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</si>
  <si>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</si>
  <si>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</si>
  <si>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</si>
  <si>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</si>
  <si>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</si>
  <si>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</si>
  <si>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</si>
  <si>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</si>
  <si>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</si>
  <si>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</si>
  <si>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</si>
  <si>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</si>
  <si>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</si>
  <si>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</si>
  <si>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</si>
  <si>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</si>
  <si>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</si>
  <si>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</si>
  <si>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</si>
  <si>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</si>
  <si>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</si>
  <si>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</si>
  <si>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</si>
  <si>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</si>
  <si>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</si>
  <si>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</si>
  <si>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</si>
  <si>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</si>
  <si>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</si>
  <si>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</si>
  <si>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</si>
  <si>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</si>
  <si>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</si>
  <si>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</si>
  <si>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</si>
  <si>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</si>
  <si>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</si>
  <si>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</si>
  <si>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</si>
  <si>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</si>
  <si>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</si>
  <si>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</si>
  <si>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</si>
  <si>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</si>
  <si>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</si>
  <si>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</si>
  <si>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</si>
  <si>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</si>
  <si>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</si>
  <si>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</si>
  <si>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</si>
  <si>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</si>
  <si>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</si>
  <si>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</si>
  <si>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</si>
  <si>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</si>
  <si>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</si>
  <si>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</si>
  <si>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</si>
  <si>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</si>
  <si>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</si>
  <si>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</si>
  <si>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</si>
  <si>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</si>
  <si>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</si>
  <si>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</si>
  <si>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</si>
  <si>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</si>
  <si>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</si>
  <si>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</si>
  <si>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</si>
  <si>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</si>
  <si>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</si>
  <si>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</si>
  <si>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</si>
  <si>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</si>
  <si>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</si>
  <si>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</si>
  <si>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</si>
  <si>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</si>
  <si>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</si>
  <si>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</si>
  <si>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</si>
  <si>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</si>
  <si>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</si>
  <si>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</si>
  <si>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</si>
  <si>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</si>
  <si>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</si>
  <si>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</si>
  <si>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</si>
  <si>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</si>
  <si>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</si>
  <si>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</si>
  <si>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</si>
  <si>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</si>
  <si>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</si>
  <si>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</si>
  <si>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</si>
  <si>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</si>
  <si>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</si>
  <si>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</si>
  <si>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</si>
  <si>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</si>
  <si>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</si>
  <si>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</si>
  <si>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</si>
  <si>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</si>
  <si>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</si>
  <si>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</si>
  <si>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</si>
  <si>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</si>
  <si>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</si>
  <si>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</si>
  <si>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</si>
  <si>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</si>
  <si>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</si>
  <si>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</si>
  <si>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</si>
  <si>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</si>
  <si>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</si>
  <si>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</si>
  <si>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</si>
  <si>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</si>
  <si>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</si>
  <si>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</si>
  <si>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</si>
  <si>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</si>
  <si>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</si>
  <si>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</si>
  <si>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</si>
  <si>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</si>
  <si>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</si>
  <si>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</si>
  <si>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</si>
  <si>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</si>
  <si>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</si>
  <si>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</si>
  <si>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</si>
  <si>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</si>
  <si>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</si>
  <si>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</si>
  <si>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</si>
  <si>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</si>
  <si>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</si>
  <si>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</si>
  <si>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</si>
  <si>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</si>
  <si>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</si>
  <si>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</si>
  <si>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</si>
  <si>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</si>
  <si>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</si>
  <si>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</si>
  <si>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</si>
  <si>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</si>
  <si>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</si>
  <si>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</si>
  <si>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</si>
  <si>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</si>
  <si>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</si>
  <si>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</si>
  <si>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</si>
  <si>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</si>
  <si>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</si>
  <si>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</si>
  <si>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</si>
  <si>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</si>
  <si>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</si>
  <si>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</si>
  <si>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</si>
  <si>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</si>
  <si>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</si>
  <si>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</si>
  <si>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</si>
  <si>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</si>
  <si>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</si>
  <si>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</si>
  <si>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</si>
  <si>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</si>
  <si>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</si>
  <si>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</si>
  <si>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</si>
  <si>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</si>
  <si>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</si>
  <si>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</si>
  <si>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</si>
  <si>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</si>
  <si>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</si>
  <si>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</si>
  <si>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</si>
  <si>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</si>
  <si>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</si>
  <si>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</si>
  <si>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</si>
  <si>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</si>
  <si>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</si>
  <si>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</si>
  <si>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</si>
  <si>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</si>
  <si>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</si>
  <si>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</si>
  <si>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</si>
  <si>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</si>
  <si>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</si>
  <si>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</si>
  <si>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</si>
  <si>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</si>
  <si>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</si>
  <si>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</si>
  <si>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</si>
  <si>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</si>
  <si>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</si>
  <si>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</si>
  <si>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</si>
  <si>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</si>
  <si>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</si>
  <si>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</si>
  <si>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</si>
  <si>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</si>
  <si>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</si>
  <si>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</si>
  <si>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</si>
  <si>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</si>
  <si>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</si>
  <si>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</si>
  <si>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</si>
  <si>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</si>
  <si>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</si>
  <si>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</si>
  <si>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</si>
  <si>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</si>
  <si>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</si>
  <si>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</si>
  <si>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</si>
  <si>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</si>
  <si>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</si>
  <si>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</si>
  <si>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</si>
  <si>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</si>
  <si>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</si>
  <si>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</si>
  <si>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</si>
  <si>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</si>
  <si>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</si>
  <si>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</si>
  <si>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</si>
  <si>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</si>
  <si>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</si>
  <si>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</si>
  <si>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</si>
  <si>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</si>
  <si>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</si>
  <si>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</si>
  <si>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</si>
  <si>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</si>
  <si>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</si>
  <si>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</si>
  <si>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</si>
  <si>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</si>
  <si>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</si>
  <si>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</si>
  <si>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</si>
  <si>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</si>
  <si>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</si>
  <si>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</si>
  <si>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</si>
  <si>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</si>
  <si>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</si>
  <si>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</si>
  <si>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</si>
  <si>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</si>
  <si>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</si>
  <si>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</si>
  <si>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</si>
  <si>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</si>
  <si>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</si>
  <si>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</si>
  <si>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</si>
  <si>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</si>
  <si>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</si>
  <si>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</si>
  <si>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</si>
  <si>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</si>
  <si>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</si>
  <si>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</si>
  <si>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</si>
  <si>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</si>
  <si>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</si>
  <si>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</si>
  <si>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</si>
  <si>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</si>
  <si>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</si>
  <si>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</si>
  <si>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</si>
  <si>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</si>
  <si>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</si>
  <si>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</si>
  <si>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</si>
  <si>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</si>
  <si>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</si>
  <si>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</si>
  <si>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</si>
  <si>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</si>
  <si>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</si>
  <si>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</si>
  <si>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</si>
  <si>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</si>
  <si>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</si>
  <si>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</si>
  <si>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</si>
  <si>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</si>
  <si>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</si>
  <si>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</si>
  <si>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</si>
  <si>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</si>
  <si>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</si>
  <si>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</si>
  <si>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</si>
  <si>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</si>
  <si>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</si>
  <si>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</si>
  <si>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</si>
  <si>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</si>
  <si>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</si>
  <si>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</si>
  <si>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</si>
  <si>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</si>
  <si>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</si>
  <si>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</si>
  <si>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</si>
  <si>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</si>
  <si>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</si>
  <si>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</si>
  <si>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</si>
  <si>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</si>
  <si>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</si>
  <si>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</si>
  <si>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</si>
  <si>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</si>
  <si>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</si>
  <si>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</si>
  <si>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</si>
  <si>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</si>
  <si>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</si>
  <si>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</si>
  <si>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</si>
  <si>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</si>
  <si>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</si>
  <si>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</si>
  <si>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</si>
  <si>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</si>
  <si>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</si>
  <si>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</si>
  <si>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</si>
  <si>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</si>
  <si>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</si>
  <si>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</si>
  <si>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</si>
  <si>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I was unsure where to place the UFB from the Food fund that was used to offset a portion of the food fund transfer.</t>
  </si>
  <si>
    <t>Fund 10 Federal forest funds and UFB FOOD fund</t>
  </si>
  <si>
    <t>Fund 21 Negative lunch accounts paid from general fund</t>
  </si>
  <si>
    <t>This is SRSA REAP 84.358A.  According the the guidelines for reporting federal revenue, thisshould be reported on 4100?</t>
  </si>
  <si>
    <t>Corrected and moved to Line 21 Sped Tuition. Sorry for the confusion on my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</si>
</sst>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5" zoomScale="110" zoomScaleNormal="11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1312</v>
      </c>
      <c r="B2">
        <f>INDEX('School Tables'!$AH$3:$AH$213,MATCH('DOE25'!A2,'School Tables'!$AJ$3:$AJ$213,0))</f>
        <v>407</v>
      </c>
      <c r="C2">
        <f>INDEX('School Tables'!$AI$3:$AI$213,MATCH('DOE25'!A2,'School Tables'!$AJ$3:$AJ$213,0))</f>
        <v>407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1618.81+118594.38</f>
        <v>120213.19</v>
      </c>
      <c r="G9" s="18"/>
      <c r="H9" s="18"/>
      <c r="I9" s="18"/>
      <c r="J9" s="13">
        <f>SUM(I440)</f>
        <v>864718.49</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17317.02+323812.64</f>
        <v>341129.66000000003</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-11030.98</v>
      </c>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75107.009999999995</v>
      </c>
      <c r="G14" s="18">
        <v>17317.02</v>
      </c>
      <c r="H14" s="18">
        <v>323812.64</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525418.88</v>
      </c>
      <c r="G19" s="38">
        <f>SUM(G9:G18)</f>
        <v>17317.02</v>
      </c>
      <c r="H19" s="38">
        <f>SUM(H9:H18)</f>
        <v>323812.64</v>
      </c>
      <c r="I19" s="38">
        <f>SUM(I9:I18)</f>
        <v>0</v>
      </c>
      <c r="J19" s="38">
        <f>SUM(J9:J18)</f>
        <v>864718.49</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f>-(250148.07-149031.5+7905.23+185745.77)</f>
        <v>-294767.57</v>
      </c>
      <c r="G22" s="18">
        <f>7012.75+7905.23</f>
        <v>14917.98</v>
      </c>
      <c r="H22" s="18">
        <v>280578.5</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f>(7012.75+7905.23+243135.32+37443.18)</f>
        <v>295496.48000000004</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8419.76</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f>2399.04+43234.14</f>
        <v>45633.18</v>
      </c>
      <c r="G30" s="18">
        <v>2399.04</v>
      </c>
      <c r="H30" s="18">
        <v>43234.14</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54781.850000000035</v>
      </c>
      <c r="G32" s="38">
        <f>SUM(G22:G31)</f>
        <v>17317.02</v>
      </c>
      <c r="H32" s="38">
        <f>SUM(H22:H31)</f>
        <v>323812.64</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864718.49</v>
      </c>
      <c r="K43" s="23" t="s">
        <v>288</v>
      </c>
      <c r="L43" s="23" t="s">
        <v>288</v>
      </c>
      <c r="M43" s="8"/>
      <c r="N43" s="164"/>
    </row>
    <row r="44" spans="1:14" s="3" customFormat="1" ht="12.2" customHeight="1" x14ac:dyDescent="0.15">
      <c r="A44" s="1" t="s">
        <v>833</v>
      </c>
      <c r="B44" s="6">
        <v>1</v>
      </c>
      <c r="C44" s="6">
        <v>30</v>
      </c>
      <c r="D44" s="2" t="s">
        <v>653</v>
      </c>
      <c r="E44" s="6">
        <v>755</v>
      </c>
      <c r="F44" s="18">
        <v>100000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107676</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0</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262961.03000000003</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470637.03</v>
      </c>
      <c r="G51" s="38">
        <f>SUM(G35:G50)</f>
        <v>0</v>
      </c>
      <c r="H51" s="38">
        <f>SUM(H35:H50)</f>
        <v>0</v>
      </c>
      <c r="I51" s="38">
        <f>SUM(I35:I50)</f>
        <v>0</v>
      </c>
      <c r="J51" s="38">
        <f>SUM(J35:J50)</f>
        <v>864718.49</v>
      </c>
      <c r="K51" s="42" t="s">
        <v>288</v>
      </c>
      <c r="L51" s="42" t="s">
        <v>288</v>
      </c>
      <c r="N51" s="130"/>
    </row>
    <row r="52" spans="1:14" s="3" customFormat="1" ht="12.2" customHeight="1" thickTop="1" x14ac:dyDescent="0.15">
      <c r="A52" s="35" t="s">
        <v>455</v>
      </c>
      <c r="B52" s="36" t="s">
        <v>289</v>
      </c>
      <c r="C52" s="6">
        <v>37</v>
      </c>
      <c r="D52" s="36" t="s">
        <v>653</v>
      </c>
      <c r="E52" s="36"/>
      <c r="F52" s="38">
        <f>F51+F32</f>
        <v>525418.88000000012</v>
      </c>
      <c r="G52" s="38">
        <f>G51+G32</f>
        <v>17317.02</v>
      </c>
      <c r="H52" s="38">
        <f>H51+H32</f>
        <v>323812.64</v>
      </c>
      <c r="I52" s="38">
        <f>I51+I32</f>
        <v>0</v>
      </c>
      <c r="J52" s="38">
        <f>J51+J32</f>
        <v>864718.49</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1951132</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1951132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852233.01</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192220</v>
      </c>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1044453.01</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25211.19</v>
      </c>
      <c r="G96" s="18"/>
      <c r="H96" s="18"/>
      <c r="I96" s="18"/>
      <c r="J96" s="18">
        <v>39435.980000000003</v>
      </c>
      <c r="K96" s="23" t="s">
        <v>288</v>
      </c>
      <c r="L96" s="23" t="s">
        <v>288</v>
      </c>
      <c r="M96" s="8"/>
      <c r="N96" s="164"/>
    </row>
    <row r="97" spans="1:14" s="3" customFormat="1" ht="12.2" customHeight="1" x14ac:dyDescent="0.15">
      <c r="A97" s="1" t="s">
        <v>503</v>
      </c>
      <c r="B97" s="2" t="s">
        <v>315</v>
      </c>
      <c r="C97" s="6">
        <v>12</v>
      </c>
      <c r="D97" s="2" t="s">
        <v>430</v>
      </c>
      <c r="E97" s="6">
        <v>1600</v>
      </c>
      <c r="F97" s="23" t="s">
        <v>288</v>
      </c>
      <c r="G97" s="18">
        <v>46696.06</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10000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54380.14</v>
      </c>
      <c r="G110" s="18"/>
      <c r="H110" s="18">
        <f>2353.14+6243.98+9175+791.25+1200+1191.49+64803.2</f>
        <v>85758.06</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89591.33</v>
      </c>
      <c r="G111" s="38">
        <f>SUM(G96:G110)</f>
        <v>46696.06</v>
      </c>
      <c r="H111" s="38">
        <f>SUM(H96:H110)</f>
        <v>85758.06</v>
      </c>
      <c r="I111" s="38">
        <f>SUM(I96:I110)</f>
        <v>0</v>
      </c>
      <c r="J111" s="38">
        <f>SUM(J96:J110)</f>
        <v>39435.980000000003</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3085176.34</v>
      </c>
      <c r="G112" s="38">
        <f>G60+G111</f>
        <v>46696.06</v>
      </c>
      <c r="H112" s="38">
        <f>H60+H79+H94+H111</f>
        <v>85758.06</v>
      </c>
      <c r="I112" s="38">
        <f>I60+I111</f>
        <v>0</v>
      </c>
      <c r="J112" s="38">
        <f>J60+J111</f>
        <v>39435.980000000003</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2796968.71</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202397</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5115.3900000000003</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3004481.1</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7349.4</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1517.4</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7349.4</v>
      </c>
      <c r="G136" s="38">
        <f>SUM(G123:G135)</f>
        <v>1517.4</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3011830.5</v>
      </c>
      <c r="G140" s="38">
        <f>G121+SUM(G136:G137)</f>
        <v>1517.4</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f>5581.28+439.42+9748.6</f>
        <v>15769.3</v>
      </c>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15769.3</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235824.81+63444.31</f>
        <v>299269.12</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4909.29+12778.42+4852.22+10534.51</f>
        <v>33074.44</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f>1160.88+27658.99</f>
        <v>28819.870000000003</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94556.25+8379.75</f>
        <v>102936</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25.41+19288.83+97741.29</f>
        <v>117055.53</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40347.06</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33834.01+627499.07</f>
        <v>661333.07999999996</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40347.06</v>
      </c>
      <c r="G163" s="38">
        <f>SUM(G150:G162)</f>
        <v>102936</v>
      </c>
      <c r="H163" s="38">
        <f>SUM(H150:H162)</f>
        <v>1139552.04</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f>4560.61+552.79</f>
        <v>5113.3999999999996</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45460.46</v>
      </c>
      <c r="G170" s="38">
        <f>G147+G163+SUM(G164:G169)</f>
        <v>102936</v>
      </c>
      <c r="H170" s="38">
        <f>H147+H163+SUM(H164:H169)</f>
        <v>1155321.3400000001</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f>38805.21+1049</f>
        <v>39854.21</v>
      </c>
      <c r="H180" s="18"/>
      <c r="I180" s="18"/>
      <c r="J180" s="18">
        <v>193201</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39854.21</v>
      </c>
      <c r="H184" s="38">
        <f>SUM(H180:H183)</f>
        <v>0</v>
      </c>
      <c r="I184" s="38">
        <f>SUM(I180:I183)</f>
        <v>0</v>
      </c>
      <c r="J184" s="38">
        <f>SUM(J180:J183)</f>
        <v>193201</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42460.67</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42460.67</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42460.67</v>
      </c>
      <c r="G193" s="38">
        <f>G184+SUM(G189:G192)</f>
        <v>39854.21</v>
      </c>
      <c r="H193" s="38">
        <f>+H184+SUM(H189:H192)</f>
        <v>0</v>
      </c>
      <c r="I193" s="38">
        <f>I178+I184+SUM(I189:I192)</f>
        <v>0</v>
      </c>
      <c r="J193" s="38">
        <f>J184</f>
        <v>193201</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6184927.9699999997</v>
      </c>
      <c r="G194" s="38">
        <f>G112+G140+G170+G193</f>
        <v>191003.66999999998</v>
      </c>
      <c r="H194" s="38">
        <f>H112+H140+H170+H193</f>
        <v>1241079.4000000001</v>
      </c>
      <c r="I194" s="38">
        <f>I112+I140+I170+I193</f>
        <v>0</v>
      </c>
      <c r="J194" s="38">
        <f>J112+J140+J193</f>
        <v>232636.98</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714688.38</v>
      </c>
      <c r="G198" s="18">
        <v>310369.65999999997</v>
      </c>
      <c r="H198" s="18">
        <v>7512.02</v>
      </c>
      <c r="I198" s="18">
        <v>19023.57</v>
      </c>
      <c r="J198" s="18">
        <v>933.36</v>
      </c>
      <c r="K198" s="18">
        <v>77</v>
      </c>
      <c r="L198" s="13">
        <f>SUM(F198:K198)</f>
        <v>1052603.9900000002</v>
      </c>
      <c r="M198" s="8"/>
      <c r="N198" s="164"/>
    </row>
    <row r="199" spans="1:14" s="3" customFormat="1" ht="12.2" customHeight="1" x14ac:dyDescent="0.15">
      <c r="A199" s="1" t="s">
        <v>439</v>
      </c>
      <c r="B199" s="2" t="s">
        <v>341</v>
      </c>
      <c r="C199" s="2" t="s">
        <v>291</v>
      </c>
      <c r="D199" s="2" t="s">
        <v>431</v>
      </c>
      <c r="E199" s="6">
        <v>1200</v>
      </c>
      <c r="F199" s="18">
        <v>296114.59000000003</v>
      </c>
      <c r="G199" s="18">
        <v>108046.01</v>
      </c>
      <c r="H199" s="18">
        <v>210216.31</v>
      </c>
      <c r="I199" s="18">
        <v>1685.39</v>
      </c>
      <c r="J199" s="18">
        <v>7074.9</v>
      </c>
      <c r="K199" s="18">
        <v>0</v>
      </c>
      <c r="L199" s="13">
        <f>SUM(F199:K199)</f>
        <v>623137.20000000007</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f>8740+11652.53</f>
        <v>20392.53</v>
      </c>
      <c r="G201" s="18">
        <f>667.86+385.61+59.64+91.05+3.83+896.52+200+855.58+39.76+45.53</f>
        <v>3245.3800000000006</v>
      </c>
      <c r="H201" s="18">
        <f>3597+3272.5</f>
        <v>6869.5</v>
      </c>
      <c r="I201" s="18">
        <f>285.54+3237.95</f>
        <v>3523.49</v>
      </c>
      <c r="J201" s="18">
        <v>177.73</v>
      </c>
      <c r="K201" s="18">
        <f>1290+500</f>
        <v>1790</v>
      </c>
      <c r="L201" s="13">
        <f>SUM(F201:K201)</f>
        <v>35998.630000000005</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258149.4</v>
      </c>
      <c r="G203" s="18">
        <v>121697.95</v>
      </c>
      <c r="H203" s="18">
        <v>2575.37</v>
      </c>
      <c r="I203" s="18">
        <v>3300.25</v>
      </c>
      <c r="J203" s="18">
        <v>1196.83</v>
      </c>
      <c r="K203" s="18">
        <f>459+150+45</f>
        <v>654</v>
      </c>
      <c r="L203" s="13">
        <f t="shared" ref="L203:L209" si="0">SUM(F203:K203)</f>
        <v>387573.8</v>
      </c>
      <c r="M203" s="8"/>
      <c r="N203" s="164"/>
    </row>
    <row r="204" spans="1:14" s="3" customFormat="1" ht="12.2" customHeight="1" x14ac:dyDescent="0.15">
      <c r="A204" s="1" t="s">
        <v>443</v>
      </c>
      <c r="B204" s="2" t="s">
        <v>341</v>
      </c>
      <c r="C204" s="2" t="s">
        <v>295</v>
      </c>
      <c r="D204" s="2" t="s">
        <v>431</v>
      </c>
      <c r="E204" s="6">
        <v>2200</v>
      </c>
      <c r="F204" s="18">
        <v>59057.13</v>
      </c>
      <c r="G204" s="18">
        <v>26515.81</v>
      </c>
      <c r="H204" s="18">
        <f>3058.26+56+299.5+632.42+304.41</f>
        <v>4350.59</v>
      </c>
      <c r="I204" s="18">
        <f>1560.3-93.09</f>
        <v>1467.21</v>
      </c>
      <c r="J204" s="18"/>
      <c r="K204" s="18"/>
      <c r="L204" s="13">
        <f t="shared" si="0"/>
        <v>91390.74</v>
      </c>
      <c r="M204" s="8"/>
      <c r="N204" s="164"/>
    </row>
    <row r="205" spans="1:14" s="3" customFormat="1" ht="12.2" customHeight="1" x14ac:dyDescent="0.15">
      <c r="A205" s="1" t="s">
        <v>444</v>
      </c>
      <c r="B205" s="2" t="s">
        <v>341</v>
      </c>
      <c r="C205" s="2" t="s">
        <v>296</v>
      </c>
      <c r="D205" s="2" t="s">
        <v>431</v>
      </c>
      <c r="E205" s="6">
        <v>2300</v>
      </c>
      <c r="F205" s="18">
        <v>4433.6000000000004</v>
      </c>
      <c r="G205" s="18">
        <v>415.77</v>
      </c>
      <c r="H205" s="18">
        <f>35983.77+342930.15</f>
        <v>378913.92000000004</v>
      </c>
      <c r="I205" s="18">
        <v>0</v>
      </c>
      <c r="J205" s="18"/>
      <c r="K205" s="18">
        <v>3102.36</v>
      </c>
      <c r="L205" s="13">
        <f t="shared" si="0"/>
        <v>386865.65</v>
      </c>
      <c r="M205" s="8"/>
      <c r="N205" s="164"/>
    </row>
    <row r="206" spans="1:14" s="3" customFormat="1" ht="12.2" customHeight="1" x14ac:dyDescent="0.15">
      <c r="A206" s="1" t="s">
        <v>445</v>
      </c>
      <c r="B206" s="2" t="s">
        <v>341</v>
      </c>
      <c r="C206" s="2" t="s">
        <v>297</v>
      </c>
      <c r="D206" s="2" t="s">
        <v>431</v>
      </c>
      <c r="E206" s="6">
        <v>2400</v>
      </c>
      <c r="F206" s="18">
        <v>272355.09000000003</v>
      </c>
      <c r="G206" s="18">
        <v>142716.9</v>
      </c>
      <c r="H206" s="18">
        <v>3461.99</v>
      </c>
      <c r="I206" s="18">
        <v>30592.16</v>
      </c>
      <c r="J206" s="18">
        <v>144.68</v>
      </c>
      <c r="K206" s="18">
        <v>12123.37</v>
      </c>
      <c r="L206" s="13">
        <f t="shared" si="0"/>
        <v>461394.18999999994</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98299.82</v>
      </c>
      <c r="G208" s="18">
        <v>35034.550000000003</v>
      </c>
      <c r="H208" s="18">
        <v>104070.98</v>
      </c>
      <c r="I208" s="18">
        <v>93526.04</v>
      </c>
      <c r="J208" s="18"/>
      <c r="K208" s="18"/>
      <c r="L208" s="13">
        <f t="shared" si="0"/>
        <v>330931.38999999996</v>
      </c>
      <c r="M208" s="8"/>
      <c r="N208" s="164"/>
    </row>
    <row r="209" spans="1:14" s="3" customFormat="1" ht="12.2" customHeight="1" x14ac:dyDescent="0.15">
      <c r="A209" s="1" t="s">
        <v>448</v>
      </c>
      <c r="B209" s="2" t="s">
        <v>341</v>
      </c>
      <c r="C209" s="2" t="s">
        <v>300</v>
      </c>
      <c r="D209" s="2" t="s">
        <v>431</v>
      </c>
      <c r="E209" s="6">
        <v>2700</v>
      </c>
      <c r="F209" s="18"/>
      <c r="G209" s="18"/>
      <c r="H209" s="18">
        <v>110850.82</v>
      </c>
      <c r="I209" s="18"/>
      <c r="J209" s="18"/>
      <c r="K209" s="18"/>
      <c r="L209" s="13">
        <f t="shared" si="0"/>
        <v>110850.82</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1723490.54</v>
      </c>
      <c r="G212" s="38">
        <f t="shared" si="1"/>
        <v>748042.03000000014</v>
      </c>
      <c r="H212" s="38">
        <f t="shared" si="1"/>
        <v>828821.5</v>
      </c>
      <c r="I212" s="38">
        <f t="shared" si="1"/>
        <v>153118.10999999999</v>
      </c>
      <c r="J212" s="38">
        <f t="shared" si="1"/>
        <v>9527.5</v>
      </c>
      <c r="K212" s="38">
        <f t="shared" si="1"/>
        <v>17746.730000000003</v>
      </c>
      <c r="L212" s="38">
        <f t="shared" si="1"/>
        <v>3480746.41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722293.2</v>
      </c>
      <c r="G234" s="18">
        <v>343144.65</v>
      </c>
      <c r="H234" s="18">
        <v>44747.99</v>
      </c>
      <c r="I234" s="18">
        <v>13610.32</v>
      </c>
      <c r="J234" s="18">
        <v>335.74</v>
      </c>
      <c r="K234" s="18">
        <v>342.91</v>
      </c>
      <c r="L234" s="13">
        <f>SUM(F234:K234)</f>
        <v>1124474.81</v>
      </c>
      <c r="M234" s="8"/>
      <c r="N234" s="164"/>
    </row>
    <row r="235" spans="1:14" s="3" customFormat="1" ht="12.2" customHeight="1" x14ac:dyDescent="0.15">
      <c r="A235" s="1" t="s">
        <v>439</v>
      </c>
      <c r="B235" s="2" t="s">
        <v>350</v>
      </c>
      <c r="C235" s="2" t="s">
        <v>291</v>
      </c>
      <c r="D235" s="2" t="s">
        <v>431</v>
      </c>
      <c r="E235" s="6">
        <v>1200</v>
      </c>
      <c r="F235" s="18">
        <v>174986.96</v>
      </c>
      <c r="G235" s="18">
        <v>55807.57</v>
      </c>
      <c r="H235" s="18">
        <f>2382.41+368</f>
        <v>2750.41</v>
      </c>
      <c r="I235" s="18">
        <f>345.81+249.11</f>
        <v>594.92000000000007</v>
      </c>
      <c r="J235" s="18">
        <v>0</v>
      </c>
      <c r="K235" s="18">
        <v>0</v>
      </c>
      <c r="L235" s="13">
        <f>SUM(F235:K235)</f>
        <v>234139.86000000002</v>
      </c>
      <c r="M235" s="8"/>
      <c r="N235" s="164"/>
    </row>
    <row r="236" spans="1:14" s="3" customFormat="1" ht="12.2" customHeight="1" x14ac:dyDescent="0.15">
      <c r="A236" s="1" t="s">
        <v>440</v>
      </c>
      <c r="B236" s="2" t="s">
        <v>350</v>
      </c>
      <c r="C236" s="2" t="s">
        <v>292</v>
      </c>
      <c r="D236" s="2" t="s">
        <v>431</v>
      </c>
      <c r="E236" s="6">
        <v>1300</v>
      </c>
      <c r="F236" s="18"/>
      <c r="G236" s="18"/>
      <c r="H236" s="18">
        <v>29230.5</v>
      </c>
      <c r="I236" s="18"/>
      <c r="J236" s="18"/>
      <c r="K236" s="18"/>
      <c r="L236" s="13">
        <f>SUM(F236:K236)</f>
        <v>29230.5</v>
      </c>
      <c r="M236" s="8"/>
      <c r="N236" s="164"/>
    </row>
    <row r="237" spans="1:14" s="3" customFormat="1" ht="12.2" customHeight="1" x14ac:dyDescent="0.15">
      <c r="A237" s="1" t="s">
        <v>441</v>
      </c>
      <c r="B237" s="2" t="s">
        <v>350</v>
      </c>
      <c r="C237" s="2" t="s">
        <v>293</v>
      </c>
      <c r="D237" s="2" t="s">
        <v>431</v>
      </c>
      <c r="E237" s="6">
        <v>1400</v>
      </c>
      <c r="F237" s="18">
        <v>38825.97</v>
      </c>
      <c r="G237" s="18">
        <f>3036.69+232.17+2475.33+79.52+182.1</f>
        <v>6005.8100000000013</v>
      </c>
      <c r="H237" s="18">
        <f>16244.5+367.75+1000</f>
        <v>17612.25</v>
      </c>
      <c r="I237" s="18">
        <f>6021.17+500</f>
        <v>6521.17</v>
      </c>
      <c r="J237" s="18">
        <v>0</v>
      </c>
      <c r="K237" s="18">
        <v>2985</v>
      </c>
      <c r="L237" s="13">
        <f>SUM(F237:K237)</f>
        <v>71950.2</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106473.06</v>
      </c>
      <c r="G239" s="18">
        <v>44361</v>
      </c>
      <c r="H239" s="18">
        <v>365.72</v>
      </c>
      <c r="I239" s="18">
        <v>2719.42</v>
      </c>
      <c r="J239" s="18"/>
      <c r="K239" s="18">
        <v>597.05999999999995</v>
      </c>
      <c r="L239" s="13">
        <f t="shared" ref="L239:L245" si="4">SUM(F239:K239)</f>
        <v>154516.26</v>
      </c>
      <c r="M239" s="8"/>
      <c r="N239" s="164"/>
    </row>
    <row r="240" spans="1:14" s="3" customFormat="1" ht="12.2" customHeight="1" x14ac:dyDescent="0.15">
      <c r="A240" s="1" t="s">
        <v>443</v>
      </c>
      <c r="B240" s="2" t="s">
        <v>350</v>
      </c>
      <c r="C240" s="2" t="s">
        <v>295</v>
      </c>
      <c r="D240" s="2" t="s">
        <v>431</v>
      </c>
      <c r="E240" s="6">
        <v>2200</v>
      </c>
      <c r="F240" s="18">
        <v>16187.87</v>
      </c>
      <c r="G240" s="18">
        <v>6865.08</v>
      </c>
      <c r="H240" s="18">
        <f>724+2269.95</f>
        <v>2993.95</v>
      </c>
      <c r="I240" s="18">
        <v>93.09</v>
      </c>
      <c r="J240" s="18">
        <v>-20</v>
      </c>
      <c r="K240" s="18"/>
      <c r="L240" s="13">
        <f t="shared" si="4"/>
        <v>26119.99</v>
      </c>
      <c r="M240" s="8"/>
      <c r="N240" s="164"/>
    </row>
    <row r="241" spans="1:14" s="3" customFormat="1" ht="12.2" customHeight="1" x14ac:dyDescent="0.15">
      <c r="A241" s="1" t="s">
        <v>444</v>
      </c>
      <c r="B241" s="2" t="s">
        <v>350</v>
      </c>
      <c r="C241" s="2" t="s">
        <v>296</v>
      </c>
      <c r="D241" s="2" t="s">
        <v>431</v>
      </c>
      <c r="E241" s="6">
        <v>2300</v>
      </c>
      <c r="F241" s="18">
        <v>2086.4</v>
      </c>
      <c r="G241" s="18">
        <v>195.66</v>
      </c>
      <c r="H241" s="18">
        <f>16933.54+161378.9</f>
        <v>178312.44</v>
      </c>
      <c r="I241" s="18">
        <v>0</v>
      </c>
      <c r="J241" s="18">
        <v>0</v>
      </c>
      <c r="K241" s="18">
        <v>1459.94</v>
      </c>
      <c r="L241" s="13">
        <f t="shared" si="4"/>
        <v>182054.44</v>
      </c>
      <c r="M241" s="8"/>
      <c r="N241" s="164"/>
    </row>
    <row r="242" spans="1:14" s="3" customFormat="1" ht="12.2" customHeight="1" x14ac:dyDescent="0.15">
      <c r="A242" s="1" t="s">
        <v>445</v>
      </c>
      <c r="B242" s="2" t="s">
        <v>350</v>
      </c>
      <c r="C242" s="2" t="s">
        <v>297</v>
      </c>
      <c r="D242" s="2" t="s">
        <v>431</v>
      </c>
      <c r="E242" s="6">
        <v>2400</v>
      </c>
      <c r="F242" s="18">
        <v>160833.01999999999</v>
      </c>
      <c r="G242" s="18">
        <v>94342.49</v>
      </c>
      <c r="H242" s="18">
        <v>689.76</v>
      </c>
      <c r="I242" s="18">
        <v>11750.44</v>
      </c>
      <c r="J242" s="18">
        <v>0</v>
      </c>
      <c r="K242" s="18">
        <v>5203.25</v>
      </c>
      <c r="L242" s="13">
        <f t="shared" si="4"/>
        <v>272818.96000000002</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v>66427.86</v>
      </c>
      <c r="G244" s="18">
        <v>34169.19</v>
      </c>
      <c r="H244" s="18">
        <v>46505.18</v>
      </c>
      <c r="I244" s="18">
        <v>66991.850000000006</v>
      </c>
      <c r="J244" s="18">
        <v>6500</v>
      </c>
      <c r="K244" s="18"/>
      <c r="L244" s="13">
        <f t="shared" si="4"/>
        <v>220594.08000000002</v>
      </c>
      <c r="M244" s="8"/>
      <c r="N244" s="164"/>
    </row>
    <row r="245" spans="1:14" s="3" customFormat="1" ht="12.2" customHeight="1" x14ac:dyDescent="0.15">
      <c r="A245" s="1" t="s">
        <v>448</v>
      </c>
      <c r="B245" s="2" t="s">
        <v>350</v>
      </c>
      <c r="C245" s="2" t="s">
        <v>300</v>
      </c>
      <c r="D245" s="2" t="s">
        <v>431</v>
      </c>
      <c r="E245" s="6">
        <v>2700</v>
      </c>
      <c r="F245" s="18"/>
      <c r="G245" s="18"/>
      <c r="H245" s="18">
        <v>66633.240000000005</v>
      </c>
      <c r="I245" s="18"/>
      <c r="J245" s="18"/>
      <c r="K245" s="18"/>
      <c r="L245" s="13">
        <f t="shared" si="4"/>
        <v>66633.240000000005</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1288114.3400000001</v>
      </c>
      <c r="G248" s="38">
        <f t="shared" si="5"/>
        <v>584891.44999999995</v>
      </c>
      <c r="H248" s="38">
        <f t="shared" si="5"/>
        <v>389841.44</v>
      </c>
      <c r="I248" s="38">
        <f t="shared" si="5"/>
        <v>102281.21</v>
      </c>
      <c r="J248" s="38">
        <f t="shared" si="5"/>
        <v>6815.74</v>
      </c>
      <c r="K248" s="38">
        <f t="shared" si="5"/>
        <v>10588.16</v>
      </c>
      <c r="L248" s="38">
        <f t="shared" si="5"/>
        <v>2382532.3400000003</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77670.509999999995</v>
      </c>
      <c r="I256" s="18"/>
      <c r="J256" s="18"/>
      <c r="K256" s="18"/>
      <c r="L256" s="13">
        <f t="shared" si="6"/>
        <v>77670.509999999995</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77670.509999999995</v>
      </c>
      <c r="I257" s="38">
        <f t="shared" si="7"/>
        <v>0</v>
      </c>
      <c r="J257" s="38">
        <f t="shared" si="7"/>
        <v>0</v>
      </c>
      <c r="K257" s="38">
        <f t="shared" si="7"/>
        <v>0</v>
      </c>
      <c r="L257" s="38">
        <f>SUM(F257:K257)</f>
        <v>77670.509999999995</v>
      </c>
      <c r="M257" s="8"/>
      <c r="N257" s="164"/>
    </row>
    <row r="258" spans="1:14" s="3" customFormat="1" ht="12.2" customHeight="1" thickTop="1" x14ac:dyDescent="0.15">
      <c r="A258" s="35" t="s">
        <v>462</v>
      </c>
      <c r="B258" s="37">
        <v>10</v>
      </c>
      <c r="C258" s="37">
        <v>8</v>
      </c>
      <c r="D258" s="36" t="s">
        <v>431</v>
      </c>
      <c r="E258" s="37"/>
      <c r="F258" s="38">
        <f t="shared" ref="F258:L258" si="8">F212+F230+F248+F257</f>
        <v>3011604.88</v>
      </c>
      <c r="G258" s="38">
        <f t="shared" si="8"/>
        <v>1332933.48</v>
      </c>
      <c r="H258" s="38">
        <f t="shared" si="8"/>
        <v>1296333.45</v>
      </c>
      <c r="I258" s="38">
        <f t="shared" si="8"/>
        <v>255399.32</v>
      </c>
      <c r="J258" s="38">
        <f t="shared" si="8"/>
        <v>16343.24</v>
      </c>
      <c r="K258" s="38">
        <f t="shared" si="8"/>
        <v>28334.890000000003</v>
      </c>
      <c r="L258" s="38">
        <f t="shared" si="8"/>
        <v>5940949.2599999998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f>38805.21+1049</f>
        <v>39854.21</v>
      </c>
      <c r="L264" s="13">
        <f>SUM(F264:K264)</f>
        <v>39854.21</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193201</v>
      </c>
      <c r="L267" s="13">
        <f t="shared" si="9"/>
        <v>193201</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233055.21</v>
      </c>
      <c r="L271" s="38">
        <f t="shared" si="9"/>
        <v>233055.21</v>
      </c>
      <c r="M271" s="8"/>
      <c r="N271" s="164"/>
    </row>
    <row r="272" spans="1:14" s="33" customFormat="1" ht="12.2" customHeight="1" thickTop="1" x14ac:dyDescent="0.2">
      <c r="A272" s="40" t="s">
        <v>464</v>
      </c>
      <c r="B272" s="37">
        <v>10</v>
      </c>
      <c r="C272" s="37">
        <v>18</v>
      </c>
      <c r="D272" s="36" t="s">
        <v>431</v>
      </c>
      <c r="E272" s="37"/>
      <c r="F272" s="39">
        <f t="shared" ref="F272:L272" si="11">F258+F271</f>
        <v>3011604.88</v>
      </c>
      <c r="G272" s="39">
        <f t="shared" si="11"/>
        <v>1332933.48</v>
      </c>
      <c r="H272" s="39">
        <f t="shared" si="11"/>
        <v>1296333.45</v>
      </c>
      <c r="I272" s="39">
        <f t="shared" si="11"/>
        <v>255399.32</v>
      </c>
      <c r="J272" s="39">
        <f t="shared" si="11"/>
        <v>16343.24</v>
      </c>
      <c r="K272" s="39">
        <f t="shared" si="11"/>
        <v>261390.1</v>
      </c>
      <c r="L272" s="39">
        <f t="shared" si="11"/>
        <v>6174004.4699999997</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233150.16</v>
      </c>
      <c r="G277" s="18">
        <v>87148</v>
      </c>
      <c r="H277" s="18">
        <v>2639.07</v>
      </c>
      <c r="I277" s="18">
        <v>39701.910000000003</v>
      </c>
      <c r="J277" s="18">
        <f>11983.63-1414.6-3228.95</f>
        <v>7340.079999999999</v>
      </c>
      <c r="K277" s="18">
        <v>3000</v>
      </c>
      <c r="L277" s="13">
        <f>SUM(F277:K277)</f>
        <v>372979.22000000003</v>
      </c>
      <c r="M277" s="8"/>
      <c r="N277" s="164"/>
    </row>
    <row r="278" spans="1:14" s="3" customFormat="1" ht="12.2" customHeight="1" x14ac:dyDescent="0.15">
      <c r="A278" s="1" t="s">
        <v>439</v>
      </c>
      <c r="B278" s="2" t="s">
        <v>357</v>
      </c>
      <c r="C278" s="2" t="s">
        <v>291</v>
      </c>
      <c r="D278" s="2" t="s">
        <v>431</v>
      </c>
      <c r="E278" s="6">
        <v>1200</v>
      </c>
      <c r="F278" s="18">
        <f>848+19539.03+1815.62+2250+7495+19996.11+2250</f>
        <v>54193.759999999995</v>
      </c>
      <c r="G278" s="18">
        <f>1935.14+3710.35</f>
        <v>5645.49</v>
      </c>
      <c r="H278" s="18">
        <v>45909.75</v>
      </c>
      <c r="I278" s="18">
        <f>174.31+179.99+1404+1984</f>
        <v>3742.3</v>
      </c>
      <c r="J278" s="18">
        <f>9313.67+2469.86</f>
        <v>11783.53</v>
      </c>
      <c r="K278" s="18">
        <v>0</v>
      </c>
      <c r="L278" s="13">
        <f>SUM(F278:K278)</f>
        <v>121274.83</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34750</v>
      </c>
      <c r="G280" s="18">
        <v>7701.73</v>
      </c>
      <c r="H280" s="18">
        <v>0</v>
      </c>
      <c r="I280" s="18">
        <v>2744.59</v>
      </c>
      <c r="J280" s="18">
        <v>0</v>
      </c>
      <c r="K280" s="18">
        <v>8778.52</v>
      </c>
      <c r="L280" s="13">
        <f>SUM(F280:K280)</f>
        <v>53974.84</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73026.27</v>
      </c>
      <c r="G282" s="18">
        <v>20218.060000000001</v>
      </c>
      <c r="H282" s="18">
        <v>7761.81</v>
      </c>
      <c r="I282" s="18">
        <v>10664.73</v>
      </c>
      <c r="J282" s="18"/>
      <c r="K282" s="18"/>
      <c r="L282" s="13">
        <f t="shared" ref="L282:L288" si="12">SUM(F282:K282)</f>
        <v>111670.87</v>
      </c>
      <c r="M282" s="8"/>
      <c r="N282" s="164"/>
    </row>
    <row r="283" spans="1:14" s="3" customFormat="1" ht="12.2" customHeight="1" x14ac:dyDescent="0.15">
      <c r="A283" s="1" t="s">
        <v>443</v>
      </c>
      <c r="B283" s="2" t="s">
        <v>357</v>
      </c>
      <c r="C283" s="2" t="s">
        <v>295</v>
      </c>
      <c r="D283" s="2" t="s">
        <v>431</v>
      </c>
      <c r="E283" s="6">
        <v>2200</v>
      </c>
      <c r="F283" s="18">
        <v>14674.7</v>
      </c>
      <c r="G283" s="18">
        <v>3988.77</v>
      </c>
      <c r="H283" s="18">
        <v>59969.46</v>
      </c>
      <c r="I283" s="18">
        <v>0</v>
      </c>
      <c r="J283" s="18">
        <v>11596.66</v>
      </c>
      <c r="K283" s="18">
        <v>0</v>
      </c>
      <c r="L283" s="13">
        <f t="shared" si="12"/>
        <v>90229.59</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f>14592.83+7130.91</f>
        <v>21723.739999999998</v>
      </c>
      <c r="G287" s="18">
        <f>2864.88+1383.62</f>
        <v>4248.5</v>
      </c>
      <c r="H287" s="18"/>
      <c r="I287" s="18">
        <v>1130.3599999999999</v>
      </c>
      <c r="J287" s="18"/>
      <c r="K287" s="18"/>
      <c r="L287" s="13">
        <f t="shared" si="12"/>
        <v>27102.6</v>
      </c>
      <c r="M287" s="8"/>
      <c r="N287" s="164"/>
    </row>
    <row r="288" spans="1:14" s="3" customFormat="1" ht="12.2" customHeight="1" x14ac:dyDescent="0.15">
      <c r="A288" s="1" t="s">
        <v>448</v>
      </c>
      <c r="B288" s="2" t="s">
        <v>357</v>
      </c>
      <c r="C288" s="2" t="s">
        <v>300</v>
      </c>
      <c r="D288" s="2" t="s">
        <v>431</v>
      </c>
      <c r="E288" s="6">
        <v>2700</v>
      </c>
      <c r="F288" s="18"/>
      <c r="G288" s="18"/>
      <c r="H288" s="18">
        <v>9658.5</v>
      </c>
      <c r="I288" s="18"/>
      <c r="J288" s="18"/>
      <c r="K288" s="18"/>
      <c r="L288" s="13">
        <f t="shared" si="12"/>
        <v>9658.5</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431518.63</v>
      </c>
      <c r="G291" s="39">
        <f t="shared" si="13"/>
        <v>128950.55</v>
      </c>
      <c r="H291" s="39">
        <f t="shared" si="13"/>
        <v>125938.59</v>
      </c>
      <c r="I291" s="39">
        <f t="shared" si="13"/>
        <v>57983.89</v>
      </c>
      <c r="J291" s="39">
        <f t="shared" si="13"/>
        <v>30720.27</v>
      </c>
      <c r="K291" s="39">
        <f t="shared" si="13"/>
        <v>11778.52</v>
      </c>
      <c r="L291" s="38">
        <f t="shared" si="13"/>
        <v>786890.45</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58844.75</v>
      </c>
      <c r="G315" s="18">
        <v>13529.74</v>
      </c>
      <c r="H315" s="18">
        <v>487.07</v>
      </c>
      <c r="I315" s="18">
        <v>15483.17</v>
      </c>
      <c r="J315" s="18">
        <f>1414.6+3228.95</f>
        <v>4643.5499999999993</v>
      </c>
      <c r="K315" s="18">
        <v>0</v>
      </c>
      <c r="L315" s="13">
        <f>SUM(F315:K315)</f>
        <v>92988.280000000013</v>
      </c>
      <c r="M315" s="8"/>
      <c r="N315" s="164"/>
    </row>
    <row r="316" spans="1:14" s="3" customFormat="1" ht="12.2" customHeight="1" x14ac:dyDescent="0.15">
      <c r="A316" s="1" t="s">
        <v>439</v>
      </c>
      <c r="B316" s="2" t="s">
        <v>359</v>
      </c>
      <c r="C316" s="2" t="s">
        <v>291</v>
      </c>
      <c r="D316" s="2" t="s">
        <v>431</v>
      </c>
      <c r="E316" s="6">
        <v>1200</v>
      </c>
      <c r="F316" s="18">
        <v>3570</v>
      </c>
      <c r="G316" s="18">
        <f>273.1+701.15</f>
        <v>974.25</v>
      </c>
      <c r="H316" s="18">
        <f>25.41+17473.21+199.55</f>
        <v>17698.169999999998</v>
      </c>
      <c r="I316" s="18"/>
      <c r="J316" s="18"/>
      <c r="K316" s="18"/>
      <c r="L316" s="13">
        <f>SUM(F316:K316)</f>
        <v>22242.42</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v>0</v>
      </c>
      <c r="G318" s="18">
        <v>0</v>
      </c>
      <c r="H318" s="18">
        <v>0</v>
      </c>
      <c r="I318" s="18">
        <v>2001.02</v>
      </c>
      <c r="J318" s="18">
        <v>6243.98</v>
      </c>
      <c r="K318" s="18">
        <v>0</v>
      </c>
      <c r="L318" s="13">
        <f>SUM(F318:K318)</f>
        <v>8245</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38968.660000000003</v>
      </c>
      <c r="G320" s="18">
        <v>14851.54</v>
      </c>
      <c r="H320" s="18">
        <v>8243.9599999999991</v>
      </c>
      <c r="I320" s="18">
        <v>509.91</v>
      </c>
      <c r="J320" s="18"/>
      <c r="K320" s="18"/>
      <c r="L320" s="13">
        <f t="shared" ref="L320:L326" si="16">SUM(F320:K320)</f>
        <v>62574.070000000007</v>
      </c>
      <c r="M320" s="8"/>
      <c r="N320" s="164"/>
    </row>
    <row r="321" spans="1:14" s="3" customFormat="1" ht="12.2" customHeight="1" x14ac:dyDescent="0.15">
      <c r="A321" s="1" t="s">
        <v>443</v>
      </c>
      <c r="B321" s="2" t="s">
        <v>359</v>
      </c>
      <c r="C321" s="2" t="s">
        <v>295</v>
      </c>
      <c r="D321" s="2" t="s">
        <v>431</v>
      </c>
      <c r="E321" s="6">
        <v>2200</v>
      </c>
      <c r="F321" s="18">
        <v>11892.3</v>
      </c>
      <c r="G321" s="18">
        <v>14794.45</v>
      </c>
      <c r="H321" s="18">
        <v>66020.31</v>
      </c>
      <c r="I321" s="18">
        <v>2526.81</v>
      </c>
      <c r="J321" s="18"/>
      <c r="K321" s="18">
        <v>1010</v>
      </c>
      <c r="L321" s="13">
        <f t="shared" si="16"/>
        <v>96243.87</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v>1256.96</v>
      </c>
      <c r="L322" s="13">
        <f t="shared" si="16"/>
        <v>1256.96</v>
      </c>
      <c r="M322" s="8"/>
      <c r="N322" s="164"/>
    </row>
    <row r="323" spans="1:14" s="3" customFormat="1" ht="12.2" customHeight="1" x14ac:dyDescent="0.15">
      <c r="A323" s="1" t="s">
        <v>445</v>
      </c>
      <c r="B323" s="2" t="s">
        <v>359</v>
      </c>
      <c r="C323" s="2" t="s">
        <v>297</v>
      </c>
      <c r="D323" s="2" t="s">
        <v>431</v>
      </c>
      <c r="E323" s="6">
        <v>2400</v>
      </c>
      <c r="F323" s="18">
        <f>912+9140</f>
        <v>10052</v>
      </c>
      <c r="G323" s="18">
        <f>69.76+699.21+179.12+1795.1</f>
        <v>2743.19</v>
      </c>
      <c r="H323" s="18"/>
      <c r="I323" s="18"/>
      <c r="J323" s="18"/>
      <c r="K323" s="18"/>
      <c r="L323" s="13">
        <f t="shared" si="16"/>
        <v>12795.19</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f>9756.73+769.5</f>
        <v>10526.23</v>
      </c>
      <c r="G325" s="18">
        <f>805.16+1225.8</f>
        <v>2030.96</v>
      </c>
      <c r="H325" s="18"/>
      <c r="I325" s="18">
        <v>2156.42</v>
      </c>
      <c r="J325" s="18"/>
      <c r="K325" s="18"/>
      <c r="L325" s="13">
        <f t="shared" si="16"/>
        <v>14713.609999999999</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133853.94</v>
      </c>
      <c r="G329" s="39">
        <f t="shared" si="17"/>
        <v>48924.13</v>
      </c>
      <c r="H329" s="39">
        <f t="shared" si="17"/>
        <v>92449.51</v>
      </c>
      <c r="I329" s="39">
        <f t="shared" si="17"/>
        <v>22677.33</v>
      </c>
      <c r="J329" s="39">
        <f t="shared" si="17"/>
        <v>10887.529999999999</v>
      </c>
      <c r="K329" s="39">
        <f t="shared" si="17"/>
        <v>2266.96</v>
      </c>
      <c r="L329" s="38">
        <f t="shared" si="17"/>
        <v>311059.40000000002</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v>2240</v>
      </c>
      <c r="G334" s="18">
        <f>171.36+439.94</f>
        <v>611.29999999999995</v>
      </c>
      <c r="H334" s="18">
        <v>0</v>
      </c>
      <c r="I334" s="18">
        <v>791.25</v>
      </c>
      <c r="J334" s="18"/>
      <c r="K334" s="18"/>
      <c r="L334" s="13">
        <f t="shared" si="18"/>
        <v>3642.55</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v>139487</v>
      </c>
      <c r="K337" s="18"/>
      <c r="L337" s="13">
        <f t="shared" si="18"/>
        <v>139487</v>
      </c>
      <c r="M337" s="8"/>
      <c r="N337" s="164"/>
    </row>
    <row r="338" spans="1:43" s="3" customFormat="1" ht="12.2" customHeight="1" thickTop="1" thickBot="1" x14ac:dyDescent="0.2">
      <c r="A338" s="46" t="s">
        <v>467</v>
      </c>
      <c r="B338" s="37">
        <v>14</v>
      </c>
      <c r="C338" s="47">
        <v>6</v>
      </c>
      <c r="D338" s="44" t="s">
        <v>431</v>
      </c>
      <c r="E338" s="47"/>
      <c r="F338" s="38">
        <f t="shared" ref="F338:K338" si="19">SUM(F333:F337)</f>
        <v>2240</v>
      </c>
      <c r="G338" s="38">
        <f t="shared" si="19"/>
        <v>611.29999999999995</v>
      </c>
      <c r="H338" s="38">
        <f t="shared" si="19"/>
        <v>0</v>
      </c>
      <c r="I338" s="38">
        <f t="shared" si="19"/>
        <v>791.25</v>
      </c>
      <c r="J338" s="38">
        <f t="shared" si="19"/>
        <v>139487</v>
      </c>
      <c r="K338" s="38">
        <f t="shared" si="19"/>
        <v>0</v>
      </c>
      <c r="L338" s="38">
        <f t="shared" si="18"/>
        <v>143129.54999999999</v>
      </c>
      <c r="M338" s="8"/>
      <c r="N338" s="164"/>
    </row>
    <row r="339" spans="1:43" s="3" customFormat="1" ht="12.2" customHeight="1" thickTop="1" x14ac:dyDescent="0.15">
      <c r="A339" s="35" t="s">
        <v>468</v>
      </c>
      <c r="B339" s="37">
        <v>14</v>
      </c>
      <c r="C339" s="37">
        <v>7</v>
      </c>
      <c r="D339" s="36" t="s">
        <v>431</v>
      </c>
      <c r="E339" s="37"/>
      <c r="F339" s="38">
        <f t="shared" ref="F339:L339" si="20">F291+F310+F329+F338</f>
        <v>567612.57000000007</v>
      </c>
      <c r="G339" s="38">
        <f t="shared" si="20"/>
        <v>178485.97999999998</v>
      </c>
      <c r="H339" s="38">
        <f t="shared" si="20"/>
        <v>218388.09999999998</v>
      </c>
      <c r="I339" s="38">
        <f t="shared" si="20"/>
        <v>81452.47</v>
      </c>
      <c r="J339" s="38">
        <f t="shared" si="20"/>
        <v>181094.8</v>
      </c>
      <c r="K339" s="38">
        <f t="shared" si="20"/>
        <v>14045.48</v>
      </c>
      <c r="L339" s="38">
        <f t="shared" si="20"/>
        <v>1241079.4000000001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4"/>
      <c r="L346" s="13">
        <f t="shared" ref="L346:L351" si="21">SUM(F346:K346)</f>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567612.57000000007</v>
      </c>
      <c r="G353" s="38">
        <f>G339</f>
        <v>178485.97999999998</v>
      </c>
      <c r="H353" s="38">
        <f>H339</f>
        <v>218388.09999999998</v>
      </c>
      <c r="I353" s="38">
        <f>I339</f>
        <v>81452.47</v>
      </c>
      <c r="J353" s="38">
        <f>J339</f>
        <v>181094.8</v>
      </c>
      <c r="K353" s="38">
        <f>K339+K352</f>
        <v>14045.48</v>
      </c>
      <c r="L353" s="38">
        <f>L339+L352</f>
        <v>1241079.4000000001</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f>85821.24+8379.75+7146.12</f>
        <v>101347.11</v>
      </c>
      <c r="I359" s="18"/>
      <c r="J359" s="18"/>
      <c r="K359" s="18"/>
      <c r="L359" s="13">
        <f>SUM(F359:K359)</f>
        <v>101347.11</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f>98062.07+1576.47</f>
        <v>99638.540000000008</v>
      </c>
      <c r="I361" s="18"/>
      <c r="J361" s="18"/>
      <c r="K361" s="18"/>
      <c r="L361" s="13">
        <f>SUM(F361:K361)</f>
        <v>99638.540000000008</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200985.65000000002</v>
      </c>
      <c r="I363" s="38">
        <f t="shared" si="22"/>
        <v>0</v>
      </c>
      <c r="J363" s="38">
        <f t="shared" si="22"/>
        <v>0</v>
      </c>
      <c r="K363" s="38">
        <f t="shared" si="22"/>
        <v>0</v>
      </c>
      <c r="L363" s="38">
        <f t="shared" si="22"/>
        <v>200985.65000000002</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25000</v>
      </c>
      <c r="H397" s="18">
        <v>12565.08</v>
      </c>
      <c r="I397" s="18"/>
      <c r="J397" s="23" t="s">
        <v>288</v>
      </c>
      <c r="K397" s="23" t="s">
        <v>288</v>
      </c>
      <c r="L397" s="13">
        <f t="shared" si="26"/>
        <v>37565.08</v>
      </c>
      <c r="M397" s="8"/>
      <c r="N397" s="164"/>
    </row>
    <row r="398" spans="1:14" s="3" customFormat="1" ht="12.2" customHeight="1" x14ac:dyDescent="0.15">
      <c r="A398" s="62" t="s">
        <v>515</v>
      </c>
      <c r="B398" s="2" t="s">
        <v>381</v>
      </c>
      <c r="C398" s="6">
        <v>10</v>
      </c>
      <c r="D398" s="2" t="s">
        <v>432</v>
      </c>
      <c r="E398" s="6"/>
      <c r="F398" s="18"/>
      <c r="G398" s="18">
        <v>118201</v>
      </c>
      <c r="H398" s="18">
        <v>15931.02</v>
      </c>
      <c r="I398" s="18"/>
      <c r="J398" s="23" t="s">
        <v>288</v>
      </c>
      <c r="K398" s="23" t="s">
        <v>288</v>
      </c>
      <c r="L398" s="13">
        <f t="shared" si="26"/>
        <v>134132.01999999999</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v>6830.55</v>
      </c>
      <c r="I400" s="18"/>
      <c r="J400" s="23" t="s">
        <v>288</v>
      </c>
      <c r="K400" s="23" t="s">
        <v>288</v>
      </c>
      <c r="L400" s="13">
        <f t="shared" si="26"/>
        <v>6830.55</v>
      </c>
      <c r="M400" s="8"/>
      <c r="N400" s="164"/>
    </row>
    <row r="401" spans="1:21" s="3" customFormat="1" ht="12.2" customHeight="1" thickBot="1" x14ac:dyDescent="0.2">
      <c r="A401" s="62" t="s">
        <v>510</v>
      </c>
      <c r="B401" s="2" t="s">
        <v>381</v>
      </c>
      <c r="C401" s="6">
        <v>13</v>
      </c>
      <c r="D401" s="2" t="s">
        <v>432</v>
      </c>
      <c r="E401" s="6"/>
      <c r="F401" s="18"/>
      <c r="G401" s="18">
        <v>50000</v>
      </c>
      <c r="H401" s="18">
        <v>4109.33</v>
      </c>
      <c r="I401" s="18"/>
      <c r="J401" s="23" t="s">
        <v>288</v>
      </c>
      <c r="K401" s="23" t="s">
        <v>288</v>
      </c>
      <c r="L401" s="13">
        <f t="shared" si="26"/>
        <v>54109.33</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193201</v>
      </c>
      <c r="H402" s="38">
        <f>SUM(H396:H401)</f>
        <v>39435.980000000003</v>
      </c>
      <c r="I402" s="38">
        <f>SUM(I396:I401)</f>
        <v>0</v>
      </c>
      <c r="J402" s="42" t="s">
        <v>288</v>
      </c>
      <c r="K402" s="42" t="s">
        <v>288</v>
      </c>
      <c r="L402" s="38">
        <f>SUM(L396:L401)</f>
        <v>232636.97999999998</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193201</v>
      </c>
      <c r="H409" s="38">
        <f>H394+H402+H408</f>
        <v>39435.980000000003</v>
      </c>
      <c r="I409" s="38">
        <f>I394+I402+I408</f>
        <v>0</v>
      </c>
      <c r="J409" s="23" t="s">
        <v>288</v>
      </c>
      <c r="K409" s="23" t="s">
        <v>288</v>
      </c>
      <c r="L409" s="38">
        <f>L394+L402+L408</f>
        <v>232636.97999999998</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v>19110.669999999998</v>
      </c>
      <c r="I423" s="18"/>
      <c r="J423" s="18"/>
      <c r="K423" s="18"/>
      <c r="L423" s="13">
        <f t="shared" si="29"/>
        <v>19110.669999999998</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19110.669999999998</v>
      </c>
      <c r="I428" s="38">
        <f t="shared" si="30"/>
        <v>0</v>
      </c>
      <c r="J428" s="38">
        <f t="shared" si="30"/>
        <v>0</v>
      </c>
      <c r="K428" s="38">
        <f t="shared" si="30"/>
        <v>0</v>
      </c>
      <c r="L428" s="38">
        <f t="shared" si="30"/>
        <v>19110.669999999998</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19110.669999999998</v>
      </c>
      <c r="I435" s="38">
        <f t="shared" si="32"/>
        <v>0</v>
      </c>
      <c r="J435" s="38">
        <f t="shared" si="32"/>
        <v>0</v>
      </c>
      <c r="K435" s="38">
        <f t="shared" si="32"/>
        <v>0</v>
      </c>
      <c r="L435" s="38">
        <f t="shared" si="32"/>
        <v>19110.669999999998</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v>864718.49</v>
      </c>
      <c r="H440" s="18"/>
      <c r="I440" s="13">
        <f t="shared" ref="I440:I446" si="33">SUM(F440:H440)</f>
        <v>864718.49</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864718.49</v>
      </c>
      <c r="H447" s="13">
        <f>SUM(H440:H446)</f>
        <v>0</v>
      </c>
      <c r="I447" s="13">
        <f>SUM(I440:I446)</f>
        <v>864718.49</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v>864718.49</v>
      </c>
      <c r="H457" s="18"/>
      <c r="I457" s="13">
        <f t="shared" si="34"/>
        <v>864718.49</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864718.49</v>
      </c>
      <c r="H461" s="65">
        <f>SUM(H455:H460)</f>
        <v>0</v>
      </c>
      <c r="I461" s="65">
        <f>SUM(I455:I460)</f>
        <v>864718.49</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864718.49</v>
      </c>
      <c r="H462" s="39">
        <f>H453+H461</f>
        <v>0</v>
      </c>
      <c r="I462" s="39">
        <f>I453+I461</f>
        <v>864718.49</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475305.12</v>
      </c>
      <c r="G466" s="18">
        <v>11030.98</v>
      </c>
      <c r="H466" s="18">
        <v>0</v>
      </c>
      <c r="I466" s="18"/>
      <c r="J466" s="18">
        <v>651192.18000000005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6180367.36+4560.61</f>
        <v>6184927.9700000007</v>
      </c>
      <c r="G469" s="18">
        <f>189954.67+1049</f>
        <v>191003.67</v>
      </c>
      <c r="H469" s="18">
        <f>1241079.4</f>
        <v>1241079.3999999999</v>
      </c>
      <c r="I469" s="18"/>
      <c r="J469" s="18">
        <f>39435.98+193201</f>
        <v>232636.98</v>
      </c>
      <c r="K469" s="23" t="s">
        <v>288</v>
      </c>
      <c r="L469" s="23" t="s">
        <v>288</v>
      </c>
      <c r="N469" s="130"/>
    </row>
    <row r="470" spans="1:14" ht="12.2" customHeight="1" x14ac:dyDescent="0.2">
      <c r="A470" s="71" t="s">
        <v>611</v>
      </c>
      <c r="B470" s="22">
        <v>19</v>
      </c>
      <c r="C470" s="31">
        <v>3</v>
      </c>
      <c r="D470" s="2" t="s">
        <v>432</v>
      </c>
      <c r="E470" s="31"/>
      <c r="F470" s="18"/>
      <c r="G470" s="18">
        <v>0</v>
      </c>
      <c r="H470" s="18"/>
      <c r="I470" s="18"/>
      <c r="J470" s="18"/>
      <c r="K470" s="23" t="s">
        <v>288</v>
      </c>
      <c r="L470" s="23" t="s">
        <v>288</v>
      </c>
      <c r="N470" s="130"/>
    </row>
    <row r="471" spans="1:14" ht="12.2" customHeight="1" x14ac:dyDescent="0.2">
      <c r="A471" s="32" t="s">
        <v>425</v>
      </c>
      <c r="B471" s="22">
        <v>19</v>
      </c>
      <c r="C471" s="31">
        <v>4</v>
      </c>
      <c r="D471" s="2" t="s">
        <v>432</v>
      </c>
      <c r="E471" s="31"/>
      <c r="F471" s="19">
        <f>SUM(F469:F470)</f>
        <v>6184927.9700000007</v>
      </c>
      <c r="G471" s="19">
        <f>SUM(G469:G470)</f>
        <v>191003.67</v>
      </c>
      <c r="H471" s="19">
        <f>SUM(H469:H470)</f>
        <v>1241079.3999999999</v>
      </c>
      <c r="I471" s="19">
        <f>SUM(I469:I470)</f>
        <v>0</v>
      </c>
      <c r="J471" s="19">
        <f>SUM(J469:J470)</f>
        <v>232636.98</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6174004.47</f>
        <v>6174004.4699999997</v>
      </c>
      <c r="G473" s="18">
        <f>200985.65</f>
        <v>200985.65</v>
      </c>
      <c r="H473" s="18">
        <f>1241079.4</f>
        <v>1241079.3999999999</v>
      </c>
      <c r="I473" s="18"/>
      <c r="J473" s="18">
        <v>19110.669999999998</v>
      </c>
      <c r="K473" s="23" t="s">
        <v>288</v>
      </c>
      <c r="L473" s="23" t="s">
        <v>288</v>
      </c>
      <c r="N473" s="130"/>
    </row>
    <row r="474" spans="1:14" ht="12.2" customHeight="1" x14ac:dyDescent="0.2">
      <c r="A474" s="71" t="s">
        <v>613</v>
      </c>
      <c r="B474" s="22">
        <v>19</v>
      </c>
      <c r="C474" s="31">
        <v>6</v>
      </c>
      <c r="D474" s="2" t="s">
        <v>432</v>
      </c>
      <c r="E474" s="31"/>
      <c r="F474" s="18">
        <f>4560.61+11030.98</f>
        <v>15591.59</v>
      </c>
      <c r="G474" s="18">
        <v>1049</v>
      </c>
      <c r="H474" s="18"/>
      <c r="I474" s="18"/>
      <c r="J474" s="18"/>
      <c r="K474" s="23" t="s">
        <v>288</v>
      </c>
      <c r="L474" s="23" t="s">
        <v>288</v>
      </c>
      <c r="N474" s="130"/>
    </row>
    <row r="475" spans="1:14" ht="12.2" customHeight="1" x14ac:dyDescent="0.2">
      <c r="A475" s="32" t="s">
        <v>426</v>
      </c>
      <c r="B475" s="22">
        <v>19</v>
      </c>
      <c r="C475" s="31">
        <v>7</v>
      </c>
      <c r="D475" s="2" t="s">
        <v>432</v>
      </c>
      <c r="E475" s="31"/>
      <c r="F475" s="19">
        <f>SUM(F473:F474)</f>
        <v>6189596.0599999996</v>
      </c>
      <c r="G475" s="19">
        <f>SUM(G473:G474)</f>
        <v>202034.65</v>
      </c>
      <c r="H475" s="19">
        <f>SUM(H473:H474)</f>
        <v>1241079.3999999999</v>
      </c>
      <c r="I475" s="19">
        <f>SUM(I473:I474)</f>
        <v>0</v>
      </c>
      <c r="J475" s="19">
        <f>SUM(J473:J474)</f>
        <v>19110.669999999998</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470637.03000000119</v>
      </c>
      <c r="G477" s="19">
        <f>(G466+G471)- G475</f>
        <v>0</v>
      </c>
      <c r="H477" s="19">
        <f>(H466+H471)- H475</f>
        <v>0</v>
      </c>
      <c r="I477" s="19">
        <f>(I466+I471)- I475</f>
        <v>0</v>
      </c>
      <c r="J477" s="19">
        <f>(J466+J471)- J475</f>
        <v>864718.49</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1842</v>
      </c>
      <c r="B484" s="73"/>
      <c r="C484" s="73"/>
      <c r="D484" s="73"/>
      <c r="E484" s="73"/>
      <c r="F484" s="73"/>
      <c r="G484" s="73"/>
      <c r="H484" s="73"/>
      <c r="I484" s="73" t="s">
        <v>18</v>
      </c>
      <c r="J484" s="73"/>
      <c r="K484" s="73"/>
      <c r="L484" s="73"/>
      <c r="N484" s="130"/>
    </row>
    <row r="485" spans="1:14" ht="12.2" customHeight="1" x14ac:dyDescent="0.2">
      <c r="A485" s="55" t="s">
        <v>1843</v>
      </c>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235753.69+60360.9+848+7495+19539.03+19996.11+1815.62+2250+2250</f>
        <v>350308.35</v>
      </c>
      <c r="G522" s="18">
        <f>108046.01+75.2+1666.88+563.04+1701.81+193.06+1445.5</f>
        <v>113691.49999999999</v>
      </c>
      <c r="H522" s="18">
        <f>210216.31+45909.75</f>
        <v>256126.06</v>
      </c>
      <c r="I522" s="18">
        <f>1685.39+174.31+179.99+1404</f>
        <v>3443.69</v>
      </c>
      <c r="J522" s="18">
        <f>7074.9+9313.67+2469.86</f>
        <v>18858.43</v>
      </c>
      <c r="K522" s="18">
        <v>0</v>
      </c>
      <c r="L522" s="69">
        <f>SUM(F522:K522)</f>
        <v>742428.02999999991</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f>174986.96+3570</f>
        <v>178556.96</v>
      </c>
      <c r="G524" s="18">
        <f>55807.57+273.1+701.15</f>
        <v>56781.82</v>
      </c>
      <c r="H524" s="18">
        <f>2750.41+25.41+17473.21+199.55</f>
        <v>20448.579999999998</v>
      </c>
      <c r="I524" s="18">
        <v>594.91999999999996</v>
      </c>
      <c r="J524" s="18">
        <v>0</v>
      </c>
      <c r="K524" s="18">
        <v>0</v>
      </c>
      <c r="L524" s="69">
        <f>SUM(F524:K524)</f>
        <v>256382.28</v>
      </c>
      <c r="N524" s="130"/>
    </row>
    <row r="525" spans="1:14" ht="12.2" customHeight="1" thickTop="1" x14ac:dyDescent="0.2">
      <c r="A525" s="97" t="s">
        <v>63</v>
      </c>
      <c r="B525" s="41">
        <v>21</v>
      </c>
      <c r="C525" s="41">
        <v>4</v>
      </c>
      <c r="D525" s="115" t="s">
        <v>432</v>
      </c>
      <c r="E525" s="41"/>
      <c r="F525" s="81">
        <f>SUM(F522:F524)</f>
        <v>528865.30999999994</v>
      </c>
      <c r="G525" s="81">
        <f t="shared" ref="G525:L525" si="36">SUM(G522:G524)</f>
        <v>170473.31999999998</v>
      </c>
      <c r="H525" s="81">
        <f t="shared" si="36"/>
        <v>276574.64</v>
      </c>
      <c r="I525" s="81">
        <f t="shared" si="36"/>
        <v>4038.61</v>
      </c>
      <c r="J525" s="81">
        <f t="shared" si="36"/>
        <v>18858.43</v>
      </c>
      <c r="K525" s="81">
        <f t="shared" si="36"/>
        <v>0</v>
      </c>
      <c r="L525" s="70">
        <f t="shared" si="36"/>
        <v>998810.30999999994</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103368.37</v>
      </c>
      <c r="G527" s="18">
        <v>50796.35</v>
      </c>
      <c r="H527" s="18">
        <v>630.13</v>
      </c>
      <c r="I527" s="18">
        <v>1269.52</v>
      </c>
      <c r="J527" s="18"/>
      <c r="K527" s="18"/>
      <c r="L527" s="69">
        <f>SUM(F527:K527)</f>
        <v>156064.37</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v>24016.43</v>
      </c>
      <c r="G529" s="18">
        <v>12198.5</v>
      </c>
      <c r="H529" s="18">
        <v>121.87</v>
      </c>
      <c r="I529" s="18">
        <v>606.28</v>
      </c>
      <c r="J529" s="18"/>
      <c r="K529" s="18"/>
      <c r="L529" s="69">
        <f>SUM(F529:K529)</f>
        <v>36943.08</v>
      </c>
      <c r="M529" s="8"/>
      <c r="N529" s="164"/>
    </row>
    <row r="530" spans="1:14" s="3" customFormat="1" ht="12.2" customHeight="1" thickTop="1" x14ac:dyDescent="0.15">
      <c r="A530" s="97" t="s">
        <v>65</v>
      </c>
      <c r="B530" s="41">
        <v>21</v>
      </c>
      <c r="C530" s="41">
        <v>8</v>
      </c>
      <c r="D530" s="115" t="s">
        <v>432</v>
      </c>
      <c r="E530" s="41"/>
      <c r="F530" s="70">
        <f>SUM(F527:F529)</f>
        <v>127384.79999999999</v>
      </c>
      <c r="G530" s="70">
        <f t="shared" ref="G530:L530" si="37">SUM(G527:G529)</f>
        <v>62994.85</v>
      </c>
      <c r="H530" s="70">
        <f t="shared" si="37"/>
        <v>752</v>
      </c>
      <c r="I530" s="70">
        <f t="shared" si="37"/>
        <v>1875.8</v>
      </c>
      <c r="J530" s="70">
        <f t="shared" si="37"/>
        <v>0</v>
      </c>
      <c r="K530" s="70">
        <f t="shared" si="37"/>
        <v>0</v>
      </c>
      <c r="L530" s="70">
        <f t="shared" si="37"/>
        <v>193007.45</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56550.3</v>
      </c>
      <c r="G532" s="18">
        <v>37687.14</v>
      </c>
      <c r="H532" s="18">
        <v>1922.61</v>
      </c>
      <c r="I532" s="18">
        <v>751.77</v>
      </c>
      <c r="J532" s="18">
        <v>0</v>
      </c>
      <c r="K532" s="18">
        <v>4276.38</v>
      </c>
      <c r="L532" s="69">
        <f>SUM(F532:K532)</f>
        <v>101188.20000000001</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v>32993.15</v>
      </c>
      <c r="G534" s="18">
        <v>20209.009999999998</v>
      </c>
      <c r="H534" s="18">
        <v>533.01</v>
      </c>
      <c r="I534" s="18">
        <v>204.65</v>
      </c>
      <c r="J534" s="18"/>
      <c r="K534" s="18">
        <v>1908.74</v>
      </c>
      <c r="L534" s="69">
        <f>SUM(F534:K534)</f>
        <v>55848.560000000005</v>
      </c>
      <c r="M534" s="8"/>
      <c r="N534" s="164"/>
    </row>
    <row r="535" spans="1:14" s="3" customFormat="1" ht="12.2" customHeight="1" thickTop="1" x14ac:dyDescent="0.15">
      <c r="A535" s="97" t="s">
        <v>67</v>
      </c>
      <c r="B535" s="41">
        <v>21</v>
      </c>
      <c r="C535" s="41">
        <v>12</v>
      </c>
      <c r="D535" s="115" t="s">
        <v>432</v>
      </c>
      <c r="E535" s="41"/>
      <c r="F535" s="70">
        <f>SUM(F532:F534)</f>
        <v>89543.450000000012</v>
      </c>
      <c r="G535" s="70">
        <f t="shared" ref="G535:L535" si="38">SUM(G532:G534)</f>
        <v>57896.149999999994</v>
      </c>
      <c r="H535" s="70">
        <f t="shared" si="38"/>
        <v>2455.62</v>
      </c>
      <c r="I535" s="70">
        <f t="shared" si="38"/>
        <v>956.42</v>
      </c>
      <c r="J535" s="70">
        <f t="shared" si="38"/>
        <v>0</v>
      </c>
      <c r="K535" s="70">
        <f t="shared" si="38"/>
        <v>6185.12</v>
      </c>
      <c r="L535" s="70">
        <f t="shared" si="38"/>
        <v>157036.76</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408.7</v>
      </c>
      <c r="I537" s="18"/>
      <c r="J537" s="18"/>
      <c r="K537" s="18"/>
      <c r="L537" s="69">
        <f>SUM(F537:K537)</f>
        <v>408.7</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408.7</v>
      </c>
      <c r="I540" s="70">
        <f t="shared" si="39"/>
        <v>0</v>
      </c>
      <c r="J540" s="70">
        <f t="shared" si="39"/>
        <v>0</v>
      </c>
      <c r="K540" s="70">
        <f t="shared" si="39"/>
        <v>0</v>
      </c>
      <c r="L540" s="70">
        <f t="shared" si="39"/>
        <v>408.7</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f>102.18+11015.95</f>
        <v>11118.130000000001</v>
      </c>
      <c r="I542" s="18"/>
      <c r="J542" s="18"/>
      <c r="K542" s="18"/>
      <c r="L542" s="69">
        <f>SUM(F542:K542)</f>
        <v>11118.130000000001</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11118.130000000001</v>
      </c>
      <c r="I545" s="140">
        <f t="shared" si="40"/>
        <v>0</v>
      </c>
      <c r="J545" s="140">
        <f t="shared" si="40"/>
        <v>0</v>
      </c>
      <c r="K545" s="140">
        <f t="shared" si="40"/>
        <v>0</v>
      </c>
      <c r="L545" s="140">
        <f t="shared" si="40"/>
        <v>11118.130000000001</v>
      </c>
      <c r="M545" s="8"/>
      <c r="N545" s="164"/>
    </row>
    <row r="546" spans="1:14" s="3" customFormat="1" ht="12.2" customHeight="1" thickTop="1" x14ac:dyDescent="0.15">
      <c r="A546" s="75" t="s">
        <v>72</v>
      </c>
      <c r="B546" s="41">
        <v>21</v>
      </c>
      <c r="C546" s="41">
        <v>21</v>
      </c>
      <c r="D546" s="115" t="s">
        <v>432</v>
      </c>
      <c r="E546" s="41"/>
      <c r="F546" s="70">
        <f>F525+F530+F535+F540+F545</f>
        <v>745793.55999999982</v>
      </c>
      <c r="G546" s="70">
        <f t="shared" ref="G546:L546" si="41">G525+G530+G535+G540+G545</f>
        <v>291364.31999999995</v>
      </c>
      <c r="H546" s="70">
        <f t="shared" si="41"/>
        <v>291309.09000000003</v>
      </c>
      <c r="I546" s="70">
        <f t="shared" si="41"/>
        <v>6870.83</v>
      </c>
      <c r="J546" s="70">
        <f t="shared" si="41"/>
        <v>18858.43</v>
      </c>
      <c r="K546" s="70">
        <f t="shared" si="41"/>
        <v>6185.12</v>
      </c>
      <c r="L546" s="70">
        <f t="shared" si="41"/>
        <v>1360381.3499999999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742428.02999999991</v>
      </c>
      <c r="G550" s="69">
        <f>L527</f>
        <v>156064.37</v>
      </c>
      <c r="H550" s="69">
        <f>L532</f>
        <v>101188.20000000001</v>
      </c>
      <c r="I550" s="69">
        <f>L537</f>
        <v>408.7</v>
      </c>
      <c r="J550" s="69">
        <f>L542</f>
        <v>11118.130000000001</v>
      </c>
      <c r="K550" s="69">
        <f>SUM(F550:J550)</f>
        <v>1011207.4299999998</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256382.28</v>
      </c>
      <c r="G552" s="69">
        <f>L529</f>
        <v>36943.08</v>
      </c>
      <c r="H552" s="69">
        <f>L534</f>
        <v>55848.560000000005</v>
      </c>
      <c r="I552" s="69">
        <f>L539</f>
        <v>0</v>
      </c>
      <c r="J552" s="69">
        <f>L544</f>
        <v>0</v>
      </c>
      <c r="K552" s="69">
        <f>SUM(F552:J552)</f>
        <v>349173.92</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998810.30999999994</v>
      </c>
      <c r="G553" s="70">
        <f t="shared" si="42"/>
        <v>193007.45</v>
      </c>
      <c r="H553" s="70">
        <f t="shared" si="42"/>
        <v>157036.76</v>
      </c>
      <c r="I553" s="70">
        <f t="shared" si="42"/>
        <v>408.7</v>
      </c>
      <c r="J553" s="70">
        <f t="shared" si="42"/>
        <v>11118.130000000001</v>
      </c>
      <c r="K553" s="70">
        <f t="shared" si="42"/>
        <v>1360381.3499999999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29230.5</v>
      </c>
      <c r="I576" s="69">
        <f>SUM(F576:H576)</f>
        <v>29230.5</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4"/>
      <c r="G579" s="18"/>
      <c r="H579" s="18">
        <v>12479.8</v>
      </c>
      <c r="I579" s="69">
        <f t="shared" si="47"/>
        <v>12479.8</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f>6060+40206.1</f>
        <v>46266.1</v>
      </c>
      <c r="G583" s="18"/>
      <c r="H583" s="18"/>
      <c r="I583" s="69">
        <f>SUM(F583:H583)</f>
        <v>46266.1</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46266.1</v>
      </c>
      <c r="G589" s="79">
        <f t="shared" ref="G589:I589" si="48">SUM(G576:G588)</f>
        <v>0</v>
      </c>
      <c r="H589" s="79">
        <f t="shared" si="48"/>
        <v>41710.300000000003</v>
      </c>
      <c r="I589" s="79">
        <f t="shared" si="48"/>
        <v>87976.4</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62388.81+29838.13</f>
        <v>92226.94</v>
      </c>
      <c r="I592" s="18"/>
      <c r="J592" s="18">
        <f>49788.45-31390.28</f>
        <v>18398.169999999998</v>
      </c>
      <c r="K592" s="80">
        <f t="shared" ref="K592:K598" si="49">SUM(H592:J592)</f>
        <v>110625.11</v>
      </c>
      <c r="L592" s="23" t="s">
        <v>288</v>
      </c>
      <c r="M592" s="8"/>
      <c r="N592" s="164"/>
    </row>
    <row r="593" spans="1:14" s="3" customFormat="1" ht="12.2" customHeight="1" x14ac:dyDescent="0.15">
      <c r="A593" s="3" t="s">
        <v>638</v>
      </c>
      <c r="B593" s="22">
        <v>23</v>
      </c>
      <c r="C593" s="22">
        <v>2</v>
      </c>
      <c r="D593" s="2" t="s">
        <v>432</v>
      </c>
      <c r="E593" s="22"/>
      <c r="F593" s="78">
        <v>2722</v>
      </c>
      <c r="G593" s="79" t="s">
        <v>97</v>
      </c>
      <c r="H593" s="18">
        <v>11118.13</v>
      </c>
      <c r="I593" s="18"/>
      <c r="J593" s="18"/>
      <c r="K593" s="80">
        <f t="shared" si="49"/>
        <v>11118.13</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31390.28</v>
      </c>
      <c r="K594" s="80">
        <f t="shared" si="49"/>
        <v>31390.28</v>
      </c>
      <c r="L594" s="23" t="s">
        <v>288</v>
      </c>
      <c r="M594" s="8"/>
      <c r="N594" s="164"/>
    </row>
    <row r="595" spans="1:14" s="3" customFormat="1" ht="12.2" customHeight="1" x14ac:dyDescent="0.15">
      <c r="A595" s="21" t="s">
        <v>640</v>
      </c>
      <c r="B595" s="22">
        <v>23</v>
      </c>
      <c r="C595" s="22">
        <v>4</v>
      </c>
      <c r="D595" s="2" t="s">
        <v>432</v>
      </c>
      <c r="E595" s="22"/>
      <c r="F595" s="78">
        <v>2724</v>
      </c>
      <c r="G595" s="79" t="s">
        <v>97</v>
      </c>
      <c r="H595" s="18">
        <v>7105.75</v>
      </c>
      <c r="I595" s="18"/>
      <c r="J595" s="18">
        <v>14932.65</v>
      </c>
      <c r="K595" s="80">
        <f t="shared" si="49"/>
        <v>22038.400000000001</v>
      </c>
      <c r="L595" s="23" t="s">
        <v>288</v>
      </c>
      <c r="M595" s="8"/>
      <c r="N595" s="164"/>
    </row>
    <row r="596" spans="1:14" s="3" customFormat="1" ht="12.2" customHeight="1" x14ac:dyDescent="0.15">
      <c r="A596" s="103" t="s">
        <v>652</v>
      </c>
      <c r="B596" s="22">
        <v>23</v>
      </c>
      <c r="C596" s="22">
        <v>5</v>
      </c>
      <c r="D596" s="2" t="s">
        <v>432</v>
      </c>
      <c r="E596" s="22"/>
      <c r="F596" s="78">
        <v>2725</v>
      </c>
      <c r="G596" s="79" t="s">
        <v>97</v>
      </c>
      <c r="H596" s="18">
        <v>400</v>
      </c>
      <c r="I596" s="18"/>
      <c r="J596" s="18">
        <v>1912.14</v>
      </c>
      <c r="K596" s="80">
        <f t="shared" si="49"/>
        <v>2312.1400000000003</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110850.82</v>
      </c>
      <c r="I599" s="81">
        <f>SUM(I592:I598)</f>
        <v>0</v>
      </c>
      <c r="J599" s="81">
        <f>SUM(J592:J598)</f>
        <v>66633.240000000005</v>
      </c>
      <c r="K599" s="81">
        <f>SUM(K592:K598)</f>
        <v>177484.06000000003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30003.79</f>
        <v>30003.79</v>
      </c>
      <c r="I605" s="18"/>
      <c r="J605" s="18">
        <v>27947.25</v>
      </c>
      <c r="K605" s="80">
        <f>SUM(H605:J605)</f>
        <v>57951.040000000001</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30003.79</v>
      </c>
      <c r="I606" s="81">
        <f>SUM(I603:I605)</f>
        <v>0</v>
      </c>
      <c r="J606" s="81">
        <f>SUM(J603:J605)</f>
        <v>27947.25</v>
      </c>
      <c r="K606" s="81">
        <f>SUM(K603:K605)</f>
        <v>57951.040000000001</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525418.88</v>
      </c>
      <c r="H618" s="80">
        <f>SUM(F52)</f>
        <v>525418.88000000012</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17317.02</v>
      </c>
      <c r="H619" s="80">
        <f>SUM(G52)</f>
        <v>17317.02</v>
      </c>
      <c r="I619" s="87" t="s">
        <v>872</v>
      </c>
      <c r="J619" s="80">
        <f>G619-H619</f>
        <v>0</v>
      </c>
      <c r="K619" s="80"/>
      <c r="L619" s="80"/>
      <c r="M619" s="8"/>
    </row>
    <row r="620" spans="1:14" s="3" customFormat="1" ht="12.2" customHeight="1" x14ac:dyDescent="0.15">
      <c r="A620" s="74"/>
      <c r="B620" s="22"/>
      <c r="C620" s="22"/>
      <c r="D620" s="22"/>
      <c r="E620" s="22"/>
      <c r="F620" s="87" t="s">
        <v>685</v>
      </c>
      <c r="G620" s="80">
        <f>SUM(H19)</f>
        <v>323812.64</v>
      </c>
      <c r="H620" s="80">
        <f>SUM(H52)</f>
        <v>323812.64</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864718.49</v>
      </c>
      <c r="H622" s="80">
        <f>SUM(J52)</f>
        <v>864718.49</v>
      </c>
      <c r="I622" s="87" t="s">
        <v>875</v>
      </c>
      <c r="J622" s="80">
        <f>G622-H622</f>
        <v>0</v>
      </c>
      <c r="K622" s="80"/>
      <c r="L622" s="80"/>
      <c r="M622" s="8"/>
    </row>
    <row r="623" spans="1:14" s="3" customFormat="1" ht="12.2" customHeight="1" x14ac:dyDescent="0.15">
      <c r="A623" s="74"/>
      <c r="B623" s="22"/>
      <c r="C623" s="22"/>
      <c r="D623" s="22"/>
      <c r="E623" s="22"/>
      <c r="F623" s="87" t="s">
        <v>861</v>
      </c>
      <c r="G623" s="80">
        <f>F51</f>
        <v>470637.03</v>
      </c>
      <c r="H623" s="80">
        <f>F477</f>
        <v>470637.03000000119</v>
      </c>
      <c r="I623" s="87" t="s">
        <v>101</v>
      </c>
      <c r="J623" s="80">
        <f t="shared" ref="J623:J656" si="51">G623-H623</f>
        <v>-1.1641532182693481E-9</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864718.49</v>
      </c>
      <c r="H627" s="80">
        <f>J477</f>
        <v>864718.49</v>
      </c>
      <c r="I627" s="87" t="s">
        <v>105</v>
      </c>
      <c r="J627" s="80">
        <f t="shared" si="51"/>
        <v>0</v>
      </c>
      <c r="K627" s="67"/>
      <c r="L627" s="69"/>
      <c r="M627" s="8"/>
    </row>
    <row r="628" spans="1:13" s="3" customFormat="1" ht="12.2" customHeight="1" x14ac:dyDescent="0.15">
      <c r="A628" s="21"/>
      <c r="B628" s="22"/>
      <c r="C628" s="22"/>
      <c r="D628" s="22"/>
      <c r="E628" s="22"/>
      <c r="F628" s="86" t="s">
        <v>658</v>
      </c>
      <c r="G628" s="80">
        <f>F194</f>
        <v>6184927.9699999997</v>
      </c>
      <c r="H628" s="80">
        <f>SUM(F469)</f>
        <v>6184927.9700000007</v>
      </c>
      <c r="I628" s="87" t="s">
        <v>106</v>
      </c>
      <c r="J628" s="80">
        <f>G628-H628</f>
        <v>0</v>
      </c>
      <c r="K628" s="67"/>
      <c r="L628" s="69"/>
      <c r="M628" s="8"/>
    </row>
    <row r="629" spans="1:13" s="3" customFormat="1" ht="12.2" customHeight="1" x14ac:dyDescent="0.15">
      <c r="A629" s="21"/>
      <c r="B629" s="22"/>
      <c r="C629" s="22"/>
      <c r="D629" s="22"/>
      <c r="E629" s="22"/>
      <c r="F629" s="86" t="s">
        <v>659</v>
      </c>
      <c r="G629" s="80">
        <f>G194</f>
        <v>191003.66999999998</v>
      </c>
      <c r="H629" s="80">
        <f>SUM(G469)</f>
        <v>191003.67</v>
      </c>
      <c r="I629" s="87" t="s">
        <v>107</v>
      </c>
      <c r="J629" s="80">
        <f>G629-H629</f>
        <v>0</v>
      </c>
      <c r="K629" s="67"/>
      <c r="L629" s="69"/>
      <c r="M629" s="8"/>
    </row>
    <row r="630" spans="1:13" s="3" customFormat="1" ht="12.2" customHeight="1" x14ac:dyDescent="0.15">
      <c r="A630" s="21"/>
      <c r="B630" s="22"/>
      <c r="C630" s="22"/>
      <c r="D630" s="22"/>
      <c r="E630" s="22"/>
      <c r="F630" s="86" t="s">
        <v>660</v>
      </c>
      <c r="G630" s="80">
        <f>H194</f>
        <v>1241079.4000000001</v>
      </c>
      <c r="H630" s="80">
        <f>SUM(H469)</f>
        <v>1241079.3999999999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232636.98</v>
      </c>
      <c r="H632" s="80">
        <f>SUM(J469)</f>
        <v>232636.98</v>
      </c>
      <c r="I632" s="87" t="s">
        <v>110</v>
      </c>
      <c r="J632" s="80">
        <f>G632-H632</f>
        <v>0</v>
      </c>
      <c r="K632" s="67"/>
      <c r="L632" s="69"/>
      <c r="M632" s="8"/>
    </row>
    <row r="633" spans="1:13" s="3" customFormat="1" ht="12.2" customHeight="1" x14ac:dyDescent="0.15">
      <c r="A633" s="21"/>
      <c r="B633" s="22"/>
      <c r="C633" s="22"/>
      <c r="D633" s="22"/>
      <c r="E633" s="22"/>
      <c r="F633" s="86" t="s">
        <v>394</v>
      </c>
      <c r="G633" s="80">
        <f>SUM(L272)</f>
        <v>6174004.4699999997</v>
      </c>
      <c r="H633" s="80">
        <f>SUM(F473)</f>
        <v>6174004.4699999997</v>
      </c>
      <c r="I633" s="87" t="s">
        <v>111</v>
      </c>
      <c r="J633" s="80">
        <f t="shared" si="51"/>
        <v>0</v>
      </c>
      <c r="K633" s="67"/>
      <c r="L633" s="69"/>
      <c r="M633" s="8"/>
    </row>
    <row r="634" spans="1:13" s="3" customFormat="1" ht="12.2" customHeight="1" x14ac:dyDescent="0.15">
      <c r="A634" s="21"/>
      <c r="B634" s="22"/>
      <c r="C634" s="22"/>
      <c r="D634" s="22"/>
      <c r="E634" s="22"/>
      <c r="F634" s="86" t="s">
        <v>395</v>
      </c>
      <c r="G634" s="80">
        <f>SUM(L353)</f>
        <v>1241079.4000000001</v>
      </c>
      <c r="H634" s="80">
        <f>SUM(H473)</f>
        <v>1241079.3999999999</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200985.65000000002</v>
      </c>
      <c r="H636" s="80">
        <f>SUM(G473)</f>
        <v>200985.65</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232636.97999999998</v>
      </c>
      <c r="H638" s="108">
        <f>SUM(J469)</f>
        <v>232636.98</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19110.669999999998</v>
      </c>
      <c r="H639" s="108">
        <f>SUM(J473)</f>
        <v>19110.669999999998</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864718.49</v>
      </c>
      <c r="H641" s="80">
        <f>SUM(G462)</f>
        <v>864718.49</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864718.49</v>
      </c>
      <c r="H643" s="80">
        <f>SUM(I462)</f>
        <v>864718.49</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39435.980000000003</v>
      </c>
      <c r="H645" s="80">
        <f>H409</f>
        <v>39435.980000000003</v>
      </c>
      <c r="I645" s="87" t="s">
        <v>480</v>
      </c>
      <c r="J645" s="80">
        <f t="shared" si="51"/>
        <v>0</v>
      </c>
      <c r="K645" s="67"/>
      <c r="L645" s="69"/>
      <c r="M645" s="8"/>
    </row>
    <row r="646" spans="1:13" s="3" customFormat="1" ht="12.2" customHeight="1" x14ac:dyDescent="0.15">
      <c r="A646" s="21"/>
      <c r="B646" s="22"/>
      <c r="C646" s="22"/>
      <c r="D646" s="22"/>
      <c r="E646" s="22"/>
      <c r="F646" s="86" t="s">
        <v>664</v>
      </c>
      <c r="G646" s="80">
        <f>J184</f>
        <v>193201</v>
      </c>
      <c r="H646" s="80">
        <f>G409</f>
        <v>193201</v>
      </c>
      <c r="I646" s="87" t="s">
        <v>481</v>
      </c>
      <c r="J646" s="80">
        <f t="shared" si="51"/>
        <v>0</v>
      </c>
      <c r="K646" s="67"/>
      <c r="L646" s="69"/>
      <c r="M646" s="8"/>
    </row>
    <row r="647" spans="1:13" s="3" customFormat="1" ht="12.2" customHeight="1" x14ac:dyDescent="0.15">
      <c r="A647" s="21"/>
      <c r="B647" s="22"/>
      <c r="C647" s="22"/>
      <c r="D647" s="22"/>
      <c r="E647" s="22"/>
      <c r="F647" s="86" t="s">
        <v>662</v>
      </c>
      <c r="G647" s="80">
        <f>J194</f>
        <v>232636.98</v>
      </c>
      <c r="H647" s="80">
        <f>L409</f>
        <v>232636.97999999998</v>
      </c>
      <c r="I647" s="87" t="s">
        <v>477</v>
      </c>
      <c r="J647" s="80">
        <f t="shared" si="51"/>
        <v>0</v>
      </c>
      <c r="K647" s="67"/>
      <c r="L647" s="69"/>
      <c r="M647" s="8"/>
    </row>
    <row r="648" spans="1:13" s="3" customFormat="1" ht="12.2" customHeight="1" x14ac:dyDescent="0.15">
      <c r="A648" s="21"/>
      <c r="B648" s="22"/>
      <c r="C648" s="22"/>
      <c r="D648" s="22"/>
      <c r="E648" s="22"/>
      <c r="F648" s="86" t="s">
        <v>51</v>
      </c>
      <c r="G648" s="80">
        <f>K599</f>
        <v>177484.06000000003</v>
      </c>
      <c r="H648" s="80">
        <f>L209+L227+L245</f>
        <v>177484.06</v>
      </c>
      <c r="I648" s="87" t="s">
        <v>396</v>
      </c>
      <c r="J648" s="80">
        <f t="shared" si="51"/>
        <v>0</v>
      </c>
      <c r="K648" s="67"/>
      <c r="L648" s="69"/>
      <c r="M648" s="8"/>
    </row>
    <row r="649" spans="1:13" s="3" customFormat="1" ht="12.2" customHeight="1" x14ac:dyDescent="0.15">
      <c r="A649" s="21"/>
      <c r="B649" s="22"/>
      <c r="C649" s="22"/>
      <c r="D649" s="22"/>
      <c r="E649" s="22"/>
      <c r="F649" s="86" t="s">
        <v>52</v>
      </c>
      <c r="G649" s="80">
        <f>K606</f>
        <v>57951.040000000001</v>
      </c>
      <c r="H649" s="80">
        <f>(J258+J339)-(J256+J337)</f>
        <v>57951.039999999979</v>
      </c>
      <c r="I649" s="87" t="s">
        <v>699</v>
      </c>
      <c r="J649" s="80">
        <f t="shared" si="51"/>
        <v>0</v>
      </c>
      <c r="K649" s="67"/>
      <c r="L649" s="69"/>
      <c r="M649" s="8"/>
    </row>
    <row r="650" spans="1:13" s="3" customFormat="1" ht="12.2" customHeight="1" x14ac:dyDescent="0.15">
      <c r="A650" s="21"/>
      <c r="B650" s="22"/>
      <c r="C650" s="22"/>
      <c r="D650" s="22"/>
      <c r="E650" s="22"/>
      <c r="F650" s="86" t="s">
        <v>387</v>
      </c>
      <c r="G650" s="80">
        <f>L209</f>
        <v>110850.82</v>
      </c>
      <c r="H650" s="80">
        <f>H599</f>
        <v>110850.82</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66633.240000000005</v>
      </c>
      <c r="H652" s="80">
        <f>J599</f>
        <v>66633.240000000005</v>
      </c>
      <c r="I652" s="87" t="s">
        <v>390</v>
      </c>
      <c r="J652" s="80">
        <f t="shared" si="51"/>
        <v>0</v>
      </c>
      <c r="K652" s="67"/>
      <c r="L652" s="69"/>
      <c r="M652" s="8"/>
    </row>
    <row r="653" spans="1:13" s="3" customFormat="1" ht="12.2" customHeight="1" x14ac:dyDescent="0.15">
      <c r="A653" s="21"/>
      <c r="B653" s="22"/>
      <c r="C653" s="22"/>
      <c r="D653" s="22"/>
      <c r="E653" s="22"/>
      <c r="F653" s="86" t="s">
        <v>665</v>
      </c>
      <c r="G653" s="80">
        <f>G180+G182</f>
        <v>39854.21</v>
      </c>
      <c r="H653" s="80">
        <f>K264+K345</f>
        <v>39854.21</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193201</v>
      </c>
      <c r="H656" s="80">
        <f>K267+K348</f>
        <v>193201</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4368983.9700000007</v>
      </c>
      <c r="G661" s="13">
        <f>(L230+L310+L360)</f>
        <v>0</v>
      </c>
      <c r="H661" s="13">
        <f>(L248+L329+L361)</f>
        <v>2793230.2800000003</v>
      </c>
      <c r="I661" s="13">
        <f>SUM(F661:H661)</f>
        <v>7162214.2500000009</v>
      </c>
      <c r="J661" s="13"/>
      <c r="K661" s="13"/>
      <c r="L661" s="13"/>
      <c r="M661" s="9"/>
    </row>
    <row r="662" spans="1:13" s="3" customFormat="1" ht="12.2" customHeight="1" x14ac:dyDescent="0.2">
      <c r="A662" s="1" t="s">
        <v>127</v>
      </c>
      <c r="F662" s="13">
        <f>(L359/IF(SUM(L359:L361)=0,1,SUM(L359:L361))*(SUM(G97:G110)))</f>
        <v>23546.510556283989</v>
      </c>
      <c r="G662" s="13">
        <f>(L360/IF(SUM(L359:L361)=0,1,SUM(L359:L361))*(SUM(G97:G110)))</f>
        <v>0</v>
      </c>
      <c r="H662" s="13">
        <f>(L361/IF(SUM(L359:L361)=0,1,SUM(L359:L361))*(SUM(G97:G110)))</f>
        <v>23149.549443716005</v>
      </c>
      <c r="I662" s="13">
        <f>SUM(F662:H662)</f>
        <v>46696.06</v>
      </c>
      <c r="J662"/>
      <c r="K662" s="13"/>
      <c r="L662" s="13"/>
      <c r="M662" s="8"/>
    </row>
    <row r="663" spans="1:13" s="3" customFormat="1" ht="12.2" customHeight="1" x14ac:dyDescent="0.2">
      <c r="A663" s="1" t="s">
        <v>128</v>
      </c>
      <c r="F663" s="13">
        <f>(L209+L288)-(J209+J288)</f>
        <v>120509.32</v>
      </c>
      <c r="G663" s="13">
        <f>(L227+L307)-(J227+J307)</f>
        <v>0</v>
      </c>
      <c r="H663" s="13">
        <f>(L245+L326)-(J245+J326)</f>
        <v>66633.240000000005</v>
      </c>
      <c r="I663" s="13">
        <f>SUM(F663:H663)</f>
        <v>187142.56</v>
      </c>
      <c r="J663"/>
      <c r="K663" s="13"/>
      <c r="L663" s="13"/>
      <c r="M663" s="9"/>
    </row>
    <row r="664" spans="1:13" s="3" customFormat="1" ht="12.2" customHeight="1" x14ac:dyDescent="0.15">
      <c r="A664" s="141" t="s">
        <v>129</v>
      </c>
      <c r="B664" s="124"/>
      <c r="C664" s="124"/>
      <c r="D664" s="124"/>
      <c r="E664" s="124"/>
      <c r="F664" s="142">
        <f>SUM(F576:F588)+SUM(H603:H605)+SUM(L612)</f>
        <v>76269.89</v>
      </c>
      <c r="G664" s="142">
        <f>SUM(G576:G588)+SUM(I603:I605)+L613</f>
        <v>0</v>
      </c>
      <c r="H664" s="142">
        <f>SUM(H576:H588)+SUM(J603:J605)+L614</f>
        <v>69657.55</v>
      </c>
      <c r="I664" s="13">
        <f>SUM(F664:H664)</f>
        <v>145927.44</v>
      </c>
      <c r="J664" s="13"/>
      <c r="K664" s="13"/>
      <c r="L664" s="13"/>
      <c r="M664" s="9"/>
    </row>
    <row r="665" spans="1:13" s="3" customFormat="1" ht="12.2" customHeight="1" x14ac:dyDescent="0.15">
      <c r="A665" s="1" t="s">
        <v>130</v>
      </c>
      <c r="F665" s="13">
        <f>F661-SUM(F662:F664)</f>
        <v>4148658.2494437168</v>
      </c>
      <c r="G665" s="13">
        <f>G661-SUM(G662:G664)</f>
        <v>0</v>
      </c>
      <c r="H665" s="13">
        <f>H661-SUM(H662:H664)</f>
        <v>2633789.940556284</v>
      </c>
      <c r="I665" s="13">
        <f>I661-SUM(I662:I664)</f>
        <v>6782448.1900000013</v>
      </c>
      <c r="J665" s="13"/>
      <c r="K665" s="13"/>
      <c r="L665" s="13"/>
      <c r="M665" s="8"/>
    </row>
    <row r="666" spans="1:13" s="3" customFormat="1" ht="12.2" customHeight="1" x14ac:dyDescent="0.2">
      <c r="A666" s="1" t="s">
        <v>131</v>
      </c>
      <c r="F666" s="182">
        <v>186.49</v>
      </c>
      <c r="G666" s="183"/>
      <c r="H666" s="183">
        <v>118.71</v>
      </c>
      <c r="I666" s="13">
        <f>SUM(F666:H666)</f>
        <v>305.2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22246.01</v>
      </c>
      <c r="G668" s="13" t="e">
        <f>ROUND(G665/G666,2)</f>
        <v>#DIV/0!</v>
      </c>
      <c r="H668" s="13">
        <f>ROUND(H665/H666,2)</f>
        <v>22186.76</v>
      </c>
      <c r="I668" s="13">
        <f>ROUND(I665/I666,2)</f>
        <v>22222.959999999999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-5.1100000000000003</v>
      </c>
      <c r="I671" s="13">
        <f>SUM(F671:H671)</f>
        <v>-5.1100000000000003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22246.01</v>
      </c>
      <c r="G673" s="13" t="e">
        <f>ROUND((G665+G670)/(G666+G671),2)</f>
        <v>#DIV/0!</v>
      </c>
      <c r="H673" s="13">
        <f>ROUND((H665+H670)/(H666+H671),2)</f>
        <v>23184.77</v>
      </c>
      <c r="I673" s="13">
        <f>ROUND((I665+I670)/(I666+I671),2)</f>
        <v>22601.38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33074.44</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4909.29+12778.42+10534.51</f>
        <v>28222.22</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4852.22</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5581.28</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Northumberland</v>
      </c>
      <c r="C5" s="321"/>
      <c r="D5" s="321"/>
      <c r="E5" s="321"/>
      <c r="F5" s="321"/>
    </row>
    <row r="8" spans="1:9" ht="18" x14ac:dyDescent="0.25">
      <c r="A8" s="239" t="s">
        <v>1548</v>
      </c>
      <c r="F8" s="246" t="s">
        <v>1566</v>
      </c>
    </row>
    <row r="9" spans="1:9" ht="15" x14ac:dyDescent="0.2">
      <c r="A9" s="237" t="s">
        <v>1549</v>
      </c>
      <c r="B9" s="240">
        <f>'DOE25'!G97</f>
        <v>46696.06</v>
      </c>
      <c r="F9" s="237" t="s">
        <v>1562</v>
      </c>
    </row>
    <row r="10" spans="1:9" ht="15" x14ac:dyDescent="0.2">
      <c r="A10" s="237" t="s">
        <v>1550</v>
      </c>
      <c r="B10" s="240">
        <f>'DOE25'!G112-'DOE25'!G97</f>
        <v>0</v>
      </c>
      <c r="F10" s="237" t="s">
        <v>1563</v>
      </c>
    </row>
    <row r="11" spans="1:9" ht="15" x14ac:dyDescent="0.2">
      <c r="A11" s="237" t="s">
        <v>1551</v>
      </c>
      <c r="B11" s="240">
        <f>'DOE25'!G140</f>
        <v>1517.4</v>
      </c>
      <c r="F11" s="237" t="s">
        <v>1564</v>
      </c>
    </row>
    <row r="12" spans="1:9" ht="15" x14ac:dyDescent="0.2">
      <c r="A12" s="237" t="s">
        <v>1552</v>
      </c>
      <c r="B12" s="240">
        <f>'DOE25'!G170</f>
        <v>102936</v>
      </c>
      <c r="F12" s="237" t="s">
        <v>1565</v>
      </c>
    </row>
    <row r="13" spans="1:9" ht="15" x14ac:dyDescent="0.2">
      <c r="A13" s="237" t="s">
        <v>1553</v>
      </c>
      <c r="B13" s="240">
        <f>'DOE25'!G193-'DOE25'!G180</f>
        <v>0</v>
      </c>
      <c r="F13" s="237" t="s">
        <v>1575</v>
      </c>
    </row>
    <row r="14" spans="1:9" ht="18" x14ac:dyDescent="0.25">
      <c r="A14" s="239" t="s">
        <v>732</v>
      </c>
      <c r="B14" s="241">
        <f>SUM(B9:B13)</f>
        <v>151149.46</v>
      </c>
    </row>
    <row r="16" spans="1:9" ht="18" x14ac:dyDescent="0.25">
      <c r="A16" s="239" t="s">
        <v>783</v>
      </c>
      <c r="F16" s="246" t="s">
        <v>1567</v>
      </c>
    </row>
    <row r="17" spans="1:6" ht="15" x14ac:dyDescent="0.2">
      <c r="A17" s="237" t="s">
        <v>1554</v>
      </c>
      <c r="B17" s="240">
        <f>'DOE25'!L363-'DOE25'!L362</f>
        <v>200985.65000000002</v>
      </c>
      <c r="F17" s="237" t="s">
        <v>1568</v>
      </c>
    </row>
    <row r="18" spans="1:6" ht="15" x14ac:dyDescent="0.2">
      <c r="A18" s="237" t="s">
        <v>1555</v>
      </c>
      <c r="B18" s="250"/>
      <c r="F18" s="246" t="s">
        <v>1592</v>
      </c>
    </row>
    <row r="19" spans="1:6" ht="18" x14ac:dyDescent="0.25">
      <c r="A19" s="239" t="s">
        <v>725</v>
      </c>
      <c r="B19" s="241">
        <f>SUM(B17:B18)</f>
        <v>200985.65000000002</v>
      </c>
    </row>
    <row r="21" spans="1:6" ht="18.75" thickBot="1" x14ac:dyDescent="0.3">
      <c r="A21" s="239" t="s">
        <v>1556</v>
      </c>
    </row>
    <row r="22" spans="1:6" ht="18.75" thickTop="1" x14ac:dyDescent="0.25">
      <c r="A22" s="239" t="s">
        <v>1557</v>
      </c>
      <c r="B22" s="245">
        <f>B14-B19</f>
        <v>-49836.190000000031</v>
      </c>
      <c r="F22" s="237" t="s">
        <v>1569</v>
      </c>
    </row>
    <row r="26" spans="1:6" ht="18" x14ac:dyDescent="0.25">
      <c r="A26" s="239" t="s">
        <v>186</v>
      </c>
    </row>
    <row r="27" spans="1:6" ht="15" x14ac:dyDescent="0.2">
      <c r="A27" s="237" t="s">
        <v>1558</v>
      </c>
      <c r="B27" s="240">
        <f>'DOE25'!G180</f>
        <v>39854.21</v>
      </c>
      <c r="F27" s="237" t="s">
        <v>1570</v>
      </c>
    </row>
    <row r="28" spans="1:6" ht="15" x14ac:dyDescent="0.2">
      <c r="A28" s="237" t="s">
        <v>1560</v>
      </c>
      <c r="B28" s="240">
        <f>'DOE25'!L362</f>
        <v>0</v>
      </c>
      <c r="F28" s="237" t="s">
        <v>1571</v>
      </c>
    </row>
    <row r="31" spans="1:6" ht="15" x14ac:dyDescent="0.2">
      <c r="A31" s="237" t="s">
        <v>1789</v>
      </c>
      <c r="B31" s="240">
        <f>'DOE25'!G466</f>
        <v>11030.98</v>
      </c>
      <c r="F31" s="237" t="s">
        <v>1572</v>
      </c>
    </row>
    <row r="33" spans="1:6" ht="15" x14ac:dyDescent="0.2">
      <c r="A33" s="237" t="s">
        <v>1790</v>
      </c>
      <c r="B33" s="240">
        <f>'DOE25'!G477</f>
        <v>0</v>
      </c>
      <c r="F33" s="237" t="s">
        <v>1573</v>
      </c>
    </row>
    <row r="36" spans="1:6" ht="15" x14ac:dyDescent="0.2">
      <c r="A36" s="237" t="s">
        <v>1559</v>
      </c>
      <c r="B36" s="251">
        <f>5921.87+7463.29</f>
        <v>13385.16</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Northumberland</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1728976.49</v>
      </c>
      <c r="C9" s="166">
        <f>'DOE25'!G198+'DOE25'!G216+'DOE25'!G234+'DOE25'!G277+'DOE25'!G296+'DOE25'!G315</f>
        <v>754192.05</v>
      </c>
    </row>
    <row r="10" spans="1:3" x14ac:dyDescent="0.2">
      <c r="A10" t="s">
        <v>772</v>
      </c>
      <c r="B10" s="176">
        <f>417060.87+1406.25+229123.14+672114.56+1462.88+43660+58540+26861.96+39109+20141+6043.75+43626+9175</f>
        <v>1568324.41</v>
      </c>
      <c r="C10" s="176">
        <f>119976.81+621925.36</f>
        <v>741902.16999999993</v>
      </c>
    </row>
    <row r="11" spans="1:3" x14ac:dyDescent="0.2">
      <c r="A11" t="s">
        <v>773</v>
      </c>
      <c r="B11" s="176">
        <f>24368.4+85+26521.84+23700.81+7745.28+14167.76+22420.44+8250</f>
        <v>127259.53</v>
      </c>
      <c r="C11" s="176">
        <v>9735.35</v>
      </c>
    </row>
    <row r="12" spans="1:3" x14ac:dyDescent="0.2">
      <c r="A12" t="s">
        <v>774</v>
      </c>
      <c r="B12" s="176">
        <f>8407.5+6252.5+58.8+18673.75</f>
        <v>33392.550000000003</v>
      </c>
      <c r="C12" s="176">
        <v>2554.5300000000002</v>
      </c>
    </row>
    <row r="13" spans="1:3" x14ac:dyDescent="0.2">
      <c r="A13" t="str">
        <f>IF(B9=B13,IF(C9=C13,"Check Total OK","Check Total Error"),"Check Total Error")</f>
        <v>Check Total OK</v>
      </c>
      <c r="B13" s="168">
        <f>SUM(B10:B12)</f>
        <v>1728976.49</v>
      </c>
      <c r="C13" s="168">
        <f>SUM(C10:C12)</f>
        <v>754192.04999999993</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528865.31000000006</v>
      </c>
      <c r="C18" s="166">
        <f>'DOE25'!G199+'DOE25'!G217+'DOE25'!G235+'DOE25'!G278+'DOE25'!G297+'DOE25'!G316</f>
        <v>170473.31999999998</v>
      </c>
    </row>
    <row r="19" spans="1:3" x14ac:dyDescent="0.2">
      <c r="A19" t="s">
        <v>772</v>
      </c>
      <c r="B19" s="176">
        <v>210174.05</v>
      </c>
      <c r="C19" s="176">
        <f>16078.31+130015.13</f>
        <v>146093.44</v>
      </c>
    </row>
    <row r="20" spans="1:3" x14ac:dyDescent="0.2">
      <c r="A20" t="s">
        <v>773</v>
      </c>
      <c r="B20" s="176">
        <v>296520.01</v>
      </c>
      <c r="C20" s="176">
        <f>22683.78</f>
        <v>22683.78</v>
      </c>
    </row>
    <row r="21" spans="1:3" x14ac:dyDescent="0.2">
      <c r="A21" t="s">
        <v>774</v>
      </c>
      <c r="B21" s="176">
        <v>22171.25</v>
      </c>
      <c r="C21" s="176">
        <f>1696.1</f>
        <v>1696.1</v>
      </c>
    </row>
    <row r="22" spans="1:3" x14ac:dyDescent="0.2">
      <c r="A22" t="str">
        <f>IF(B18=B22,IF(C18=C22,"Check Total OK","Check Total Error"),"Check Total Error")</f>
        <v>Check Total OK</v>
      </c>
      <c r="B22" s="168">
        <f>SUM(B19:B21)</f>
        <v>528865.31000000006</v>
      </c>
      <c r="C22" s="168">
        <f>SUM(C19:C21)</f>
        <v>170473.32</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93968.5</v>
      </c>
      <c r="C36" s="172">
        <f>'DOE25'!G201+'DOE25'!G219+'DOE25'!G237+'DOE25'!G280+'DOE25'!G299+'DOE25'!G318</f>
        <v>16952.920000000002</v>
      </c>
    </row>
    <row r="37" spans="1:3" x14ac:dyDescent="0.2">
      <c r="A37" t="s">
        <v>772</v>
      </c>
      <c r="B37" s="176">
        <v>22560</v>
      </c>
      <c r="C37" s="176">
        <f>1725.84+9764.33-200-232.17-308.49</f>
        <v>10749.51</v>
      </c>
    </row>
    <row r="38" spans="1:3" x14ac:dyDescent="0.2">
      <c r="A38" t="s">
        <v>773</v>
      </c>
      <c r="B38" s="176">
        <v>10620</v>
      </c>
      <c r="C38" s="176">
        <f>812.43+308.49</f>
        <v>1120.92</v>
      </c>
    </row>
    <row r="39" spans="1:3" x14ac:dyDescent="0.2">
      <c r="A39" t="s">
        <v>774</v>
      </c>
      <c r="B39" s="176">
        <v>60788.5</v>
      </c>
      <c r="C39" s="176">
        <f>4650.32+200+232.17</f>
        <v>5082.49</v>
      </c>
    </row>
    <row r="40" spans="1:3" x14ac:dyDescent="0.2">
      <c r="A40" t="str">
        <f>IF(B36=B40,IF(C36=C40,"Check Total OK","Check Total Error"),"Check Total Error")</f>
        <v>Check Total OK</v>
      </c>
      <c r="B40" s="168">
        <f>SUM(B37:B39)</f>
        <v>93968.5</v>
      </c>
      <c r="C40" s="168">
        <f>SUM(C37:C39)</f>
        <v>16952.919999999998</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Northumberland</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3171535.1900000004</v>
      </c>
      <c r="D5" s="19">
        <f>SUM('DOE25'!L198:L201)+SUM('DOE25'!L216:L219)+SUM('DOE25'!L234:L237)-F5-G5-H5</f>
        <v>3157818.5500000003</v>
      </c>
      <c r="E5" s="179"/>
      <c r="F5" s="180"/>
      <c r="G5" s="19">
        <f>SUM('DOE25'!J198:J201)+SUM('DOE25'!J216:J219)+SUM('DOE25'!J234:J237)</f>
        <v>8521.73</v>
      </c>
      <c r="H5" s="19">
        <f>SUM('DOE25'!K198:K201)+SUM('DOE25'!K216:K219)+SUM('DOE25'!K234:K237)</f>
        <v>5194.91</v>
      </c>
      <c r="I5" s="191"/>
    </row>
    <row r="6" spans="1:9" x14ac:dyDescent="0.2">
      <c r="A6" s="31">
        <v>2100</v>
      </c>
      <c r="B6" t="s">
        <v>793</v>
      </c>
      <c r="C6" s="205">
        <f t="shared" si="0"/>
        <v>542090.06000000006</v>
      </c>
      <c r="D6" s="19">
        <f>'DOE25'!L203+'DOE25'!L221+'DOE25'!L239-F6-G6-H6</f>
        <v>539642.17000000004</v>
      </c>
      <c r="E6" s="179"/>
      <c r="F6" s="180"/>
      <c r="G6" s="19">
        <f>'DOE25'!J203+'DOE25'!J221+'DOE25'!J239</f>
        <v>1196.83</v>
      </c>
      <c r="H6" s="19">
        <f>'DOE25'!K203+'DOE25'!K221+'DOE25'!K239</f>
        <v>1251.06</v>
      </c>
      <c r="I6" s="191"/>
    </row>
    <row r="7" spans="1:9" x14ac:dyDescent="0.2">
      <c r="A7" s="31">
        <v>2200</v>
      </c>
      <c r="B7" t="s">
        <v>817</v>
      </c>
      <c r="C7" s="205">
        <f t="shared" si="0"/>
        <v>117510.73000000001</v>
      </c>
      <c r="D7" s="19">
        <f>'DOE25'!L204+'DOE25'!L222+'DOE25'!L240-F7-G7-H7</f>
        <v>117530.73000000001</v>
      </c>
      <c r="E7" s="179"/>
      <c r="F7" s="180"/>
      <c r="G7" s="19">
        <f>'DOE25'!J204+'DOE25'!J222+'DOE25'!J240</f>
        <v>-20</v>
      </c>
      <c r="H7" s="19">
        <f>'DOE25'!K204+'DOE25'!K222+'DOE25'!K240</f>
        <v>0</v>
      </c>
      <c r="I7" s="191"/>
    </row>
    <row r="8" spans="1:9" x14ac:dyDescent="0.2">
      <c r="A8" s="31">
        <v>2300</v>
      </c>
      <c r="B8" t="s">
        <v>794</v>
      </c>
      <c r="C8" s="205">
        <f t="shared" si="0"/>
        <v>531757.68000000005</v>
      </c>
      <c r="D8" s="179"/>
      <c r="E8" s="19">
        <f>'DOE25'!L205+'DOE25'!L223+'DOE25'!L241-F8-G8-H8-D9-D11</f>
        <v>527195.38</v>
      </c>
      <c r="F8" s="180"/>
      <c r="G8" s="19">
        <f>'DOE25'!J205+'DOE25'!J223+'DOE25'!J241</f>
        <v>0</v>
      </c>
      <c r="H8" s="19">
        <f>'DOE25'!K205+'DOE25'!K223+'DOE25'!K241</f>
        <v>4562.3</v>
      </c>
      <c r="I8" s="191"/>
    </row>
    <row r="9" spans="1:9" ht="14.25" x14ac:dyDescent="0.2">
      <c r="A9" s="31">
        <v>2310</v>
      </c>
      <c r="B9" s="71" t="s">
        <v>884</v>
      </c>
      <c r="C9" s="205">
        <f t="shared" si="0"/>
        <v>37162.410000000003</v>
      </c>
      <c r="D9" s="180">
        <v>37162.410000000003</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734213.14999999991</v>
      </c>
      <c r="D12" s="19">
        <f>'DOE25'!L206+'DOE25'!L224+'DOE25'!L242-F12-G12-H12</f>
        <v>716741.84999999986</v>
      </c>
      <c r="E12" s="179"/>
      <c r="F12" s="180"/>
      <c r="G12" s="19">
        <f>'DOE25'!J206+'DOE25'!J224+'DOE25'!J242</f>
        <v>144.68</v>
      </c>
      <c r="H12" s="19">
        <f>'DOE25'!K206+'DOE25'!K224+'DOE25'!K242</f>
        <v>17326.620000000003</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551525.47</v>
      </c>
      <c r="D14" s="19">
        <f>'DOE25'!L208+'DOE25'!L226+'DOE25'!L244-F14-G14-H14</f>
        <v>545025.47</v>
      </c>
      <c r="E14" s="179"/>
      <c r="F14" s="180"/>
      <c r="G14" s="19">
        <f>'DOE25'!J208+'DOE25'!J226+'DOE25'!J244</f>
        <v>6500</v>
      </c>
      <c r="H14" s="19">
        <f>'DOE25'!K208+'DOE25'!K226+'DOE25'!K244</f>
        <v>0</v>
      </c>
      <c r="I14" s="191"/>
    </row>
    <row r="15" spans="1:9" x14ac:dyDescent="0.2">
      <c r="A15" s="31">
        <v>2700</v>
      </c>
      <c r="B15" t="s">
        <v>796</v>
      </c>
      <c r="C15" s="205">
        <f t="shared" si="0"/>
        <v>177484.06</v>
      </c>
      <c r="D15" s="19">
        <f>'DOE25'!L209+'DOE25'!L227+'DOE25'!L245-F15-G15-H15</f>
        <v>60468.67</v>
      </c>
      <c r="E15" s="179"/>
      <c r="F15" s="180">
        <v>117015.39</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217157.51</v>
      </c>
      <c r="D22" s="179"/>
      <c r="E22" s="179"/>
      <c r="F22" s="179"/>
      <c r="G22" s="19">
        <f>'DOE25'!L256+'DOE25'!L337</f>
        <v>217157.51</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135536.79000000004</v>
      </c>
      <c r="D29" s="211">
        <f>'DOE25'!L359+'DOE25'!L360+'DOE25'!L361-'DOE25'!I368-F29-G29-H29-F39</f>
        <v>135536.79000000004</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1101592.4000000001</v>
      </c>
      <c r="D31" s="19">
        <f>'DOE25'!L291+'DOE25'!L310+'DOE25'!L329+'DOE25'!L334+'DOE25'!L335+'DOE25'!L336-F31-G31-H31</f>
        <v>1045939.1200000001</v>
      </c>
      <c r="E31" s="179"/>
      <c r="F31" s="180"/>
      <c r="G31" s="19">
        <f>'DOE25'!J291+'DOE25'!J310+'DOE25'!J329+'DOE25'!J334+'DOE25'!J335+'DOE25'!J336</f>
        <v>41607.800000000003</v>
      </c>
      <c r="H31" s="19">
        <f>'DOE25'!K291+'DOE25'!K310+'DOE25'!K329+'DOE25'!K334+'DOE25'!K335+'DOE25'!K336</f>
        <v>14045.48</v>
      </c>
      <c r="I31" s="191"/>
    </row>
    <row r="32" spans="1:9" ht="12" thickBot="1" x14ac:dyDescent="0.25">
      <c r="C32" s="206"/>
      <c r="G32" s="187"/>
      <c r="H32" s="187"/>
      <c r="I32" s="193"/>
    </row>
    <row r="33" spans="1:9" ht="12" thickTop="1" x14ac:dyDescent="0.2">
      <c r="B33" t="s">
        <v>806</v>
      </c>
      <c r="D33" s="181">
        <f t="shared" ref="D33:I33" si="1">SUM(D5:D31)</f>
        <v>6355865.7599999998</v>
      </c>
      <c r="E33" s="181">
        <f t="shared" si="1"/>
        <v>527195.38</v>
      </c>
      <c r="F33" s="181">
        <f t="shared" si="1"/>
        <v>117015.39</v>
      </c>
      <c r="G33" s="181">
        <f t="shared" si="1"/>
        <v>275108.55</v>
      </c>
      <c r="H33" s="181">
        <f t="shared" si="1"/>
        <v>42380.37</v>
      </c>
      <c r="I33" s="181">
        <f t="shared" si="1"/>
        <v>0</v>
      </c>
    </row>
    <row r="34" spans="1:9" ht="12" thickBot="1" x14ac:dyDescent="0.25"/>
    <row r="35" spans="1:9" ht="12" thickBot="1" x14ac:dyDescent="0.25">
      <c r="B35" s="187" t="s">
        <v>827</v>
      </c>
      <c r="D35" s="188">
        <f>E33</f>
        <v>527195.38</v>
      </c>
      <c r="E35" s="184"/>
      <c r="F35" s="294" t="s">
        <v>1596</v>
      </c>
      <c r="G35" s="295"/>
      <c r="H35" s="295"/>
      <c r="I35" s="296"/>
    </row>
    <row r="36" spans="1:9" ht="12" thickTop="1" x14ac:dyDescent="0.2">
      <c r="B36" t="s">
        <v>807</v>
      </c>
      <c r="D36" s="19">
        <f>D33</f>
        <v>6355865.7599999998</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f>29054.07+36394.79</f>
        <v>65448.86</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22" zoomScaleNormal="100" workbookViewId="0">
      <selection activeCell="A47" sqref="A4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Northumberland</v>
      </c>
      <c r="B2">
        <f>'DOE25'!B2</f>
        <v>407</v>
      </c>
      <c r="J2" s="223" t="s">
        <v>1799</v>
      </c>
      <c r="K2" s="308">
        <f>SUM('DOE25'!L198:L201)+SUM('DOE25'!L277:L280)</f>
        <v>2259968.7100000004</v>
      </c>
      <c r="L2" s="308">
        <f>'DOE25'!L203+'DOE25'!L282</f>
        <v>499244.67</v>
      </c>
      <c r="M2" s="308">
        <f>'DOE25'!L204+'DOE25'!L283</f>
        <v>181620.33000000002</v>
      </c>
      <c r="N2" s="308">
        <f>'DOE25'!L206+'DOE25'!L285</f>
        <v>461394.18999999994</v>
      </c>
      <c r="O2" s="316">
        <f>'Salaries-Benefits'!B10+'Salaries-Benefits'!B12+'Salaries-Benefits'!B19+'Salaries-Benefits'!B21+'Salaries-Benefits'!B28+'Salaries-Benefits'!B30+'Salaries-Benefits'!B37+'Salaries-Benefits'!B39</f>
        <v>1917410.76</v>
      </c>
      <c r="P2" s="316">
        <f>'Salaries-Benefits'!B11+'Salaries-Benefits'!B20+'Salaries-Benefits'!B29+'Salaries-Benefits'!B38</f>
        <v>434399.54000000004</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4267636.8600000003</v>
      </c>
      <c r="G4" s="228">
        <f>'DOE25'!L212+'DOE25'!L291</f>
        <v>4267636.8600000003</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68950.99+88165.93</f>
        <v>157116.91999999998</v>
      </c>
      <c r="E5" s="219">
        <f>8352+1306.5</f>
        <v>9658.5</v>
      </c>
      <c r="F5" s="231">
        <f>D5+E5</f>
        <v>166775.41999999998</v>
      </c>
      <c r="G5" s="222"/>
      <c r="H5" s="222"/>
      <c r="J5" s="71" t="s">
        <v>1840</v>
      </c>
      <c r="K5" s="20">
        <f>6060+40206.1</f>
        <v>46266.1</v>
      </c>
      <c r="L5" s="20"/>
      <c r="M5" s="20"/>
      <c r="N5" s="20"/>
      <c r="O5" s="20"/>
      <c r="P5" s="20"/>
      <c r="Q5" s="20"/>
    </row>
    <row r="6" spans="1:22" x14ac:dyDescent="0.2">
      <c r="A6" t="str" cm="1">
        <f t="array" ref="A6">IFERROR(INDEX('School Tables'!$A$4:$G$365,'School Tables'!$J4,3),"")</f>
        <v>Groveton Elementary School</v>
      </c>
      <c r="B6" s="229">
        <f>IFERROR(VLOOKUP(A6,'School Tables'!$C$3:$D$365,2,FALSE),"")</f>
        <v>22905</v>
      </c>
      <c r="C6" s="222" t="str">
        <f>IFERROR(INDEX('School Tables'!$B$3:$B$365,MATCH('School Level Expenditures'!B6,'School Tables'!$D$3:$D$365,0)),"")</f>
        <v>Northumberland</v>
      </c>
      <c r="D6" s="219">
        <f>2066250.17+261703.24-45002</f>
        <v>2282951.41</v>
      </c>
      <c r="E6" s="219">
        <v>653114.06000000006</v>
      </c>
      <c r="F6" s="231">
        <f t="shared" ref="F6:F20" si="2">D6+E6</f>
        <v>2936065.47</v>
      </c>
      <c r="G6" s="222"/>
      <c r="H6" s="222"/>
      <c r="J6" t="str">
        <f t="shared" ref="J6:J20" si="3">A6</f>
        <v>Groveton Elementary School</v>
      </c>
      <c r="K6" s="20">
        <f>1052603.99+623137.2+35998.63-6060</f>
        <v>1705679.8199999998</v>
      </c>
      <c r="L6" s="20">
        <f>271226.14+58847.18+25472.74</f>
        <v>355546.06</v>
      </c>
      <c r="M6" s="307">
        <f>75084.23+3832.96</f>
        <v>78917.19</v>
      </c>
      <c r="N6" s="20">
        <v>286670.24</v>
      </c>
      <c r="O6" s="20">
        <f>417060.87+1406.25+43660+58540+26861.96+39109+20141+8407.5+104912+6240+1440+6148.75+8740+848+15460</f>
        <v>758975.33</v>
      </c>
      <c r="P6" s="20">
        <f>24368.4+26521.84+14167.76+22420.44+8250+108012.94+9000+19539.03+1815.62+2250+9120.81</f>
        <v>245466.84</v>
      </c>
      <c r="Q6" s="20">
        <f>156.69+454.05+452.84+5396+743.23+1069.2+4406+4093+4255.07+6900+5129.22+1984+1716.05</f>
        <v>36755.350000000006</v>
      </c>
    </row>
    <row r="7" spans="1:22" x14ac:dyDescent="0.2">
      <c r="A7" t="str" cm="1">
        <f t="array" ref="A7">IFERROR(INDEX('School Tables'!$A$4:$G$365,'School Tables'!$J5,3),"")</f>
        <v>Groveton High School (Middle)</v>
      </c>
      <c r="B7" s="229">
        <f>IFERROR(VLOOKUP(A7,'School Tables'!$C$3:$D$365,2,FALSE),"")</f>
        <v>26600</v>
      </c>
      <c r="C7" s="222" t="str">
        <f>IFERROR(INDEX('School Tables'!$B$3:$B$365,MATCH('School Level Expenditures'!B7,'School Tables'!$D$3:$D$365,0)),"")</f>
        <v>Northumberland</v>
      </c>
      <c r="D7" s="219">
        <f>940626.3+125162.42-25110.64</f>
        <v>1040678.08</v>
      </c>
      <c r="E7" s="219">
        <v>124117.89</v>
      </c>
      <c r="F7" s="231">
        <f t="shared" si="2"/>
        <v>1164795.97</v>
      </c>
      <c r="G7" s="222"/>
      <c r="H7" s="222"/>
      <c r="J7" t="str">
        <f t="shared" si="3"/>
        <v>Groveton High School (Middle)</v>
      </c>
      <c r="K7" s="20">
        <f>372979.22+121274.83-40206.1+53974.84</f>
        <v>508022.79000000004</v>
      </c>
      <c r="L7" s="20">
        <f>116347.66+379.23+26971.72</f>
        <v>143698.60999999999</v>
      </c>
      <c r="M7" s="307">
        <f>16306.51+86396.63</f>
        <v>102703.14</v>
      </c>
      <c r="N7" s="20">
        <v>174723.95</v>
      </c>
      <c r="O7" s="20">
        <f>229123.14+1462.88+6252.5+36165+78.75+1534.05+11652.53+1570+7100+7495</f>
        <v>302433.85000000003</v>
      </c>
      <c r="P7" s="20">
        <f>85+22583.1+19996.11+2250+1500</f>
        <v>46414.21</v>
      </c>
      <c r="Q7" s="20">
        <v>230.57</v>
      </c>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3480746.41</v>
      </c>
      <c r="E21" s="261">
        <f>SUM(E5:E20)</f>
        <v>786890.45000000007</v>
      </c>
      <c r="F21" s="216"/>
      <c r="G21" s="216"/>
      <c r="H21" s="216"/>
      <c r="K21" s="262">
        <f t="shared" ref="K21:Q21" si="4">SUM(K5:K20)</f>
        <v>2259968.71</v>
      </c>
      <c r="L21" s="262">
        <f t="shared" si="4"/>
        <v>499244.67</v>
      </c>
      <c r="M21" s="262">
        <f t="shared" si="4"/>
        <v>181620.33000000002</v>
      </c>
      <c r="N21" s="262">
        <f t="shared" si="4"/>
        <v>461394.19</v>
      </c>
      <c r="O21" s="262">
        <f t="shared" si="4"/>
        <v>1061409.18</v>
      </c>
      <c r="P21" s="262">
        <f t="shared" si="4"/>
        <v>291881.05</v>
      </c>
      <c r="Q21" s="262">
        <f t="shared" si="4"/>
        <v>36985.920000000006</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1583271.07</v>
      </c>
      <c r="L36" s="19">
        <f>'DOE25'!L239+'DOE25'!L320</f>
        <v>217090.33000000002</v>
      </c>
      <c r="M36" s="19">
        <f>'DOE25'!L240+'DOE25'!L321</f>
        <v>122363.86</v>
      </c>
      <c r="N36" s="19">
        <f>'DOE25'!L242+'DOE25'!L323</f>
        <v>285614.15000000002</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2693591.74</v>
      </c>
      <c r="G38" s="228">
        <f>'DOE25'!L248+'DOE25'!L329</f>
        <v>2693591.74</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108343.54</f>
        <v>108343.54</v>
      </c>
      <c r="E39" s="219">
        <v>17698.169999999998</v>
      </c>
      <c r="F39" s="231">
        <f t="shared" ref="F39:F44" si="10">D39+E39</f>
        <v>126041.70999999999</v>
      </c>
      <c r="G39" s="222"/>
      <c r="H39" s="222"/>
      <c r="J39" s="71" t="s">
        <v>1840</v>
      </c>
      <c r="K39" s="315">
        <f>26512.52+12479.8+29230.5</f>
        <v>68222.820000000007</v>
      </c>
      <c r="L39" s="315"/>
      <c r="M39" s="315"/>
      <c r="N39" s="315"/>
      <c r="O39" s="315"/>
      <c r="P39" s="315"/>
      <c r="Q39" s="315"/>
    </row>
    <row r="40" spans="1:17" x14ac:dyDescent="0.2">
      <c r="A40" t="str" cm="1">
        <f t="array" ref="A40">IFERROR(INDEX('School Tables'!$W$4:$AC$120,'School Tables'!$AF4,3),"")</f>
        <v>Groveton High School</v>
      </c>
      <c r="B40" s="229">
        <f>IFERROR(VLOOKUP(A40,'School Tables'!$Y$4:$Z$120,2,FALSE),"")</f>
        <v>22900</v>
      </c>
      <c r="C40" s="222" t="str">
        <f>IFERROR(INDEX('School Tables'!$X$4:$X$120,MATCH('School Level Expenditures'!A40,'School Tables'!$Y$4:$Y$120,0)),"")</f>
        <v>Northumberland</v>
      </c>
      <c r="D40" s="219">
        <f>2098079.13+32980.12</f>
        <v>2131059.25</v>
      </c>
      <c r="E40" s="219">
        <v>436490.78</v>
      </c>
      <c r="F40" s="231">
        <f t="shared" si="10"/>
        <v>2567550.0300000003</v>
      </c>
      <c r="G40" s="222"/>
      <c r="H40" s="222"/>
      <c r="J40" t="str">
        <f>A40</f>
        <v>Groveton High School</v>
      </c>
      <c r="K40" s="20">
        <f>1124474.81+234139.86+71950.2+92988.28+22242.42+8245-38992.32</f>
        <v>1515048.2499999998</v>
      </c>
      <c r="L40" s="20">
        <f>154516.26+62574.07</f>
        <v>217090.33000000002</v>
      </c>
      <c r="M40" s="307">
        <f>26119.99+96243.87</f>
        <v>122363.86</v>
      </c>
      <c r="N40" s="20">
        <f>272818.96+12795.19</f>
        <v>285614.15000000002</v>
      </c>
      <c r="O40" s="20">
        <f>672114.56+6043.75+43626+9175+58.8+18673.75+55650+3750+146.25+8117.5+38825.97-180</f>
        <v>856001.58000000007</v>
      </c>
      <c r="P40" s="20">
        <f>23700+7745.28+106573.21+4500</f>
        <v>142518.49</v>
      </c>
      <c r="Q40" s="20">
        <f>133.33+1774.14+1407.73</f>
        <v>3315.2</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2239402.79</v>
      </c>
      <c r="E45" s="262">
        <f>SUM(E39:E44)</f>
        <v>454188.95</v>
      </c>
      <c r="K45" s="262">
        <f>SUM(K39:K44)</f>
        <v>1583271.0699999998</v>
      </c>
      <c r="L45" s="262">
        <f t="shared" ref="L45:Q45" si="11">SUM(L39:L44)</f>
        <v>217090.33000000002</v>
      </c>
      <c r="M45" s="262">
        <f t="shared" si="11"/>
        <v>122363.86</v>
      </c>
      <c r="N45" s="262">
        <f t="shared" si="11"/>
        <v>285614.15000000002</v>
      </c>
      <c r="O45" s="262">
        <f t="shared" si="11"/>
        <v>856001.58000000007</v>
      </c>
      <c r="P45" s="262">
        <f t="shared" si="11"/>
        <v>142518.49</v>
      </c>
      <c r="Q45" s="262">
        <f t="shared" si="11"/>
        <v>3315.2</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Northumberland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120213.19</v>
      </c>
      <c r="D8" s="73">
        <f>'DOE25'!G9</f>
        <v>0</v>
      </c>
      <c r="E8" s="73">
        <f>'DOE25'!H9</f>
        <v>0</v>
      </c>
      <c r="F8" s="73">
        <f>'DOE25'!I9</f>
        <v>0</v>
      </c>
      <c r="G8" s="73">
        <f>'DOE25'!J9</f>
        <v>864718.49</v>
      </c>
      <c r="H8" s="13">
        <f>SUM(C8:G8)</f>
        <v>984931.67999999993</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341129.66000000003</v>
      </c>
      <c r="D11" s="73">
        <f>'DOE25'!G12</f>
        <v>0</v>
      </c>
      <c r="E11" s="73">
        <f>'DOE25'!H12</f>
        <v>0</v>
      </c>
      <c r="F11" s="73">
        <f>'DOE25'!I12</f>
        <v>0</v>
      </c>
      <c r="G11" s="73">
        <f>'DOE25'!J12</f>
        <v>0</v>
      </c>
      <c r="H11" s="13">
        <f t="shared" si="0"/>
        <v>341129.66000000003</v>
      </c>
      <c r="I11" s="90"/>
    </row>
    <row r="12" spans="1:9" x14ac:dyDescent="0.2">
      <c r="A12" s="1" t="s">
        <v>143</v>
      </c>
      <c r="B12" s="6">
        <v>140</v>
      </c>
      <c r="C12" s="73">
        <f>'DOE25'!F13</f>
        <v>-11030.98</v>
      </c>
      <c r="D12" s="73">
        <f>'DOE25'!G13</f>
        <v>0</v>
      </c>
      <c r="E12" s="73">
        <f>'DOE25'!H13</f>
        <v>0</v>
      </c>
      <c r="F12" s="73">
        <f>'DOE25'!I13</f>
        <v>0</v>
      </c>
      <c r="G12" s="73">
        <f>'DOE25'!J13</f>
        <v>0</v>
      </c>
      <c r="H12" s="13">
        <f t="shared" si="0"/>
        <v>-11030.98</v>
      </c>
      <c r="I12" s="90"/>
    </row>
    <row r="13" spans="1:9" x14ac:dyDescent="0.2">
      <c r="A13" s="1" t="s">
        <v>144</v>
      </c>
      <c r="B13" s="6">
        <v>150</v>
      </c>
      <c r="C13" s="73">
        <f>'DOE25'!F14</f>
        <v>75107.009999999995</v>
      </c>
      <c r="D13" s="73">
        <f>'DOE25'!G14</f>
        <v>17317.02</v>
      </c>
      <c r="E13" s="73">
        <f>'DOE25'!H14</f>
        <v>323812.64</v>
      </c>
      <c r="F13" s="73">
        <f>'DOE25'!I14</f>
        <v>0</v>
      </c>
      <c r="G13" s="73">
        <f>'DOE25'!J14</f>
        <v>0</v>
      </c>
      <c r="H13" s="13">
        <f t="shared" si="0"/>
        <v>416236.67000000004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525418.88</v>
      </c>
      <c r="D18" s="38">
        <f>SUM(D8:D17)</f>
        <v>17317.02</v>
      </c>
      <c r="E18" s="38">
        <f>SUM(E8:E17)</f>
        <v>323812.64</v>
      </c>
      <c r="F18" s="38">
        <f>SUM(F8:F17)</f>
        <v>0</v>
      </c>
      <c r="G18" s="38">
        <f>SUM(G8:G17)</f>
        <v>864718.49</v>
      </c>
      <c r="H18" s="38">
        <f t="shared" si="0"/>
        <v>1731267.03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-294767.57</v>
      </c>
      <c r="D21" s="73">
        <f>'DOE25'!G22</f>
        <v>14917.98</v>
      </c>
      <c r="E21" s="73">
        <f>'DOE25'!H22</f>
        <v>280578.5</v>
      </c>
      <c r="F21" s="73">
        <f>'DOE25'!I22</f>
        <v>0</v>
      </c>
      <c r="G21" s="73">
        <f>'DOE25'!J22</f>
        <v>0</v>
      </c>
      <c r="H21" s="13">
        <f t="shared" ref="H21:H31" si="1">SUM(C21:G21)</f>
        <v>728.90999999997439</v>
      </c>
      <c r="I21" s="90"/>
    </row>
    <row r="22" spans="1:9" x14ac:dyDescent="0.2">
      <c r="A22" s="1" t="s">
        <v>151</v>
      </c>
      <c r="B22" s="6">
        <v>410</v>
      </c>
      <c r="C22" s="73">
        <f>'DOE25'!F23</f>
        <v>295496.48000000004</v>
      </c>
      <c r="D22" s="73">
        <f>'DOE25'!G23</f>
        <v>0</v>
      </c>
      <c r="E22" s="73">
        <f>'DOE25'!H23</f>
        <v>0</v>
      </c>
      <c r="F22" s="73">
        <f>'DOE25'!I23</f>
        <v>0</v>
      </c>
      <c r="G22" s="73">
        <f>'DOE25'!J23</f>
        <v>0</v>
      </c>
      <c r="H22" s="13">
        <f t="shared" si="1"/>
        <v>295496.48000000004</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8419.76</v>
      </c>
      <c r="D28" s="73">
        <f>'DOE25'!G29</f>
        <v>0</v>
      </c>
      <c r="E28" s="73">
        <f>'DOE25'!H29</f>
        <v>0</v>
      </c>
      <c r="F28" s="73">
        <f>'DOE25'!I29</f>
        <v>0</v>
      </c>
      <c r="G28" s="23" t="s">
        <v>288</v>
      </c>
      <c r="H28" s="13">
        <f t="shared" si="1"/>
        <v>8419.76</v>
      </c>
      <c r="I28" s="90"/>
    </row>
    <row r="29" spans="1:9" x14ac:dyDescent="0.2">
      <c r="A29" s="1" t="s">
        <v>158</v>
      </c>
      <c r="B29" s="6">
        <v>480</v>
      </c>
      <c r="C29" s="73">
        <f>'DOE25'!F30</f>
        <v>45633.18</v>
      </c>
      <c r="D29" s="73">
        <f>'DOE25'!G30</f>
        <v>2399.04</v>
      </c>
      <c r="E29" s="73">
        <f>'DOE25'!H30</f>
        <v>43234.14</v>
      </c>
      <c r="F29" s="73">
        <f>'DOE25'!I30</f>
        <v>0</v>
      </c>
      <c r="G29" s="23" t="s">
        <v>288</v>
      </c>
      <c r="H29" s="13">
        <f t="shared" si="1"/>
        <v>91266.36</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54781.850000000035</v>
      </c>
      <c r="D31" s="38">
        <f>SUM(D21:D30)</f>
        <v>17317.02</v>
      </c>
      <c r="E31" s="38">
        <f>SUM(E21:E30)</f>
        <v>323812.64</v>
      </c>
      <c r="F31" s="38">
        <f>SUM(F21:F30)</f>
        <v>0</v>
      </c>
      <c r="G31" s="38">
        <f>SUM(G21:G30)</f>
        <v>0</v>
      </c>
      <c r="H31" s="38">
        <f t="shared" si="1"/>
        <v>395911.51000000007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864718.49</v>
      </c>
      <c r="H42" s="13">
        <f t="shared" si="2"/>
        <v>864718.49</v>
      </c>
      <c r="I42" s="90"/>
    </row>
    <row r="43" spans="1:9" x14ac:dyDescent="0.2">
      <c r="A43" s="1" t="s">
        <v>859</v>
      </c>
      <c r="B43" s="6">
        <v>755</v>
      </c>
      <c r="C43" s="73">
        <f>'DOE25'!F44</f>
        <v>100000</v>
      </c>
      <c r="D43" s="73">
        <f>'DOE25'!G44</f>
        <v>0</v>
      </c>
      <c r="E43" s="73">
        <f>'DOE25'!H44</f>
        <v>0</v>
      </c>
      <c r="F43" s="73">
        <f>'DOE25'!I44</f>
        <v>0</v>
      </c>
      <c r="G43" s="23" t="s">
        <v>288</v>
      </c>
      <c r="H43" s="13">
        <f t="shared" si="2"/>
        <v>100000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107676</v>
      </c>
      <c r="D45" s="23" t="s">
        <v>288</v>
      </c>
      <c r="E45" s="23" t="s">
        <v>288</v>
      </c>
      <c r="F45" s="23" t="s">
        <v>288</v>
      </c>
      <c r="G45" s="23" t="s">
        <v>288</v>
      </c>
      <c r="H45" s="13">
        <f t="shared" si="2"/>
        <v>107676</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0</v>
      </c>
      <c r="H47" s="13">
        <f t="shared" si="2"/>
        <v>0</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262961.03000000003</v>
      </c>
      <c r="D49" s="23" t="s">
        <v>288</v>
      </c>
      <c r="E49" s="23" t="s">
        <v>288</v>
      </c>
      <c r="F49" s="23" t="s">
        <v>288</v>
      </c>
      <c r="G49" s="23" t="s">
        <v>288</v>
      </c>
      <c r="H49" s="13">
        <f t="shared" si="2"/>
        <v>262961.03000000003</v>
      </c>
      <c r="I49" s="90"/>
    </row>
    <row r="50" spans="1:9" ht="12.75" thickTop="1" thickBot="1" x14ac:dyDescent="0.25">
      <c r="A50" s="35" t="s">
        <v>880</v>
      </c>
      <c r="B50" s="44"/>
      <c r="C50" s="38">
        <f>SUM(C34:C49)</f>
        <v>470637.03</v>
      </c>
      <c r="D50" s="38">
        <f>SUM(D34:D49)</f>
        <v>0</v>
      </c>
      <c r="E50" s="38">
        <f>SUM(E34:E49)</f>
        <v>0</v>
      </c>
      <c r="F50" s="38">
        <f>SUM(F34:F49)</f>
        <v>0</v>
      </c>
      <c r="G50" s="38">
        <f>SUM(G34:G49)</f>
        <v>864718.49</v>
      </c>
      <c r="H50" s="38">
        <f t="shared" si="2"/>
        <v>1335355.52</v>
      </c>
      <c r="I50" s="90"/>
    </row>
    <row r="51" spans="1:9" ht="12" thickTop="1" x14ac:dyDescent="0.2">
      <c r="A51" s="35" t="s">
        <v>881</v>
      </c>
      <c r="B51" s="2"/>
      <c r="C51" s="38">
        <f>C50+C31</f>
        <v>525418.88000000012</v>
      </c>
      <c r="D51" s="38">
        <f>D50+D31</f>
        <v>17317.02</v>
      </c>
      <c r="E51" s="38">
        <f>E50+E31</f>
        <v>323812.64</v>
      </c>
      <c r="F51" s="38">
        <f>F50+F31</f>
        <v>0</v>
      </c>
      <c r="G51" s="38">
        <f>G50+G31</f>
        <v>864718.49</v>
      </c>
      <c r="H51" s="38">
        <f t="shared" si="2"/>
        <v>1731267.0300000003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1951132</v>
      </c>
      <c r="D56" s="73">
        <f>'DOE25'!G60</f>
        <v>0</v>
      </c>
      <c r="E56" s="73">
        <f>'DOE25'!H60</f>
        <v>0</v>
      </c>
      <c r="F56" s="73">
        <f>'DOE25'!I60</f>
        <v>0</v>
      </c>
      <c r="G56" s="73">
        <f>'DOE25'!J60</f>
        <v>0</v>
      </c>
      <c r="H56" s="13">
        <f t="shared" ref="H56:H63" si="3">SUM(C56:G56)</f>
        <v>1951132</v>
      </c>
      <c r="I56"/>
    </row>
    <row r="57" spans="1:9" x14ac:dyDescent="0.2">
      <c r="A57" s="1" t="s">
        <v>164</v>
      </c>
      <c r="B57" s="6" t="s">
        <v>165</v>
      </c>
      <c r="C57" s="73">
        <f>'DOE25'!F79</f>
        <v>1044453.01</v>
      </c>
      <c r="D57" s="23" t="s">
        <v>288</v>
      </c>
      <c r="E57" s="73">
        <f>'DOE25'!H79</f>
        <v>0</v>
      </c>
      <c r="F57" s="23" t="s">
        <v>288</v>
      </c>
      <c r="G57" s="23" t="s">
        <v>288</v>
      </c>
      <c r="H57" s="13">
        <f t="shared" si="3"/>
        <v>1044453.01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25211.19</v>
      </c>
      <c r="D59" s="73">
        <f>'DOE25'!G96</f>
        <v>0</v>
      </c>
      <c r="E59" s="73">
        <f>'DOE25'!H96</f>
        <v>0</v>
      </c>
      <c r="F59" s="73">
        <f>'DOE25'!I96</f>
        <v>0</v>
      </c>
      <c r="G59" s="73">
        <f>'DOE25'!J96</f>
        <v>39435.980000000003</v>
      </c>
      <c r="H59" s="13">
        <f t="shared" si="3"/>
        <v>64647.17</v>
      </c>
      <c r="I59"/>
    </row>
    <row r="60" spans="1:9" x14ac:dyDescent="0.2">
      <c r="A60" s="1" t="s">
        <v>170</v>
      </c>
      <c r="B60" s="22" t="s">
        <v>171</v>
      </c>
      <c r="C60" s="23" t="s">
        <v>288</v>
      </c>
      <c r="D60" s="73">
        <f>'DOE25'!G97</f>
        <v>46696.06</v>
      </c>
      <c r="E60" s="23" t="s">
        <v>288</v>
      </c>
      <c r="F60" s="23" t="s">
        <v>288</v>
      </c>
      <c r="G60" s="23" t="s">
        <v>288</v>
      </c>
      <c r="H60" s="13">
        <f t="shared" si="3"/>
        <v>46696.06</v>
      </c>
      <c r="I60"/>
    </row>
    <row r="61" spans="1:9" ht="12" thickBot="1" x14ac:dyDescent="0.25">
      <c r="A61" s="1" t="s">
        <v>172</v>
      </c>
      <c r="B61" s="22" t="s">
        <v>173</v>
      </c>
      <c r="C61" s="73">
        <f>SUM('DOE25'!F98:F110)</f>
        <v>64380.14</v>
      </c>
      <c r="D61" s="73">
        <f>SUM('DOE25'!G98:G110)</f>
        <v>0</v>
      </c>
      <c r="E61" s="73">
        <f>SUM('DOE25'!H98:H110)</f>
        <v>85758.06</v>
      </c>
      <c r="F61" s="73">
        <f>SUM('DOE25'!I98:I110)</f>
        <v>0</v>
      </c>
      <c r="G61" s="73">
        <f>SUM('DOE25'!J98:J110)</f>
        <v>0</v>
      </c>
      <c r="H61" s="13">
        <f t="shared" si="3"/>
        <v>150138.20000000001</v>
      </c>
      <c r="I61"/>
    </row>
    <row r="62" spans="1:9" ht="12.75" thickTop="1" thickBot="1" x14ac:dyDescent="0.25">
      <c r="A62" s="28" t="s">
        <v>174</v>
      </c>
      <c r="B62" s="6"/>
      <c r="C62" s="93">
        <f>SUM(C57:C61)</f>
        <v>1134044.3399999999</v>
      </c>
      <c r="D62" s="93">
        <f>SUM(D57:D61)</f>
        <v>46696.06</v>
      </c>
      <c r="E62" s="93">
        <f>SUM(E57:E61)</f>
        <v>85758.06</v>
      </c>
      <c r="F62" s="93">
        <f>SUM(F57:F61)</f>
        <v>0</v>
      </c>
      <c r="G62" s="93">
        <f>SUM(G57:G61)</f>
        <v>39435.980000000003</v>
      </c>
      <c r="H62" s="13">
        <f t="shared" si="3"/>
        <v>1305934.44</v>
      </c>
      <c r="I62"/>
    </row>
    <row r="63" spans="1:9" ht="12" thickTop="1" x14ac:dyDescent="0.2">
      <c r="A63" s="28" t="s">
        <v>175</v>
      </c>
      <c r="B63" s="6"/>
      <c r="C63" s="21">
        <f>C56+C62</f>
        <v>3085176.34</v>
      </c>
      <c r="D63" s="21">
        <f>D56+D62</f>
        <v>46696.06</v>
      </c>
      <c r="E63" s="21">
        <f>E56+E62</f>
        <v>85758.06</v>
      </c>
      <c r="F63" s="21">
        <f>F56+F62</f>
        <v>0</v>
      </c>
      <c r="G63" s="21">
        <f>G56+G62</f>
        <v>39435.980000000003</v>
      </c>
      <c r="H63" s="13">
        <f t="shared" si="3"/>
        <v>3257066.44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2796968.71</v>
      </c>
      <c r="D66" s="23" t="s">
        <v>288</v>
      </c>
      <c r="E66" s="23" t="s">
        <v>288</v>
      </c>
      <c r="F66" s="23" t="s">
        <v>288</v>
      </c>
      <c r="G66" s="23" t="s">
        <v>288</v>
      </c>
      <c r="H66" s="13">
        <f t="shared" ref="H66:H81" si="4">SUM(C66:G66)</f>
        <v>2796968.71</v>
      </c>
      <c r="I66"/>
    </row>
    <row r="67" spans="1:9" x14ac:dyDescent="0.2">
      <c r="A67" s="1" t="s">
        <v>767</v>
      </c>
      <c r="B67" s="6">
        <v>3112</v>
      </c>
      <c r="C67" s="73">
        <f>'DOE25'!F118</f>
        <v>202397</v>
      </c>
      <c r="D67" s="23"/>
      <c r="E67" s="23"/>
      <c r="F67" s="23"/>
      <c r="G67" s="23"/>
      <c r="H67" s="13">
        <f t="shared" si="4"/>
        <v>202397</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5115.3900000000003</v>
      </c>
      <c r="D69" s="73">
        <f>'DOE25'!G120</f>
        <v>0</v>
      </c>
      <c r="E69" s="73">
        <f>'DOE25'!H120</f>
        <v>0</v>
      </c>
      <c r="F69" s="73">
        <f>'DOE25'!I120</f>
        <v>0</v>
      </c>
      <c r="G69" s="73">
        <f>'DOE25'!J120</f>
        <v>0</v>
      </c>
      <c r="H69" s="13">
        <f t="shared" si="4"/>
        <v>5115.3900000000003</v>
      </c>
      <c r="I69"/>
    </row>
    <row r="70" spans="1:9" ht="12" thickTop="1" x14ac:dyDescent="0.2">
      <c r="A70" s="28" t="s">
        <v>252</v>
      </c>
      <c r="B70" s="2"/>
      <c r="C70" s="97">
        <f>SUM(C66:C69)</f>
        <v>3004481.1</v>
      </c>
      <c r="D70" s="97">
        <f>D69</f>
        <v>0</v>
      </c>
      <c r="E70" s="97">
        <f>E69</f>
        <v>0</v>
      </c>
      <c r="F70" s="97">
        <f>F69</f>
        <v>0</v>
      </c>
      <c r="G70" s="97">
        <f>G69</f>
        <v>0</v>
      </c>
      <c r="H70" s="13">
        <f t="shared" si="4"/>
        <v>3004481.1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7349.4</v>
      </c>
      <c r="D76" s="23" t="s">
        <v>288</v>
      </c>
      <c r="E76" s="73">
        <f>SUM('DOE25'!H127:H130)</f>
        <v>0</v>
      </c>
      <c r="F76" s="73">
        <f>SUM('DOE25'!I127:I130)</f>
        <v>0</v>
      </c>
      <c r="G76" s="23" t="s">
        <v>288</v>
      </c>
      <c r="H76" s="13">
        <f t="shared" si="4"/>
        <v>7349.4</v>
      </c>
      <c r="I76"/>
    </row>
    <row r="77" spans="1:9" ht="12" thickBot="1" x14ac:dyDescent="0.25">
      <c r="A77" s="1" t="s">
        <v>258</v>
      </c>
      <c r="B77" s="6" t="s">
        <v>180</v>
      </c>
      <c r="C77" s="73">
        <f>SUM('DOE25'!F131:F135)</f>
        <v>0</v>
      </c>
      <c r="D77" s="73">
        <f>SUM('DOE25'!G131:G135)</f>
        <v>1517.4</v>
      </c>
      <c r="E77" s="73">
        <f>SUM('DOE25'!H131:H135)</f>
        <v>0</v>
      </c>
      <c r="F77" s="73">
        <f>SUM('DOE25'!I131:I135)</f>
        <v>0</v>
      </c>
      <c r="G77" s="73">
        <f>SUM('DOE25'!J131:J135)</f>
        <v>0</v>
      </c>
      <c r="H77" s="13">
        <f t="shared" si="4"/>
        <v>1517.4</v>
      </c>
      <c r="I77"/>
    </row>
    <row r="78" spans="1:9" ht="12.75" thickTop="1" thickBot="1" x14ac:dyDescent="0.25">
      <c r="A78" s="28" t="s">
        <v>259</v>
      </c>
      <c r="B78" s="6"/>
      <c r="C78" s="93">
        <f>SUM(C72:C77)</f>
        <v>7349.4</v>
      </c>
      <c r="D78" s="93">
        <f>SUM(D72:D77)</f>
        <v>1517.4</v>
      </c>
      <c r="E78" s="93">
        <f>SUM(E72:E77)</f>
        <v>0</v>
      </c>
      <c r="F78" s="93">
        <f>SUM(F72:F77)</f>
        <v>0</v>
      </c>
      <c r="G78" s="93">
        <f>SUM(G72:G77)</f>
        <v>0</v>
      </c>
      <c r="H78" s="13">
        <f t="shared" si="4"/>
        <v>8866.7999999999993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3011830.5</v>
      </c>
      <c r="D81" s="93">
        <f>SUM(D79:D80)+D78+D70</f>
        <v>1517.4</v>
      </c>
      <c r="E81" s="93">
        <f>SUM(E79:E80)+E78+E70</f>
        <v>0</v>
      </c>
      <c r="F81" s="93">
        <f>SUM(F79:F80)+F78+F70</f>
        <v>0</v>
      </c>
      <c r="G81" s="93">
        <f>SUM(G79:G80)+G78+G70</f>
        <v>0</v>
      </c>
      <c r="H81" s="93">
        <f t="shared" si="4"/>
        <v>3013347.9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15769.3</v>
      </c>
      <c r="F85" s="73">
        <f>'DOE25'!I147</f>
        <v>0</v>
      </c>
      <c r="G85" s="23" t="s">
        <v>288</v>
      </c>
      <c r="H85" s="13">
        <f t="shared" ref="H85:H104" si="5">SUM(C85:G85)</f>
        <v>15769.3</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40347.06</v>
      </c>
      <c r="D88" s="252">
        <f>SUM('DOE25'!G153:G162)</f>
        <v>102936</v>
      </c>
      <c r="E88" s="252">
        <f>SUM('DOE25'!H153:H162)</f>
        <v>1139552.04</v>
      </c>
      <c r="F88" s="252">
        <f>SUM('DOE25'!I153:I162)</f>
        <v>0</v>
      </c>
      <c r="G88" s="23" t="s">
        <v>288</v>
      </c>
      <c r="H88" s="13">
        <f t="shared" si="5"/>
        <v>1282835.1000000001</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5113.3999999999996</v>
      </c>
      <c r="D90" s="23" t="s">
        <v>288</v>
      </c>
      <c r="E90" s="23" t="s">
        <v>288</v>
      </c>
      <c r="F90" s="23" t="s">
        <v>288</v>
      </c>
      <c r="G90" s="23" t="s">
        <v>288</v>
      </c>
      <c r="H90" s="13">
        <f t="shared" si="5"/>
        <v>5113.3999999999996</v>
      </c>
    </row>
    <row r="91" spans="1:9" ht="12.75" thickTop="1" thickBot="1" x14ac:dyDescent="0.25">
      <c r="A91" s="32" t="s">
        <v>747</v>
      </c>
      <c r="C91" s="94">
        <f>SUM(C85:C90)</f>
        <v>45460.46</v>
      </c>
      <c r="D91" s="94">
        <f>SUM(D85:D90)</f>
        <v>102936</v>
      </c>
      <c r="E91" s="94">
        <f>SUM(E85:E90)</f>
        <v>1155321.3400000001</v>
      </c>
      <c r="F91" s="94">
        <f>SUM(F85:F90)</f>
        <v>0</v>
      </c>
      <c r="G91" s="23" t="s">
        <v>288</v>
      </c>
      <c r="H91" s="13">
        <f t="shared" si="5"/>
        <v>1303717.8</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39854.21</v>
      </c>
      <c r="E96" s="73">
        <f>'DOE25'!H180</f>
        <v>0</v>
      </c>
      <c r="F96" s="73">
        <f>'DOE25'!I180</f>
        <v>0</v>
      </c>
      <c r="G96" s="73">
        <f>'DOE25'!J180</f>
        <v>193201</v>
      </c>
      <c r="H96" s="13">
        <f t="shared" si="5"/>
        <v>233055.21</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42460.67</v>
      </c>
      <c r="D100" s="73">
        <f>SUM('DOE25'!G187:G188)</f>
        <v>0</v>
      </c>
      <c r="E100" s="73">
        <f>SUM('DOE25'!H187:H188)</f>
        <v>0</v>
      </c>
      <c r="F100" s="73">
        <f>SUM('DOE25'!I187:I188)</f>
        <v>0</v>
      </c>
      <c r="G100" s="23" t="s">
        <v>288</v>
      </c>
      <c r="H100" s="13">
        <f t="shared" si="5"/>
        <v>42460.67</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42460.67</v>
      </c>
      <c r="D103" s="68">
        <f>SUM(D93:D102)</f>
        <v>39854.21</v>
      </c>
      <c r="E103" s="68">
        <f>SUM(E93:E102)</f>
        <v>0</v>
      </c>
      <c r="F103" s="68">
        <f>SUM(F93:F102)</f>
        <v>0</v>
      </c>
      <c r="G103" s="68">
        <f>SUM(G93:G102)</f>
        <v>193201</v>
      </c>
      <c r="H103" s="68">
        <f t="shared" si="5"/>
        <v>275515.88</v>
      </c>
    </row>
    <row r="104" spans="1:8" ht="12.75" thickTop="1" thickBot="1" x14ac:dyDescent="0.25">
      <c r="A104" s="32" t="s">
        <v>758</v>
      </c>
      <c r="C104" s="68">
        <f>C63+C81+C91+C103</f>
        <v>6184927.9699999997</v>
      </c>
      <c r="D104" s="68">
        <f>D63+D81+D91+D103</f>
        <v>191003.66999999998</v>
      </c>
      <c r="E104" s="68">
        <f>E63+E81+E91+E103</f>
        <v>1241079.4000000001</v>
      </c>
      <c r="F104" s="68">
        <f>F63+F81+F91+F103</f>
        <v>0</v>
      </c>
      <c r="G104" s="68">
        <f>G63+G81+G103</f>
        <v>232636.98</v>
      </c>
      <c r="H104" s="68">
        <f t="shared" si="5"/>
        <v>7849648.0200000005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2177078.8000000003</v>
      </c>
      <c r="D109" s="23" t="s">
        <v>288</v>
      </c>
      <c r="E109" s="73">
        <f>('DOE25'!L277)+('DOE25'!L296)+('DOE25'!L315)</f>
        <v>465967.50000000006</v>
      </c>
      <c r="F109" s="23" t="s">
        <v>288</v>
      </c>
      <c r="G109" s="23" t="s">
        <v>288</v>
      </c>
      <c r="H109" s="13">
        <f t="shared" ref="H109:H115" si="6">SUM(C109:G109)</f>
        <v>2643046.3000000003</v>
      </c>
    </row>
    <row r="110" spans="1:8" x14ac:dyDescent="0.2">
      <c r="A110" t="s">
        <v>198</v>
      </c>
      <c r="B110" s="31" t="s">
        <v>199</v>
      </c>
      <c r="C110" s="73">
        <f>('DOE25'!L199)+('DOE25'!L217)+('DOE25'!L235)</f>
        <v>857277.06</v>
      </c>
      <c r="D110" s="23" t="s">
        <v>288</v>
      </c>
      <c r="E110" s="73">
        <f>('DOE25'!L278)+('DOE25'!L297)+('DOE25'!L316)</f>
        <v>143517.25</v>
      </c>
      <c r="F110" s="23" t="s">
        <v>288</v>
      </c>
      <c r="G110" s="23" t="s">
        <v>288</v>
      </c>
      <c r="H110" s="13">
        <f t="shared" si="6"/>
        <v>1000794.31</v>
      </c>
    </row>
    <row r="111" spans="1:8" x14ac:dyDescent="0.2">
      <c r="A111" t="s">
        <v>200</v>
      </c>
      <c r="B111" s="31" t="s">
        <v>165</v>
      </c>
      <c r="C111" s="73">
        <f>('DOE25'!L200)+('DOE25'!L218)+('DOE25'!L236)</f>
        <v>29230.5</v>
      </c>
      <c r="D111" s="23" t="s">
        <v>288</v>
      </c>
      <c r="E111" s="73">
        <f>('DOE25'!L279)+('DOE25'!L298)+('DOE25'!L317)</f>
        <v>0</v>
      </c>
      <c r="F111" s="23" t="s">
        <v>288</v>
      </c>
      <c r="G111" s="23" t="s">
        <v>288</v>
      </c>
      <c r="H111" s="13">
        <f t="shared" si="6"/>
        <v>29230.5</v>
      </c>
    </row>
    <row r="112" spans="1:8" x14ac:dyDescent="0.2">
      <c r="A112" t="s">
        <v>201</v>
      </c>
      <c r="B112" s="31" t="s">
        <v>167</v>
      </c>
      <c r="C112" s="73">
        <f>('DOE25'!L201)+('DOE25'!L219)+('DOE25'!L237)</f>
        <v>107948.83</v>
      </c>
      <c r="D112" s="23" t="s">
        <v>288</v>
      </c>
      <c r="E112" s="73">
        <f>+('DOE25'!L280)+('DOE25'!L299)+('DOE25'!L318)</f>
        <v>62219.839999999997</v>
      </c>
      <c r="F112" s="23" t="s">
        <v>288</v>
      </c>
      <c r="G112" s="23" t="s">
        <v>288</v>
      </c>
      <c r="H112" s="13">
        <f t="shared" si="6"/>
        <v>170168.66999999998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3642.55</v>
      </c>
      <c r="F114" s="23" t="s">
        <v>288</v>
      </c>
      <c r="G114" s="23" t="s">
        <v>288</v>
      </c>
      <c r="H114" s="13">
        <f t="shared" si="6"/>
        <v>3642.55</v>
      </c>
    </row>
    <row r="115" spans="1:8" ht="12.75" thickTop="1" thickBot="1" x14ac:dyDescent="0.25">
      <c r="A115" s="32" t="s">
        <v>205</v>
      </c>
      <c r="C115" s="68">
        <f>SUM(C109:C114)</f>
        <v>3171535.1900000004</v>
      </c>
      <c r="D115" s="68">
        <f>SUM(D109:D114)</f>
        <v>0</v>
      </c>
      <c r="E115" s="68">
        <f>SUM(E109:E114)</f>
        <v>675347.14</v>
      </c>
      <c r="F115" s="68">
        <f>SUM(F109:F114)</f>
        <v>0</v>
      </c>
      <c r="G115" s="68">
        <f>SUM(G109:G114)</f>
        <v>0</v>
      </c>
      <c r="H115" s="68">
        <f t="shared" si="6"/>
        <v>3846882.3300000005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542090.06000000006</v>
      </c>
      <c r="D118" s="23" t="s">
        <v>288</v>
      </c>
      <c r="E118" s="73">
        <f>+('DOE25'!L282)+('DOE25'!L301)+('DOE25'!L320)</f>
        <v>174244.94</v>
      </c>
      <c r="F118" s="23" t="s">
        <v>288</v>
      </c>
      <c r="G118" s="23" t="s">
        <v>288</v>
      </c>
      <c r="H118" s="13">
        <f t="shared" ref="H118:H145" si="7">SUM(C118:G118)</f>
        <v>716335</v>
      </c>
    </row>
    <row r="119" spans="1:8" x14ac:dyDescent="0.2">
      <c r="A119" t="s">
        <v>208</v>
      </c>
      <c r="B119" s="31" t="s">
        <v>209</v>
      </c>
      <c r="C119" s="73">
        <f>('DOE25'!L204)+('DOE25'!L222)+('DOE25'!L240)</f>
        <v>117510.73000000001</v>
      </c>
      <c r="D119" s="23" t="s">
        <v>288</v>
      </c>
      <c r="E119" s="73">
        <f>+('DOE25'!L283)+('DOE25'!L302)+('DOE25'!L321)</f>
        <v>186473.46</v>
      </c>
      <c r="F119" s="23" t="s">
        <v>288</v>
      </c>
      <c r="G119" s="23" t="s">
        <v>288</v>
      </c>
      <c r="H119" s="13">
        <f t="shared" si="7"/>
        <v>303984.19</v>
      </c>
    </row>
    <row r="120" spans="1:8" x14ac:dyDescent="0.2">
      <c r="A120" t="s">
        <v>210</v>
      </c>
      <c r="B120" s="31" t="s">
        <v>211</v>
      </c>
      <c r="C120" s="73">
        <f>('DOE25'!L205)+('DOE25'!L223)+('DOE25'!L241)</f>
        <v>568920.09000000008</v>
      </c>
      <c r="D120" s="23" t="s">
        <v>288</v>
      </c>
      <c r="E120" s="73">
        <f>+('DOE25'!L284)+('DOE25'!L303)+('DOE25'!L322)</f>
        <v>1256.96</v>
      </c>
      <c r="F120" s="23" t="s">
        <v>288</v>
      </c>
      <c r="G120" s="23" t="s">
        <v>288</v>
      </c>
      <c r="H120" s="13">
        <f t="shared" si="7"/>
        <v>570177.05000000005</v>
      </c>
    </row>
    <row r="121" spans="1:8" x14ac:dyDescent="0.2">
      <c r="A121" t="s">
        <v>212</v>
      </c>
      <c r="B121" s="31" t="s">
        <v>213</v>
      </c>
      <c r="C121" s="73">
        <f>('DOE25'!L206)+('DOE25'!L224)+('DOE25'!L242)</f>
        <v>734213.14999999991</v>
      </c>
      <c r="D121" s="23" t="s">
        <v>288</v>
      </c>
      <c r="E121" s="73">
        <f>+('DOE25'!L285)+('DOE25'!L304)+('DOE25'!L323)</f>
        <v>12795.19</v>
      </c>
      <c r="F121" s="23" t="s">
        <v>288</v>
      </c>
      <c r="G121" s="23" t="s">
        <v>288</v>
      </c>
      <c r="H121" s="13">
        <f t="shared" si="7"/>
        <v>747008.33999999985</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551525.47</v>
      </c>
      <c r="D123" s="23" t="s">
        <v>288</v>
      </c>
      <c r="E123" s="73">
        <f>+('DOE25'!L287)+('DOE25'!L306)+('DOE25'!L325)</f>
        <v>41816.21</v>
      </c>
      <c r="F123" s="23" t="s">
        <v>288</v>
      </c>
      <c r="G123" s="23" t="s">
        <v>288</v>
      </c>
      <c r="H123" s="13">
        <f t="shared" si="7"/>
        <v>593341.67999999993</v>
      </c>
    </row>
    <row r="124" spans="1:8" x14ac:dyDescent="0.2">
      <c r="A124" t="s">
        <v>218</v>
      </c>
      <c r="B124" s="31" t="s">
        <v>219</v>
      </c>
      <c r="C124" s="73">
        <f>('DOE25'!L209)+('DOE25'!L227)+('DOE25'!L245+'DOE25'!L255)</f>
        <v>177484.06</v>
      </c>
      <c r="D124" s="23" t="s">
        <v>288</v>
      </c>
      <c r="E124" s="73">
        <f>+('DOE25'!L288)+('DOE25'!L307)+('DOE25'!L326)</f>
        <v>9658.5</v>
      </c>
      <c r="F124" s="23" t="s">
        <v>288</v>
      </c>
      <c r="G124" s="23" t="s">
        <v>288</v>
      </c>
      <c r="H124" s="13">
        <f t="shared" si="7"/>
        <v>187142.56</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200985.65000000002</v>
      </c>
      <c r="E127" s="23" t="s">
        <v>288</v>
      </c>
      <c r="F127" s="23" t="s">
        <v>288</v>
      </c>
      <c r="G127" s="23" t="s">
        <v>288</v>
      </c>
      <c r="H127" s="13">
        <f t="shared" si="7"/>
        <v>200985.65000000002</v>
      </c>
    </row>
    <row r="128" spans="1:8" ht="12.75" thickTop="1" thickBot="1" x14ac:dyDescent="0.25">
      <c r="A128" s="32" t="s">
        <v>226</v>
      </c>
      <c r="C128" s="68">
        <f>SUM(C118:C127)</f>
        <v>2691743.56</v>
      </c>
      <c r="D128" s="68">
        <f>SUM(D118:D127)</f>
        <v>200985.65000000002</v>
      </c>
      <c r="E128" s="68">
        <f>SUM(E118:E127)</f>
        <v>426245.26000000007</v>
      </c>
      <c r="F128" s="68">
        <f>SUM(F118:F127)</f>
        <v>0</v>
      </c>
      <c r="G128" s="68">
        <f>SUM(G118:G127)</f>
        <v>0</v>
      </c>
      <c r="H128" s="68">
        <f t="shared" si="7"/>
        <v>3318974.47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77670.509999999995</v>
      </c>
      <c r="D130" s="23" t="s">
        <v>288</v>
      </c>
      <c r="E130" s="92">
        <f>'DOE25'!L337</f>
        <v>139487</v>
      </c>
      <c r="F130" s="92">
        <f>SUM('DOE25'!L375:'DOE25'!L381)</f>
        <v>0</v>
      </c>
      <c r="G130" s="23" t="s">
        <v>288</v>
      </c>
      <c r="H130" s="13">
        <f t="shared" si="7"/>
        <v>217157.51</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39854.21</v>
      </c>
      <c r="D135" s="23" t="s">
        <v>288</v>
      </c>
      <c r="E135" s="92">
        <f>'DOE25'!L346</f>
        <v>0</v>
      </c>
      <c r="F135" s="23" t="s">
        <v>288</v>
      </c>
      <c r="G135" s="23" t="s">
        <v>288</v>
      </c>
      <c r="H135" s="13">
        <f t="shared" si="7"/>
        <v>39854.21</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232636.97999999998</v>
      </c>
      <c r="D139" s="23" t="s">
        <v>288</v>
      </c>
      <c r="E139" s="23" t="s">
        <v>288</v>
      </c>
      <c r="F139" s="23" t="s">
        <v>288</v>
      </c>
      <c r="G139" s="23" t="s">
        <v>288</v>
      </c>
      <c r="H139" s="13">
        <f t="shared" si="7"/>
        <v>232636.97999999998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-39435.979999999981</v>
      </c>
      <c r="D141" s="23" t="s">
        <v>288</v>
      </c>
      <c r="E141" s="23" t="s">
        <v>288</v>
      </c>
      <c r="F141" s="23" t="s">
        <v>288</v>
      </c>
      <c r="G141" s="23" t="s">
        <v>288</v>
      </c>
      <c r="H141" s="13">
        <f t="shared" si="7"/>
        <v>-39435.979999999981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310725.71999999997</v>
      </c>
      <c r="D144" s="98">
        <f>SUM(D130:D143)</f>
        <v>0</v>
      </c>
      <c r="E144" s="98">
        <f>SUM(E130:E143)</f>
        <v>139487</v>
      </c>
      <c r="F144" s="98">
        <f>SUM(F130:F143)</f>
        <v>0</v>
      </c>
      <c r="G144" s="98">
        <f>SUM(G130:G143)</f>
        <v>0</v>
      </c>
      <c r="H144" s="98">
        <f t="shared" si="7"/>
        <v>450212.72</v>
      </c>
    </row>
    <row r="145" spans="1:9" ht="12.75" thickTop="1" thickBot="1" x14ac:dyDescent="0.25">
      <c r="A145" s="32" t="s">
        <v>244</v>
      </c>
      <c r="C145" s="68">
        <f>(C115+C128+C144)</f>
        <v>6174004.4699999997</v>
      </c>
      <c r="D145" s="68">
        <f>(D115+D128+D144)</f>
        <v>200985.65000000002</v>
      </c>
      <c r="E145" s="68">
        <f>(E115+E128+E144)</f>
        <v>1241079.4000000001</v>
      </c>
      <c r="F145" s="68">
        <f>(F115+F128+F144)</f>
        <v>0</v>
      </c>
      <c r="G145" s="68">
        <f>(G115+G128+G144)</f>
        <v>0</v>
      </c>
      <c r="H145" s="68">
        <f t="shared" si="7"/>
        <v>7616069.5200000005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Northumberland</v>
      </c>
    </row>
    <row r="3" spans="1:4" x14ac:dyDescent="0.2">
      <c r="B3" s="136" t="s">
        <v>1792</v>
      </c>
    </row>
    <row r="4" spans="1:4" x14ac:dyDescent="0.2">
      <c r="B4" t="s">
        <v>61</v>
      </c>
      <c r="C4" s="128">
        <f>IF('DOE25'!F666+'DOE25'!F671=0,0,ROUND('DOE25'!F673,0))</f>
        <v>22246</v>
      </c>
    </row>
    <row r="5" spans="1:4" x14ac:dyDescent="0.2">
      <c r="B5" t="s">
        <v>700</v>
      </c>
      <c r="C5" s="128">
        <f>IF('DOE25'!G666+'DOE25'!G671=0,0,ROUND('DOE25'!G673,0))</f>
        <v>0</v>
      </c>
    </row>
    <row r="6" spans="1:4" x14ac:dyDescent="0.2">
      <c r="B6" t="s">
        <v>62</v>
      </c>
      <c r="C6" s="128">
        <f>IF('DOE25'!H666+'DOE25'!H671=0,0,ROUND('DOE25'!H673,0))</f>
        <v>23185</v>
      </c>
    </row>
    <row r="7" spans="1:4" x14ac:dyDescent="0.2">
      <c r="B7" t="s">
        <v>701</v>
      </c>
      <c r="C7" s="128">
        <f>IF('DOE25'!I666+'DOE25'!I671=0,0,ROUND('DOE25'!I673,0))</f>
        <v>22601</v>
      </c>
    </row>
    <row r="9" spans="1:4" x14ac:dyDescent="0.2">
      <c r="A9" s="135" t="s">
        <v>94</v>
      </c>
      <c r="B9" s="136" t="s">
        <v>1793</v>
      </c>
      <c r="C9" s="130" t="s">
        <v>720</v>
      </c>
      <c r="D9" s="130" t="s">
        <v>721</v>
      </c>
    </row>
    <row r="10" spans="1:4" x14ac:dyDescent="0.2">
      <c r="A10">
        <v>1100</v>
      </c>
      <c r="B10" t="s">
        <v>702</v>
      </c>
      <c r="C10" s="128">
        <f>ROUND('DOE25'!L198+'DOE25'!L216+'DOE25'!L234+'DOE25'!L277+'DOE25'!L296+'DOE25'!L315,0)</f>
        <v>2643046</v>
      </c>
      <c r="D10" s="131">
        <f>ROUND((C10/$C$28)*100,1)</f>
        <v>37.1</v>
      </c>
    </row>
    <row r="11" spans="1:4" x14ac:dyDescent="0.2">
      <c r="A11">
        <v>1200</v>
      </c>
      <c r="B11" t="s">
        <v>703</v>
      </c>
      <c r="C11" s="128">
        <f>ROUND('DOE25'!L199+'DOE25'!L217+'DOE25'!L235+'DOE25'!L278+'DOE25'!L297+'DOE25'!L316,0)</f>
        <v>1000794</v>
      </c>
      <c r="D11" s="131">
        <f>ROUND((C11/$C$28)*100,1)</f>
        <v>14.1</v>
      </c>
    </row>
    <row r="12" spans="1:4" x14ac:dyDescent="0.2">
      <c r="A12">
        <v>1300</v>
      </c>
      <c r="B12" t="s">
        <v>704</v>
      </c>
      <c r="C12" s="128">
        <f>ROUND('DOE25'!L200+'DOE25'!L218+'DOE25'!L236+'DOE25'!L279+'DOE25'!L298+'DOE25'!L317,0)</f>
        <v>29231</v>
      </c>
      <c r="D12" s="131">
        <f>ROUND((C12/$C$28)*100,1)</f>
        <v>0.4</v>
      </c>
    </row>
    <row r="13" spans="1:4" x14ac:dyDescent="0.2">
      <c r="A13">
        <v>1400</v>
      </c>
      <c r="B13" t="s">
        <v>705</v>
      </c>
      <c r="C13" s="128">
        <f>ROUND('DOE25'!L201+'DOE25'!L219+'DOE25'!L237+'DOE25'!L280+'DOE25'!L299+'DOE25'!L318,0)</f>
        <v>170169</v>
      </c>
      <c r="D13" s="131">
        <f>ROUND((C13/$C$28)*100,1)</f>
        <v>2.4</v>
      </c>
    </row>
    <row r="14" spans="1:4" x14ac:dyDescent="0.2">
      <c r="D14" s="131"/>
    </row>
    <row r="15" spans="1:4" x14ac:dyDescent="0.2">
      <c r="A15">
        <v>2100</v>
      </c>
      <c r="B15" t="s">
        <v>706</v>
      </c>
      <c r="C15" s="128">
        <f>ROUND('DOE25'!L203+'DOE25'!L221+'DOE25'!L239+'DOE25'!L282+'DOE25'!L301+'DOE25'!L320,0)</f>
        <v>716335</v>
      </c>
      <c r="D15" s="131">
        <f t="shared" ref="D15:D27" si="0">ROUND((C15/$C$28)*100,1)</f>
        <v>10.1</v>
      </c>
    </row>
    <row r="16" spans="1:4" x14ac:dyDescent="0.2">
      <c r="A16">
        <v>2200</v>
      </c>
      <c r="B16" t="s">
        <v>707</v>
      </c>
      <c r="C16" s="128">
        <f>ROUND('DOE25'!L204+'DOE25'!L222+'DOE25'!L240+'DOE25'!L283+'DOE25'!L302+'DOE25'!L321,0)</f>
        <v>303984</v>
      </c>
      <c r="D16" s="131">
        <f t="shared" si="0"/>
        <v>4.3</v>
      </c>
    </row>
    <row r="17" spans="1:4" x14ac:dyDescent="0.2">
      <c r="A17" s="132" t="s">
        <v>723</v>
      </c>
      <c r="B17" t="s">
        <v>738</v>
      </c>
      <c r="C17" s="128">
        <f>ROUND('DOE25'!L205+'DOE25'!L210+'DOE25'!L223+'DOE25'!L228+'DOE25'!L241+'DOE25'!L246+'DOE25'!L284+'DOE25'!L289+'DOE25'!L303+'DOE25'!L308+'DOE25'!L322+'DOE25'!L327,0)</f>
        <v>570177</v>
      </c>
      <c r="D17" s="131">
        <f t="shared" si="0"/>
        <v>8</v>
      </c>
    </row>
    <row r="18" spans="1:4" x14ac:dyDescent="0.2">
      <c r="A18">
        <v>2400</v>
      </c>
      <c r="B18" t="s">
        <v>711</v>
      </c>
      <c r="C18" s="128">
        <f>ROUND('DOE25'!L206+'DOE25'!L224+'DOE25'!L242+'DOE25'!L285+'DOE25'!L304+'DOE25'!L323,0)</f>
        <v>747008</v>
      </c>
      <c r="D18" s="131">
        <f t="shared" si="0"/>
        <v>10.5</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593342</v>
      </c>
      <c r="D20" s="131">
        <f t="shared" si="0"/>
        <v>8.3000000000000007</v>
      </c>
    </row>
    <row r="21" spans="1:4" x14ac:dyDescent="0.2">
      <c r="A21">
        <v>2700</v>
      </c>
      <c r="B21" t="s">
        <v>710</v>
      </c>
      <c r="C21" s="128">
        <f>ROUND('DOE25'!L209+'DOE25'!L227+'DOE25'!L245+'DOE25'!L288+'DOE25'!L307+'DOE25'!L326,0)</f>
        <v>187143</v>
      </c>
      <c r="D21" s="131">
        <f t="shared" si="0"/>
        <v>2.6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3643</v>
      </c>
      <c r="D24" s="131">
        <f t="shared" si="0"/>
        <v>0.1</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154289.94</v>
      </c>
      <c r="D27" s="131">
        <f t="shared" si="0"/>
        <v>2.2000000000000002</v>
      </c>
    </row>
    <row r="28" spans="1:4" x14ac:dyDescent="0.2">
      <c r="B28" s="135" t="s">
        <v>719</v>
      </c>
      <c r="C28" s="129">
        <f>SUM(C10:C27)</f>
        <v>7119161.9400000004</v>
      </c>
      <c r="D28" s="133">
        <f>ROUND(SUM(D10:D27),0)</f>
        <v>100</v>
      </c>
    </row>
    <row r="29" spans="1:4" x14ac:dyDescent="0.2">
      <c r="A29">
        <v>4000</v>
      </c>
      <c r="B29" t="s">
        <v>724</v>
      </c>
      <c r="C29" s="128">
        <f>ROUND('DOE25'!L256+'DOE25'!L337+'DOE25'!L375+'DOE25'!L376+'DOE25'!L377+'DOE25'!L378+'DOE25'!L379+'DOE25'!L380+'DOE25'!L381,0)</f>
        <v>217158</v>
      </c>
    </row>
    <row r="30" spans="1:4" x14ac:dyDescent="0.2">
      <c r="B30" s="135" t="s">
        <v>725</v>
      </c>
      <c r="C30" s="129">
        <f>SUM(C28:C29)</f>
        <v>7336319.9400000004</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1951132</v>
      </c>
      <c r="D35" s="131">
        <f t="shared" ref="D35:D40" si="1">ROUND((C35/$C$41)*100,1)</f>
        <v>25.9</v>
      </c>
    </row>
    <row r="36" spans="1:4" x14ac:dyDescent="0.2">
      <c r="B36" s="71" t="s">
        <v>739</v>
      </c>
      <c r="C36" s="128">
        <f>SUM('DOE25'!F112:J112)-SUM('DOE25'!G97:G110)+('DOE25'!F175+'DOE25'!F176+'DOE25'!I175+'DOE25'!I176)-C35</f>
        <v>1259238.3799999999</v>
      </c>
      <c r="D36" s="131">
        <f t="shared" si="1"/>
        <v>16.7</v>
      </c>
    </row>
    <row r="37" spans="1:4" x14ac:dyDescent="0.2">
      <c r="A37" s="132" t="s">
        <v>831</v>
      </c>
      <c r="B37" s="71" t="s">
        <v>728</v>
      </c>
      <c r="C37" s="128">
        <f>ROUND('DOE25'!F117+'DOE25'!F118,0)</f>
        <v>2999366</v>
      </c>
      <c r="D37" s="131">
        <f t="shared" si="1"/>
        <v>39.799999999999997</v>
      </c>
    </row>
    <row r="38" spans="1:4" x14ac:dyDescent="0.2">
      <c r="A38" s="132" t="s">
        <v>734</v>
      </c>
      <c r="B38" s="71" t="s">
        <v>729</v>
      </c>
      <c r="C38" s="128">
        <f>ROUND(SUM('DOE25'!F140:J140)-SUM('DOE25'!F117:F119),0)</f>
        <v>13982</v>
      </c>
      <c r="D38" s="131">
        <f t="shared" si="1"/>
        <v>0.2</v>
      </c>
    </row>
    <row r="39" spans="1:4" x14ac:dyDescent="0.2">
      <c r="A39">
        <v>4000</v>
      </c>
      <c r="B39" s="71" t="s">
        <v>730</v>
      </c>
      <c r="C39" s="128">
        <f>ROUND('DOE25'!F170+'DOE25'!G170+'DOE25'!H170+'DOE25'!I170,0)</f>
        <v>1303718</v>
      </c>
      <c r="D39" s="131">
        <f t="shared" si="1"/>
        <v>17.3</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7527436.3799999999</v>
      </c>
      <c r="D41" s="133">
        <f>SUM(D35:D40)</f>
        <v>99.899999999999991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9" sqref="C9:M9"/>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Northumberland</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v>1</v>
      </c>
      <c r="B4" s="149">
        <v>5</v>
      </c>
      <c r="C4" s="332" t="s">
        <v>1841</v>
      </c>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v>5</v>
      </c>
      <c r="B6" s="149">
        <v>4</v>
      </c>
      <c r="C6" s="332" t="s">
        <v>1844</v>
      </c>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v>22</v>
      </c>
      <c r="B8" s="149">
        <v>17</v>
      </c>
      <c r="C8" s="332" t="s">
        <v>1845</v>
      </c>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113</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30</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114</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f>IF('School Level Expenditures'!$B$2='School Tables'!W33,'School Tables'!AD33,"")</f>
        <v>30</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f>IF('School Level Expenditures'!$B$2=A116,'School Tables'!H116,"")</f>
        <v>113</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f>IF('School Level Expenditures'!$B$2=A117,'School Tables'!H117,"")</f>
        <v>114</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2024-12-20T19:21:16Z</dcterms:modified>
</cp:coreProperties>
</file>