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codeName="ThisWorkbook"/>
  <mc:AlternateContent xmlns:mc="http://schemas.openxmlformats.org/markup-compatibility/2006">
    <mc:Choice Requires="x15">
      <x15ac:absPath xmlns:x15ac="http://schemas.microsoft.com/office/spreadsheetml/2010/11/ac" url="S:\DOPS\BSF\DOE-25\FY2023-2024\Incoming\"/>
    </mc:Choice>
  </mc:AlternateContent>
  <xr:revisionPtr revIDLastSave="0" documentId="13_ncr:1_{4C11A9AE-3AE4-4714-AD5D-844A79E21040}" xr6:coauthVersionLast="47" xr6:coauthVersionMax="47" xr10:uidLastSave="{00000000-0000-0000-0000-000000000000}"/>
  <workbookProtection workbookAlgorithmName="SHA-512" workbookHashValue="47hhNbXWRHKlWCkFO7h+jeYy/IivfGPebiZe7oAcf8mpVQPxmOLDMMO79RUctJIP9uHbTfeTy6sz34kTE4u7BA==" workbookSaltValue="n1Wl25vKT5dvlA+2HBNqTQ==" workbookSpinCount="100000" lockStructure="1"/>
  <bookViews>
    <workbookView xWindow="2868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Expenditures'!$R$3:$U$570</definedName>
    <definedName name="_xlnm._FilterDatabase" localSheetId="9" hidden="1">'School Tables'!$A$2:$AL$334</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Rate'!$A$1:$I$55</definedName>
    <definedName name="_xlnm.Print_Area" localSheetId="3">'Salaries-Benefits'!$A$1:$C$54</definedName>
    <definedName name="_xlnm.Print_Area" localSheetId="5">'School Level Expenditures'!$A$1:$Q$56</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245" i="1" l="1"/>
  <c r="F120" i="1"/>
  <c r="Q40" i="14" l="1"/>
  <c r="Q7" i="14"/>
  <c r="Q6" i="14"/>
  <c r="D5" i="14"/>
  <c r="E6" i="14"/>
  <c r="F15" i="13"/>
  <c r="F31" i="13"/>
  <c r="F14" i="13"/>
  <c r="H256" i="1" l="1"/>
  <c r="H120" i="1"/>
  <c r="H159" i="1"/>
  <c r="H161" i="1"/>
  <c r="H473" i="1"/>
  <c r="G470" i="1" l="1"/>
  <c r="H469" i="1"/>
  <c r="F469" i="1"/>
  <c r="F473" i="1"/>
  <c r="F235" i="1"/>
  <c r="F199" i="1"/>
  <c r="G13" i="1" l="1"/>
  <c r="G440" i="1"/>
  <c r="F440" i="1"/>
  <c r="J96" i="1"/>
  <c r="H415" i="1"/>
  <c r="H397" i="1"/>
  <c r="H401" i="1"/>
  <c r="G401" i="1"/>
  <c r="H400" i="1"/>
  <c r="H398" i="1"/>
  <c r="H390" i="1"/>
  <c r="H325" i="1"/>
  <c r="H283" i="1"/>
  <c r="H320" i="1" l="1"/>
  <c r="F320" i="1"/>
  <c r="H282" i="1"/>
  <c r="I337" i="1"/>
  <c r="G320" i="1"/>
  <c r="G282" i="1"/>
  <c r="F282" i="1"/>
  <c r="F280" i="1"/>
  <c r="F278" i="1"/>
  <c r="F316" i="1"/>
  <c r="I316" i="1"/>
  <c r="H316" i="1"/>
  <c r="I315" i="1"/>
  <c r="I277" i="1"/>
  <c r="F14" i="1" l="1"/>
  <c r="F9" i="1"/>
  <c r="J593" i="1"/>
  <c r="H592" i="1"/>
  <c r="H593" i="1"/>
  <c r="H596" i="1"/>
  <c r="H529" i="1"/>
  <c r="H527" i="1"/>
  <c r="G524" i="1"/>
  <c r="H524" i="1"/>
  <c r="I524" i="1"/>
  <c r="J524" i="1"/>
  <c r="K524" i="1"/>
  <c r="F524" i="1"/>
  <c r="G522" i="1"/>
  <c r="H522" i="1"/>
  <c r="I522" i="1"/>
  <c r="J522" i="1"/>
  <c r="K522" i="1"/>
  <c r="F522" i="1"/>
  <c r="J469" i="1"/>
  <c r="F368" i="1"/>
  <c r="I361" i="1"/>
  <c r="I359" i="1"/>
  <c r="F583" i="1"/>
  <c r="F580" i="1"/>
  <c r="S62" i="15" l="1"/>
  <c r="V62" i="15"/>
  <c r="S63" i="15"/>
  <c r="V63" i="15"/>
  <c r="S64" i="15"/>
  <c r="V64" i="15"/>
  <c r="S65" i="15"/>
  <c r="V65" i="15"/>
  <c r="S66" i="15"/>
  <c r="V66" i="15"/>
  <c r="S67" i="15"/>
  <c r="V67" i="15"/>
  <c r="S68" i="15"/>
  <c r="V68" i="15"/>
  <c r="S69" i="15"/>
  <c r="V69" i="15"/>
  <c r="S70" i="15"/>
  <c r="V70" i="15"/>
  <c r="S71" i="15"/>
  <c r="V71" i="15"/>
  <c r="S72" i="15"/>
  <c r="V72" i="15"/>
  <c r="S73" i="15"/>
  <c r="V73" i="15"/>
  <c r="S74" i="15"/>
  <c r="V74" i="15"/>
  <c r="S75" i="15"/>
  <c r="V75" i="15"/>
  <c r="S76" i="15"/>
  <c r="V76" i="15"/>
  <c r="S77" i="15"/>
  <c r="V77" i="15"/>
  <c r="S78" i="15"/>
  <c r="V78" i="15"/>
  <c r="S79" i="15"/>
  <c r="V79" i="15"/>
  <c r="S61" i="15"/>
  <c r="AD86" i="15"/>
  <c r="AG86" i="15"/>
  <c r="AD87" i="15"/>
  <c r="AG87" i="15"/>
  <c r="AD88" i="15"/>
  <c r="AG88" i="15"/>
  <c r="AD89" i="15"/>
  <c r="AG89" i="15"/>
  <c r="AD90" i="15"/>
  <c r="AG90" i="15"/>
  <c r="AD91" i="15"/>
  <c r="AG91" i="15"/>
  <c r="AD92" i="15"/>
  <c r="AG92" i="15"/>
  <c r="AD93" i="15"/>
  <c r="AG93" i="15"/>
  <c r="AD94" i="15"/>
  <c r="AG94" i="15"/>
  <c r="AD95" i="15"/>
  <c r="AG95" i="15"/>
  <c r="AD96" i="15"/>
  <c r="AG96" i="15"/>
  <c r="AD97" i="15"/>
  <c r="AG97" i="15"/>
  <c r="AD98" i="15"/>
  <c r="AG98" i="15"/>
  <c r="AD99" i="15"/>
  <c r="AG99" i="15"/>
  <c r="AD100" i="15"/>
  <c r="AG100" i="15"/>
  <c r="AD101" i="15"/>
  <c r="AG101" i="15"/>
  <c r="AD102" i="15"/>
  <c r="AG102" i="15"/>
  <c r="AD103" i="15"/>
  <c r="AG103" i="15"/>
  <c r="AD73" i="15"/>
  <c r="AG73" i="15"/>
  <c r="AD74" i="15"/>
  <c r="AG74" i="15"/>
  <c r="AD75" i="15"/>
  <c r="AG75" i="15"/>
  <c r="AD76" i="15"/>
  <c r="AG76" i="15"/>
  <c r="AD77" i="15"/>
  <c r="AG77" i="15"/>
  <c r="AD78" i="15"/>
  <c r="AG78" i="15"/>
  <c r="AD79" i="15"/>
  <c r="AG79" i="15"/>
  <c r="AD80" i="15"/>
  <c r="AG80" i="15"/>
  <c r="AD81" i="15"/>
  <c r="AG81" i="15"/>
  <c r="AD82" i="15"/>
  <c r="AG82" i="15"/>
  <c r="AD83" i="15"/>
  <c r="AG83" i="15"/>
  <c r="AD84" i="15"/>
  <c r="AG84" i="15"/>
  <c r="AD85" i="15"/>
  <c r="AG85" i="15"/>
  <c r="H326" i="15"/>
  <c r="K326" i="15"/>
  <c r="H327" i="15"/>
  <c r="K327" i="15"/>
  <c r="H328" i="15"/>
  <c r="K328" i="15"/>
  <c r="H329" i="15"/>
  <c r="K329" i="15"/>
  <c r="H330" i="15"/>
  <c r="K330" i="15"/>
  <c r="H331" i="15"/>
  <c r="K331" i="15"/>
  <c r="H332" i="15"/>
  <c r="K332" i="15"/>
  <c r="H333" i="15"/>
  <c r="K333" i="15"/>
  <c r="H334" i="15"/>
  <c r="K334" i="15"/>
  <c r="I24" i="14" l="1"/>
  <c r="I37" i="14"/>
  <c r="I3" i="14"/>
  <c r="G589" i="1"/>
  <c r="H589" i="1"/>
  <c r="F589" i="1"/>
  <c r="P2" i="14" l="1"/>
  <c r="O2" i="14"/>
  <c r="Q45" i="14"/>
  <c r="P45" i="14"/>
  <c r="O45" i="14"/>
  <c r="N45" i="14"/>
  <c r="M45" i="14"/>
  <c r="L45" i="14"/>
  <c r="K45" i="14"/>
  <c r="Q34" i="14"/>
  <c r="P34" i="14"/>
  <c r="O34" i="14"/>
  <c r="N34" i="14"/>
  <c r="M34" i="14"/>
  <c r="L34" i="14"/>
  <c r="K34" i="14"/>
  <c r="Q21" i="14"/>
  <c r="P21" i="14"/>
  <c r="O21" i="14"/>
  <c r="N21" i="14"/>
  <c r="M21" i="14"/>
  <c r="L21" i="14"/>
  <c r="K21" i="14"/>
  <c r="C2" i="1"/>
  <c r="B2" i="1"/>
  <c r="P3" i="14" l="1"/>
  <c r="O3" i="14"/>
  <c r="G42" i="13"/>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34" i="14" l="1"/>
  <c r="D34" i="14"/>
  <c r="E21" i="14"/>
  <c r="D21" i="14"/>
  <c r="G36" i="13" l="1"/>
  <c r="G29" i="13"/>
  <c r="B22" i="12" l="1"/>
  <c r="F88" i="2" l="1"/>
  <c r="E88" i="2"/>
  <c r="D88" i="2"/>
  <c r="C88" i="2"/>
  <c r="I163" i="1"/>
  <c r="H163" i="1"/>
  <c r="G163" i="1"/>
  <c r="F163" i="1"/>
  <c r="H88" i="2" l="1"/>
  <c r="B31" i="16"/>
  <c r="B27" i="16"/>
  <c r="B9" i="16"/>
  <c r="B5" i="16"/>
  <c r="F44" i="14" l="1"/>
  <c r="F41" i="14" l="1"/>
  <c r="F42" i="14"/>
  <c r="F43" i="14"/>
  <c r="F39" i="14"/>
  <c r="F27" i="14"/>
  <c r="F28" i="14"/>
  <c r="F29" i="14"/>
  <c r="F30" i="14"/>
  <c r="F31" i="14"/>
  <c r="F32" i="14"/>
  <c r="F33" i="14"/>
  <c r="F6" i="14"/>
  <c r="F7" i="14"/>
  <c r="F8" i="14"/>
  <c r="F9" i="14"/>
  <c r="F10" i="14"/>
  <c r="F11" i="14"/>
  <c r="F12" i="14"/>
  <c r="F13" i="14"/>
  <c r="F14" i="14"/>
  <c r="F15" i="14"/>
  <c r="F16" i="14"/>
  <c r="F17" i="14"/>
  <c r="F18" i="14"/>
  <c r="F19" i="14"/>
  <c r="F20" i="14"/>
  <c r="F26" i="14"/>
  <c r="F5" i="14"/>
  <c r="F25" i="14" l="1"/>
  <c r="F4" i="14"/>
  <c r="B2" i="14" l="1"/>
  <c r="A2" i="14"/>
  <c r="T64" i="15" l="1"/>
  <c r="T71" i="15"/>
  <c r="T73" i="15"/>
  <c r="T75" i="15"/>
  <c r="T62" i="15"/>
  <c r="T69" i="15"/>
  <c r="T67" i="15"/>
  <c r="T78" i="15"/>
  <c r="T65" i="15"/>
  <c r="T76" i="15"/>
  <c r="T63" i="15"/>
  <c r="T72" i="15"/>
  <c r="T74" i="15"/>
  <c r="T70" i="15"/>
  <c r="T66" i="15"/>
  <c r="T68" i="15"/>
  <c r="T77" i="15"/>
  <c r="T79" i="15"/>
  <c r="AE88" i="15"/>
  <c r="AE95" i="15"/>
  <c r="AE86" i="15"/>
  <c r="AE93" i="15"/>
  <c r="AE96" i="15"/>
  <c r="AE91" i="15"/>
  <c r="AE100" i="15"/>
  <c r="AE102" i="15"/>
  <c r="AE87" i="15"/>
  <c r="AE89" i="15"/>
  <c r="AE98" i="15"/>
  <c r="AE94" i="15"/>
  <c r="AE92" i="15"/>
  <c r="AE99" i="15"/>
  <c r="AE101" i="15"/>
  <c r="AE103" i="15"/>
  <c r="AE90" i="15"/>
  <c r="AE97" i="15"/>
  <c r="AE75" i="15"/>
  <c r="AE82" i="15"/>
  <c r="AE83" i="15"/>
  <c r="AE73" i="15"/>
  <c r="AE80" i="15"/>
  <c r="AE81" i="15"/>
  <c r="AE78" i="15"/>
  <c r="AE74" i="15"/>
  <c r="AE76" i="15"/>
  <c r="AE85" i="15"/>
  <c r="AE79" i="15"/>
  <c r="AE77" i="15"/>
  <c r="AE84" i="15"/>
  <c r="S2" i="14"/>
  <c r="I326" i="15"/>
  <c r="I328" i="15"/>
  <c r="I330" i="15"/>
  <c r="I332" i="15"/>
  <c r="I334" i="15"/>
  <c r="I329" i="15"/>
  <c r="I333" i="15"/>
  <c r="I327" i="15"/>
  <c r="I331" i="15"/>
  <c r="AE8" i="15"/>
  <c r="AE12" i="15"/>
  <c r="AE16" i="15"/>
  <c r="AE20" i="15"/>
  <c r="AE24" i="15"/>
  <c r="AE28" i="15"/>
  <c r="AE32" i="15"/>
  <c r="AE36" i="15"/>
  <c r="AE40" i="15"/>
  <c r="AE44" i="15"/>
  <c r="AE48" i="15"/>
  <c r="AE52" i="15"/>
  <c r="AE56" i="15"/>
  <c r="AE60" i="15"/>
  <c r="AE64" i="15"/>
  <c r="AE68" i="15"/>
  <c r="AE72" i="15"/>
  <c r="AE5" i="15"/>
  <c r="AE9" i="15"/>
  <c r="AE13" i="15"/>
  <c r="AE17" i="15"/>
  <c r="AE25" i="15"/>
  <c r="AE29" i="15"/>
  <c r="AE33" i="15"/>
  <c r="AE37" i="15"/>
  <c r="AE41" i="15"/>
  <c r="AE49" i="15"/>
  <c r="AE53" i="15"/>
  <c r="AE61" i="15"/>
  <c r="AE69" i="15"/>
  <c r="AE4" i="15"/>
  <c r="AE21" i="15"/>
  <c r="AE45" i="15"/>
  <c r="AE57" i="15"/>
  <c r="AE65" i="15"/>
  <c r="AE6" i="15"/>
  <c r="AE10" i="15"/>
  <c r="AE14" i="15"/>
  <c r="AE18" i="15"/>
  <c r="AE22" i="15"/>
  <c r="AE26" i="15"/>
  <c r="AE30" i="15"/>
  <c r="AE34" i="15"/>
  <c r="AE38" i="15"/>
  <c r="AE42" i="15"/>
  <c r="AE46" i="15"/>
  <c r="AE50" i="15"/>
  <c r="AE54" i="15"/>
  <c r="AE58" i="15"/>
  <c r="AE62" i="15"/>
  <c r="AE66" i="15"/>
  <c r="AE70" i="15"/>
  <c r="AE15" i="15"/>
  <c r="AE31" i="15"/>
  <c r="AE47" i="15"/>
  <c r="AE63" i="15"/>
  <c r="AE19" i="15"/>
  <c r="AE35" i="15"/>
  <c r="AE51" i="15"/>
  <c r="AE67" i="15"/>
  <c r="AE7" i="15"/>
  <c r="AE23" i="15"/>
  <c r="AE39" i="15"/>
  <c r="AE55" i="15"/>
  <c r="AE71" i="15"/>
  <c r="AE11" i="15"/>
  <c r="AE27" i="15"/>
  <c r="AE43" i="15"/>
  <c r="AE59" i="15"/>
  <c r="T8" i="15"/>
  <c r="T12" i="15"/>
  <c r="T16" i="15"/>
  <c r="T20" i="15"/>
  <c r="T24" i="15"/>
  <c r="T28" i="15"/>
  <c r="T32" i="15"/>
  <c r="T36" i="15"/>
  <c r="T40" i="15"/>
  <c r="T44" i="15"/>
  <c r="T48" i="15"/>
  <c r="T52" i="15"/>
  <c r="T56" i="15"/>
  <c r="T60" i="15"/>
  <c r="T4" i="15"/>
  <c r="T5" i="15"/>
  <c r="T9" i="15"/>
  <c r="T13" i="15"/>
  <c r="T17" i="15"/>
  <c r="T21" i="15"/>
  <c r="T25" i="15"/>
  <c r="T29" i="15"/>
  <c r="T33" i="15"/>
  <c r="T37" i="15"/>
  <c r="T41" i="15"/>
  <c r="T45" i="15"/>
  <c r="T49" i="15"/>
  <c r="T53" i="15"/>
  <c r="T57" i="15"/>
  <c r="T6" i="15"/>
  <c r="T14" i="15"/>
  <c r="T22" i="15"/>
  <c r="T30" i="15"/>
  <c r="T38" i="15"/>
  <c r="T46" i="15"/>
  <c r="T54" i="15"/>
  <c r="T61" i="15"/>
  <c r="T11" i="15"/>
  <c r="T35" i="15"/>
  <c r="T51" i="15"/>
  <c r="T59" i="15"/>
  <c r="T7" i="15"/>
  <c r="T15" i="15"/>
  <c r="T23" i="15"/>
  <c r="T31" i="15"/>
  <c r="T39" i="15"/>
  <c r="T47" i="15"/>
  <c r="T55" i="15"/>
  <c r="T19" i="15"/>
  <c r="T27" i="15"/>
  <c r="T43" i="15"/>
  <c r="T10" i="15"/>
  <c r="T18" i="15"/>
  <c r="T26" i="15"/>
  <c r="T34" i="15"/>
  <c r="T42" i="15"/>
  <c r="T50" i="15"/>
  <c r="T58"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U75" i="15" l="1"/>
  <c r="U71" i="15"/>
  <c r="U73" i="15"/>
  <c r="U77" i="15"/>
  <c r="U69" i="15"/>
  <c r="U67" i="15"/>
  <c r="U78" i="15"/>
  <c r="U65" i="15"/>
  <c r="U63" i="15"/>
  <c r="U72" i="15"/>
  <c r="U79" i="15"/>
  <c r="U76" i="15"/>
  <c r="U64" i="15"/>
  <c r="U68" i="15"/>
  <c r="U70" i="15"/>
  <c r="U62" i="15"/>
  <c r="U74" i="15"/>
  <c r="U66" i="15"/>
  <c r="AF102" i="15"/>
  <c r="AF100" i="15"/>
  <c r="AF101" i="15"/>
  <c r="AF103" i="15"/>
  <c r="AF73" i="15"/>
  <c r="AF99" i="15"/>
  <c r="AF91" i="15"/>
  <c r="AF92" i="15"/>
  <c r="AF96" i="15"/>
  <c r="AF88" i="15"/>
  <c r="AF93" i="15"/>
  <c r="AF98" i="15"/>
  <c r="AF86" i="15"/>
  <c r="AF94" i="15"/>
  <c r="AF97" i="15"/>
  <c r="AF89" i="15"/>
  <c r="AF90" i="15"/>
  <c r="AF95" i="15"/>
  <c r="AF87" i="15"/>
  <c r="AF84" i="15"/>
  <c r="AF79" i="15"/>
  <c r="AF80" i="15"/>
  <c r="AF83" i="15"/>
  <c r="AF77" i="15"/>
  <c r="AF78" i="15"/>
  <c r="AF85" i="15"/>
  <c r="AF81" i="15"/>
  <c r="AF76" i="15"/>
  <c r="AF82" i="15"/>
  <c r="AF74" i="15"/>
  <c r="AF75" i="15"/>
  <c r="J326" i="15"/>
  <c r="J328" i="15"/>
  <c r="J330" i="15"/>
  <c r="J332" i="15"/>
  <c r="J334" i="15"/>
  <c r="J327" i="15"/>
  <c r="J329" i="15"/>
  <c r="J331" i="15"/>
  <c r="J333" i="15"/>
  <c r="AF11" i="15"/>
  <c r="AF39" i="15"/>
  <c r="AF19" i="15"/>
  <c r="AF47" i="15"/>
  <c r="AF62" i="15"/>
  <c r="AF46" i="15"/>
  <c r="AF30" i="15"/>
  <c r="AF14" i="15"/>
  <c r="AF45" i="15"/>
  <c r="AF61" i="15"/>
  <c r="AF37" i="15"/>
  <c r="AF17" i="15"/>
  <c r="AF68" i="15"/>
  <c r="AF52" i="15"/>
  <c r="AF36" i="15"/>
  <c r="AF20" i="15"/>
  <c r="AF59" i="15"/>
  <c r="AF23" i="15"/>
  <c r="AF67" i="15"/>
  <c r="AF31" i="15"/>
  <c r="AF58" i="15"/>
  <c r="AF42" i="15"/>
  <c r="AF26" i="15"/>
  <c r="AF10" i="15"/>
  <c r="AF21" i="15"/>
  <c r="AF53" i="15"/>
  <c r="AF33" i="15"/>
  <c r="AF13" i="15"/>
  <c r="AF64" i="15"/>
  <c r="AF48" i="15"/>
  <c r="AF32" i="15"/>
  <c r="AF16" i="15"/>
  <c r="AF43" i="15"/>
  <c r="AF71" i="15"/>
  <c r="AF7" i="15"/>
  <c r="AF51" i="15"/>
  <c r="AF15" i="15"/>
  <c r="AF70" i="15"/>
  <c r="AF54" i="15"/>
  <c r="AF38" i="15"/>
  <c r="AF22" i="15"/>
  <c r="AF6" i="15"/>
  <c r="AF65" i="15"/>
  <c r="AF4" i="15"/>
  <c r="AF49" i="15"/>
  <c r="AF29" i="15"/>
  <c r="AF9" i="15"/>
  <c r="AF60" i="15"/>
  <c r="AF44" i="15"/>
  <c r="AF28" i="15"/>
  <c r="AF12" i="15"/>
  <c r="AF27" i="15"/>
  <c r="AF55" i="15"/>
  <c r="AF35" i="15"/>
  <c r="AF63" i="15"/>
  <c r="AF66" i="15"/>
  <c r="AF50" i="15"/>
  <c r="AF34" i="15"/>
  <c r="AF18" i="15"/>
  <c r="AF57" i="15"/>
  <c r="AF69" i="15"/>
  <c r="AF41" i="15"/>
  <c r="AF25" i="15"/>
  <c r="AF5" i="15"/>
  <c r="AF72" i="15"/>
  <c r="AF56" i="15"/>
  <c r="AF40" i="15"/>
  <c r="AF24" i="15"/>
  <c r="AF8" i="15"/>
  <c r="U8" i="15"/>
  <c r="U12" i="15"/>
  <c r="U16" i="15"/>
  <c r="U20" i="15"/>
  <c r="U24" i="15"/>
  <c r="U28" i="15"/>
  <c r="U32" i="15"/>
  <c r="U36" i="15"/>
  <c r="U40" i="15"/>
  <c r="U44" i="15"/>
  <c r="U48" i="15"/>
  <c r="U52" i="15"/>
  <c r="U56" i="15"/>
  <c r="U60" i="15"/>
  <c r="U4" i="15"/>
  <c r="U5" i="15"/>
  <c r="U9" i="15"/>
  <c r="U13" i="15"/>
  <c r="U17" i="15"/>
  <c r="U21" i="15"/>
  <c r="U25" i="15"/>
  <c r="U29" i="15"/>
  <c r="U33" i="15"/>
  <c r="U37" i="15"/>
  <c r="U41" i="15"/>
  <c r="U45" i="15"/>
  <c r="U49" i="15"/>
  <c r="U53" i="15"/>
  <c r="U57" i="15"/>
  <c r="U61" i="15"/>
  <c r="U6" i="15"/>
  <c r="U14" i="15"/>
  <c r="U22" i="15"/>
  <c r="U30" i="15"/>
  <c r="U38" i="15"/>
  <c r="U46" i="15"/>
  <c r="U54" i="15"/>
  <c r="U11" i="15"/>
  <c r="U19" i="15"/>
  <c r="U27" i="15"/>
  <c r="U35" i="15"/>
  <c r="U43" i="15"/>
  <c r="U51" i="15"/>
  <c r="U59" i="15"/>
  <c r="U7" i="15"/>
  <c r="U15" i="15"/>
  <c r="U23" i="15"/>
  <c r="U31" i="15"/>
  <c r="U39" i="15"/>
  <c r="U47" i="15"/>
  <c r="U55" i="15"/>
  <c r="U10" i="15"/>
  <c r="U18" i="15"/>
  <c r="U26" i="15"/>
  <c r="U34" i="15"/>
  <c r="U42" i="15"/>
  <c r="U50" i="15"/>
  <c r="U58" i="15"/>
  <c r="J7" i="15"/>
  <c r="J11" i="15"/>
  <c r="J15" i="15"/>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J12" i="15"/>
  <c r="J16" i="15"/>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J9" i="15"/>
  <c r="J13" i="15"/>
  <c r="J17" i="15"/>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J10" i="15"/>
  <c r="J14" i="15"/>
  <c r="J18" i="15"/>
  <c r="A20" i="14" s="1" a="1"/>
  <c r="A20" i="14" s="1"/>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A6" i="14" s="1" a="1"/>
  <c r="A6" i="14" s="1"/>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A11" i="14" l="1" a="1"/>
  <c r="A11" i="14" s="1"/>
  <c r="J11" i="14" s="1"/>
  <c r="A42" i="14" a="1"/>
  <c r="A42" i="14" s="1"/>
  <c r="A16" i="14" a="1"/>
  <c r="A16" i="14" s="1"/>
  <c r="J16" i="14" s="1"/>
  <c r="A12" i="14" a="1"/>
  <c r="A12" i="14" s="1"/>
  <c r="B12" i="14" s="1"/>
  <c r="A41" i="14" a="1"/>
  <c r="A41" i="14" s="1"/>
  <c r="A43" i="14" a="1"/>
  <c r="A43" i="14" s="1"/>
  <c r="A8" i="14" a="1"/>
  <c r="A8" i="14" s="1"/>
  <c r="J8" i="14" s="1"/>
  <c r="A17" i="14" a="1"/>
  <c r="A17" i="14" s="1"/>
  <c r="B17" i="14" s="1"/>
  <c r="A32" i="14" a="1"/>
  <c r="A32" i="14" s="1"/>
  <c r="A7" i="14" a="1"/>
  <c r="A7" i="14" s="1"/>
  <c r="J7" i="14" s="1"/>
  <c r="A13" i="14" a="1"/>
  <c r="A13" i="14" s="1"/>
  <c r="B13" i="14" s="1"/>
  <c r="A29" i="14" a="1"/>
  <c r="A29" i="14" s="1"/>
  <c r="J29" i="14" s="1"/>
  <c r="A28" i="14" a="1"/>
  <c r="A28" i="14" s="1"/>
  <c r="A31" i="14" a="1"/>
  <c r="A31" i="14" s="1"/>
  <c r="A18" i="14" a="1"/>
  <c r="A18" i="14" s="1"/>
  <c r="J18" i="14" s="1"/>
  <c r="A9" i="14" a="1"/>
  <c r="A9" i="14" s="1"/>
  <c r="B9" i="14" s="1"/>
  <c r="A33" i="14" a="1"/>
  <c r="A33" i="14" s="1"/>
  <c r="B33" i="14" s="1"/>
  <c r="A30" i="14" a="1"/>
  <c r="A30" i="14" s="1"/>
  <c r="A27" i="14" a="1"/>
  <c r="A27" i="14" s="1"/>
  <c r="A44" i="14" a="1"/>
  <c r="A44" i="14" s="1"/>
  <c r="A15" i="14" a="1"/>
  <c r="A15" i="14" s="1"/>
  <c r="J15" i="14" s="1"/>
  <c r="A10" i="14" a="1"/>
  <c r="A10" i="14" s="1"/>
  <c r="J10" i="14" s="1"/>
  <c r="A19" i="14" a="1"/>
  <c r="A19" i="14" s="1"/>
  <c r="B19" i="14" s="1"/>
  <c r="A14" i="14" a="1"/>
  <c r="A14" i="14" s="1"/>
  <c r="B14" i="14" s="1"/>
  <c r="A40" i="14" a="1"/>
  <c r="A40" i="14" s="1"/>
  <c r="B16" i="14"/>
  <c r="C37" i="10"/>
  <c r="B11" i="14" l="1"/>
  <c r="B18" i="14"/>
  <c r="C18" i="14" s="1"/>
  <c r="B8" i="14"/>
  <c r="B10" i="14"/>
  <c r="C10" i="14" s="1"/>
  <c r="J14" i="14"/>
  <c r="J9" i="14"/>
  <c r="J12" i="14"/>
  <c r="B27" i="14"/>
  <c r="C27" i="14"/>
  <c r="C44" i="14"/>
  <c r="B44" i="14"/>
  <c r="C29" i="14"/>
  <c r="B29" i="14"/>
  <c r="J44" i="14"/>
  <c r="J17" i="14"/>
  <c r="J19" i="14"/>
  <c r="J27" i="14"/>
  <c r="J13" i="14"/>
  <c r="B30" i="14"/>
  <c r="C30" i="14"/>
  <c r="C31" i="14"/>
  <c r="B31" i="14"/>
  <c r="B43" i="14"/>
  <c r="C43" i="14"/>
  <c r="C42" i="14"/>
  <c r="B42" i="14"/>
  <c r="B7" i="14"/>
  <c r="B15" i="14"/>
  <c r="C15" i="14" s="1"/>
  <c r="J30" i="14"/>
  <c r="J31" i="14"/>
  <c r="J43" i="14"/>
  <c r="J42" i="14"/>
  <c r="C40" i="14"/>
  <c r="B40" i="14"/>
  <c r="B28" i="14"/>
  <c r="C28" i="14"/>
  <c r="B32" i="14"/>
  <c r="C32" i="14"/>
  <c r="C41" i="14"/>
  <c r="B41" i="14"/>
  <c r="J40" i="14"/>
  <c r="J33" i="14"/>
  <c r="J28" i="14"/>
  <c r="J32" i="14"/>
  <c r="J41" i="14"/>
  <c r="C14" i="14"/>
  <c r="C12" i="14"/>
  <c r="C16" i="14"/>
  <c r="C8" i="14"/>
  <c r="C9" i="14"/>
  <c r="C19" i="14"/>
  <c r="C17" i="14"/>
  <c r="C33" i="14" a="1"/>
  <c r="C33" i="14" s="1"/>
  <c r="C13" i="14"/>
  <c r="C11" i="14"/>
  <c r="B20" i="14"/>
  <c r="J20" i="14"/>
  <c r="B6" i="14"/>
  <c r="J6" i="14"/>
  <c r="F40" i="2"/>
  <c r="H40" i="2" s="1"/>
  <c r="D39" i="2"/>
  <c r="H39" i="2" s="1"/>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L201" i="1"/>
  <c r="L216" i="1"/>
  <c r="L217" i="1"/>
  <c r="L218" i="1"/>
  <c r="L219" i="1"/>
  <c r="C112" i="2" s="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L245" i="1"/>
  <c r="G17" i="13"/>
  <c r="H17" i="13"/>
  <c r="L252" i="1"/>
  <c r="G18" i="13"/>
  <c r="H18" i="13"/>
  <c r="L253" i="1"/>
  <c r="G19" i="13"/>
  <c r="H19" i="13"/>
  <c r="L254" i="1"/>
  <c r="H29" i="13"/>
  <c r="L359" i="1"/>
  <c r="L360" i="1"/>
  <c r="L361" i="1"/>
  <c r="I368" i="1"/>
  <c r="J291" i="1"/>
  <c r="J310" i="1"/>
  <c r="J329" i="1"/>
  <c r="J605" i="1" s="1"/>
  <c r="J606" i="1" s="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G663" i="1" s="1"/>
  <c r="L308" i="1"/>
  <c r="L315" i="1"/>
  <c r="L316" i="1"/>
  <c r="L317" i="1"/>
  <c r="L318" i="1"/>
  <c r="L320" i="1"/>
  <c r="L321" i="1"/>
  <c r="L322" i="1"/>
  <c r="L323" i="1"/>
  <c r="L324" i="1"/>
  <c r="L325" i="1"/>
  <c r="L326" i="1"/>
  <c r="L327" i="1"/>
  <c r="L334" i="1"/>
  <c r="L335" i="1"/>
  <c r="L336" i="1"/>
  <c r="L261" i="1"/>
  <c r="L262" i="1"/>
  <c r="C132" i="2" s="1"/>
  <c r="L342" i="1"/>
  <c r="L343" i="1"/>
  <c r="E132" i="2" s="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L613" i="1"/>
  <c r="G664" i="1" s="1"/>
  <c r="L612" i="1"/>
  <c r="C40" i="10"/>
  <c r="F60" i="1"/>
  <c r="G60" i="1"/>
  <c r="D56" i="2" s="1"/>
  <c r="H60" i="1"/>
  <c r="E56" i="2" s="1"/>
  <c r="I60" i="1"/>
  <c r="F56" i="2" s="1"/>
  <c r="F79" i="1"/>
  <c r="C57" i="2" s="1"/>
  <c r="F94" i="1"/>
  <c r="C58" i="2" s="1"/>
  <c r="F111" i="1"/>
  <c r="G111" i="1"/>
  <c r="H79" i="1"/>
  <c r="H94" i="1"/>
  <c r="H111" i="1"/>
  <c r="I111" i="1"/>
  <c r="I112" i="1" s="1"/>
  <c r="J111" i="1"/>
  <c r="J112" i="1" s="1"/>
  <c r="F121" i="1"/>
  <c r="F136" i="1"/>
  <c r="G121" i="1"/>
  <c r="G136" i="1"/>
  <c r="H121" i="1"/>
  <c r="H136" i="1"/>
  <c r="I121" i="1"/>
  <c r="I136" i="1"/>
  <c r="J121" i="1"/>
  <c r="J136" i="1"/>
  <c r="F147" i="1"/>
  <c r="F170" i="1" s="1"/>
  <c r="G147" i="1"/>
  <c r="D85" i="2" s="1"/>
  <c r="H147" i="1"/>
  <c r="H170" i="1" s="1"/>
  <c r="I147" i="1"/>
  <c r="I170" i="1" s="1"/>
  <c r="L251" i="1"/>
  <c r="C113" i="2" s="1"/>
  <c r="L333" i="1"/>
  <c r="E113" i="2" s="1"/>
  <c r="L255" i="1"/>
  <c r="L269" i="1"/>
  <c r="L270" i="1"/>
  <c r="C143" i="2" s="1"/>
  <c r="L350" i="1"/>
  <c r="E142" i="2" s="1"/>
  <c r="L351" i="1"/>
  <c r="E143" i="2" s="1"/>
  <c r="I666" i="1"/>
  <c r="I671"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K271" i="1"/>
  <c r="J271" i="1"/>
  <c r="I271" i="1"/>
  <c r="H271" i="1"/>
  <c r="G271" i="1"/>
  <c r="F271" i="1"/>
  <c r="C131" i="2"/>
  <c r="A1" i="2"/>
  <c r="A2" i="2"/>
  <c r="C8" i="2"/>
  <c r="D8" i="2"/>
  <c r="E8" i="2"/>
  <c r="F8" i="2"/>
  <c r="I440" i="1"/>
  <c r="J9" i="1" s="1"/>
  <c r="G8" i="2" s="1"/>
  <c r="C9" i="2"/>
  <c r="D9" i="2"/>
  <c r="E9" i="2"/>
  <c r="F9" i="2"/>
  <c r="I441" i="1"/>
  <c r="J10" i="1" s="1"/>
  <c r="G9" i="2" s="1"/>
  <c r="C10" i="2"/>
  <c r="H10" i="2" s="1"/>
  <c r="C11" i="2"/>
  <c r="D11" i="2"/>
  <c r="E11" i="2"/>
  <c r="F11" i="2"/>
  <c r="I442" i="1"/>
  <c r="J12" i="1" s="1"/>
  <c r="G11" i="2" s="1"/>
  <c r="C12" i="2"/>
  <c r="D12" i="2"/>
  <c r="E12" i="2"/>
  <c r="F12" i="2"/>
  <c r="I443" i="1"/>
  <c r="J13" i="1" s="1"/>
  <c r="G12" i="2" s="1"/>
  <c r="C13" i="2"/>
  <c r="D13" i="2"/>
  <c r="E13" i="2"/>
  <c r="F13" i="2"/>
  <c r="I444" i="1"/>
  <c r="J14" i="1" s="1"/>
  <c r="G13" i="2" s="1"/>
  <c r="F14" i="2"/>
  <c r="H14" i="2" s="1"/>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H49" i="2" s="1"/>
  <c r="E58" i="2"/>
  <c r="C59" i="2"/>
  <c r="D59" i="2"/>
  <c r="E59" i="2"/>
  <c r="F59" i="2"/>
  <c r="D60" i="2"/>
  <c r="H60" i="2" s="1"/>
  <c r="C61" i="2"/>
  <c r="D61" i="2"/>
  <c r="E61" i="2"/>
  <c r="F61" i="2"/>
  <c r="C66" i="2"/>
  <c r="H66" i="2" s="1"/>
  <c r="C67" i="2"/>
  <c r="H67" i="2" s="1"/>
  <c r="C69" i="2"/>
  <c r="D69" i="2"/>
  <c r="D70" i="2" s="1"/>
  <c r="E69" i="2"/>
  <c r="E70" i="2" s="1"/>
  <c r="F69" i="2"/>
  <c r="F70" i="2" s="1"/>
  <c r="G69" i="2"/>
  <c r="G70" i="2" s="1"/>
  <c r="C72" i="2"/>
  <c r="F72" i="2"/>
  <c r="C73" i="2"/>
  <c r="F73" i="2"/>
  <c r="C74" i="2"/>
  <c r="H74" i="2" s="1"/>
  <c r="C75" i="2"/>
  <c r="H75" i="2" s="1"/>
  <c r="C76" i="2"/>
  <c r="E76" i="2"/>
  <c r="F76" i="2"/>
  <c r="C77" i="2"/>
  <c r="D77" i="2"/>
  <c r="D78" i="2" s="1"/>
  <c r="E77" i="2"/>
  <c r="F77" i="2"/>
  <c r="G77" i="2"/>
  <c r="G78" i="2" s="1"/>
  <c r="C79" i="2"/>
  <c r="D79" i="2"/>
  <c r="E79" i="2"/>
  <c r="C80" i="2"/>
  <c r="H80" i="2" s="1"/>
  <c r="E80" i="2"/>
  <c r="C85" i="2"/>
  <c r="F85" i="2"/>
  <c r="C87" i="2"/>
  <c r="E87" i="2"/>
  <c r="F87" i="2"/>
  <c r="C89" i="2"/>
  <c r="D89" i="2"/>
  <c r="E89" i="2"/>
  <c r="F89" i="2"/>
  <c r="C90" i="2"/>
  <c r="H90" i="2" s="1"/>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D115" i="2"/>
  <c r="F115" i="2"/>
  <c r="G115" i="2"/>
  <c r="E125" i="2"/>
  <c r="F128" i="2"/>
  <c r="G128" i="2"/>
  <c r="C130" i="2"/>
  <c r="D134" i="2"/>
  <c r="F134" i="2"/>
  <c r="K420" i="1"/>
  <c r="K428" i="1"/>
  <c r="K434" i="1"/>
  <c r="L264" i="1"/>
  <c r="C135" i="2" s="1"/>
  <c r="H135" i="2" s="1"/>
  <c r="L265" i="1"/>
  <c r="C136" i="2" s="1"/>
  <c r="H136" i="2" s="1"/>
  <c r="L266" i="1"/>
  <c r="C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F402" i="1"/>
  <c r="F409" i="1" s="1"/>
  <c r="H644" i="1" s="1"/>
  <c r="G402" i="1"/>
  <c r="H402" i="1"/>
  <c r="I402" i="1"/>
  <c r="F408" i="1"/>
  <c r="G408" i="1"/>
  <c r="H408" i="1"/>
  <c r="I408"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I606" i="1"/>
  <c r="F615" i="1"/>
  <c r="G615" i="1"/>
  <c r="H615" i="1"/>
  <c r="I615" i="1"/>
  <c r="J615" i="1"/>
  <c r="K615" i="1"/>
  <c r="G623" i="1"/>
  <c r="G624" i="1"/>
  <c r="G625" i="1"/>
  <c r="H628" i="1"/>
  <c r="H629" i="1"/>
  <c r="H630" i="1"/>
  <c r="H631" i="1"/>
  <c r="H632" i="1"/>
  <c r="H633" i="1"/>
  <c r="H634" i="1"/>
  <c r="H636" i="1"/>
  <c r="H637" i="1"/>
  <c r="H638" i="1"/>
  <c r="H639" i="1"/>
  <c r="G644" i="1"/>
  <c r="G645" i="1"/>
  <c r="G651" i="1"/>
  <c r="G652" i="1"/>
  <c r="H653" i="1"/>
  <c r="G654" i="1"/>
  <c r="H654" i="1"/>
  <c r="H655" i="1"/>
  <c r="H656" i="1"/>
  <c r="H72" i="2" l="1"/>
  <c r="H35" i="2"/>
  <c r="H9" i="2"/>
  <c r="H605" i="1"/>
  <c r="J140" i="1"/>
  <c r="F664" i="1"/>
  <c r="H140" i="1"/>
  <c r="H13" i="2"/>
  <c r="G62" i="2"/>
  <c r="H477" i="1"/>
  <c r="H625" i="1" s="1"/>
  <c r="H664" i="1"/>
  <c r="E112" i="2"/>
  <c r="H112" i="2" s="1"/>
  <c r="J652" i="1"/>
  <c r="G477" i="1"/>
  <c r="H624" i="1" s="1"/>
  <c r="J624" i="1" s="1"/>
  <c r="C125" i="2"/>
  <c r="H125" i="2" s="1"/>
  <c r="C13" i="10"/>
  <c r="G646" i="1"/>
  <c r="H69" i="2"/>
  <c r="H30" i="2"/>
  <c r="I409" i="1"/>
  <c r="H102" i="2"/>
  <c r="H100" i="2"/>
  <c r="H98" i="2"/>
  <c r="H73" i="2"/>
  <c r="H11" i="2"/>
  <c r="H143" i="2"/>
  <c r="H38" i="2"/>
  <c r="H43" i="2"/>
  <c r="H47" i="2"/>
  <c r="E124" i="2"/>
  <c r="H17" i="2"/>
  <c r="D144" i="2"/>
  <c r="H96" i="2"/>
  <c r="H15" i="2"/>
  <c r="D29" i="13"/>
  <c r="C29" i="13" s="1"/>
  <c r="G409" i="1"/>
  <c r="H646" i="1" s="1"/>
  <c r="H137" i="2"/>
  <c r="H89" i="2"/>
  <c r="H59" i="2"/>
  <c r="H34" i="2"/>
  <c r="E120" i="2"/>
  <c r="H28" i="2"/>
  <c r="H94" i="2"/>
  <c r="H27" i="2"/>
  <c r="H24" i="2"/>
  <c r="H8" i="2"/>
  <c r="D18" i="13"/>
  <c r="C18" i="13" s="1"/>
  <c r="H25" i="2"/>
  <c r="H101" i="2"/>
  <c r="H99" i="2"/>
  <c r="H79" i="2"/>
  <c r="H76" i="2"/>
  <c r="H58" i="2"/>
  <c r="H113" i="2"/>
  <c r="H132" i="2"/>
  <c r="G662" i="1"/>
  <c r="H36" i="2"/>
  <c r="H44" i="2"/>
  <c r="H48" i="2"/>
  <c r="H97" i="2"/>
  <c r="H93" i="2"/>
  <c r="H87" i="2"/>
  <c r="H61" i="2"/>
  <c r="H26" i="2"/>
  <c r="C32" i="10"/>
  <c r="D15" i="13"/>
  <c r="C15" i="13" s="1"/>
  <c r="E13" i="13"/>
  <c r="C13" i="13" s="1"/>
  <c r="H29" i="2"/>
  <c r="H77" i="2"/>
  <c r="H23" i="2"/>
  <c r="H22" i="2"/>
  <c r="H12" i="2"/>
  <c r="E111" i="2"/>
  <c r="C12" i="10"/>
  <c r="K36" i="14"/>
  <c r="K37" i="14" s="1"/>
  <c r="C120" i="2"/>
  <c r="C119" i="2"/>
  <c r="K2" i="14"/>
  <c r="K3" i="14" s="1"/>
  <c r="A40" i="12"/>
  <c r="M23" i="14"/>
  <c r="M24" i="14" s="1"/>
  <c r="L23" i="14"/>
  <c r="L24" i="14" s="1"/>
  <c r="C7" i="14"/>
  <c r="N36" i="14"/>
  <c r="N37" i="14" s="1"/>
  <c r="M36" i="14"/>
  <c r="M37" i="14" s="1"/>
  <c r="L36" i="14"/>
  <c r="L37" i="14" s="1"/>
  <c r="C110" i="2"/>
  <c r="C121" i="2"/>
  <c r="N23" i="14"/>
  <c r="N24" i="14" s="1"/>
  <c r="D6" i="13"/>
  <c r="C6" i="13" s="1"/>
  <c r="K23" i="14"/>
  <c r="K24" i="14" s="1"/>
  <c r="M2" i="14"/>
  <c r="M3" i="14" s="1"/>
  <c r="L2" i="14"/>
  <c r="L3" i="14" s="1"/>
  <c r="E121" i="2"/>
  <c r="N2" i="14"/>
  <c r="N3" i="14" s="1"/>
  <c r="C6" i="14"/>
  <c r="C20" i="14"/>
  <c r="I589" i="1"/>
  <c r="E119" i="2"/>
  <c r="H409" i="1"/>
  <c r="H645" i="1" s="1"/>
  <c r="J645" i="1" s="1"/>
  <c r="G339" i="1"/>
  <c r="G353" i="1" s="1"/>
  <c r="J258" i="1"/>
  <c r="J272" i="1" s="1"/>
  <c r="E123" i="2"/>
  <c r="E110" i="2"/>
  <c r="K339" i="1"/>
  <c r="K353" i="1" s="1"/>
  <c r="J656" i="1"/>
  <c r="J572" i="1"/>
  <c r="D50" i="2"/>
  <c r="E131" i="2"/>
  <c r="H131" i="2" s="1"/>
  <c r="G553" i="1"/>
  <c r="H663" i="1"/>
  <c r="F258" i="1"/>
  <c r="F272" i="1" s="1"/>
  <c r="C20" i="10"/>
  <c r="I370" i="1"/>
  <c r="H635" i="1" s="1"/>
  <c r="J635" i="1" s="1"/>
  <c r="L257" i="1"/>
  <c r="H193" i="1"/>
  <c r="C11" i="10"/>
  <c r="A31" i="12"/>
  <c r="E114" i="2"/>
  <c r="E85" i="2"/>
  <c r="E91" i="2" s="1"/>
  <c r="H112" i="1"/>
  <c r="L402" i="1"/>
  <c r="C139" i="2" s="1"/>
  <c r="H139" i="2" s="1"/>
  <c r="C91" i="2"/>
  <c r="H462" i="1"/>
  <c r="H642" i="1" s="1"/>
  <c r="J642" i="1" s="1"/>
  <c r="F339" i="1"/>
  <c r="F353" i="1" s="1"/>
  <c r="L561" i="1"/>
  <c r="J625" i="1"/>
  <c r="G462" i="1"/>
  <c r="H641" i="1" s="1"/>
  <c r="J641" i="1" s="1"/>
  <c r="E103" i="2"/>
  <c r="D18" i="2"/>
  <c r="H553" i="1"/>
  <c r="L310" i="1"/>
  <c r="I546" i="1"/>
  <c r="F462" i="1"/>
  <c r="H640" i="1" s="1"/>
  <c r="J640" i="1" s="1"/>
  <c r="H258" i="1"/>
  <c r="H272" i="1" s="1"/>
  <c r="I52" i="1"/>
  <c r="H621" i="1" s="1"/>
  <c r="J621" i="1" s="1"/>
  <c r="D31" i="2"/>
  <c r="E31" i="2"/>
  <c r="C18" i="2"/>
  <c r="F18" i="2"/>
  <c r="L271" i="1"/>
  <c r="F662" i="1"/>
  <c r="F572" i="1"/>
  <c r="L420" i="1"/>
  <c r="D91" i="2"/>
  <c r="D81" i="2"/>
  <c r="E78" i="2"/>
  <c r="E81" i="2" s="1"/>
  <c r="G546" i="1"/>
  <c r="J644" i="1"/>
  <c r="F112" i="1"/>
  <c r="L394" i="1"/>
  <c r="C138" i="2" s="1"/>
  <c r="H138" i="2" s="1"/>
  <c r="L363" i="1"/>
  <c r="B17" i="16" s="1"/>
  <c r="B19" i="16" s="1"/>
  <c r="B28" i="16"/>
  <c r="L329" i="1"/>
  <c r="E40" i="14" s="1"/>
  <c r="E45" i="14" s="1"/>
  <c r="E122" i="2"/>
  <c r="L291" i="1"/>
  <c r="B33" i="16"/>
  <c r="L615" i="1"/>
  <c r="K599" i="1"/>
  <c r="G648" i="1" s="1"/>
  <c r="K572" i="1"/>
  <c r="L571" i="1"/>
  <c r="H572" i="1"/>
  <c r="L566" i="1"/>
  <c r="L572" i="1" s="1"/>
  <c r="I572" i="1"/>
  <c r="K546" i="1"/>
  <c r="H52" i="1"/>
  <c r="H620" i="1" s="1"/>
  <c r="J620" i="1" s="1"/>
  <c r="C114" i="2"/>
  <c r="H114" i="2" s="1"/>
  <c r="G112" i="1"/>
  <c r="B10" i="16" s="1"/>
  <c r="E118" i="2"/>
  <c r="L248" i="1"/>
  <c r="D40" i="14" s="1"/>
  <c r="L212" i="1"/>
  <c r="H648" i="1"/>
  <c r="G626" i="1"/>
  <c r="L530" i="1"/>
  <c r="H546" i="1"/>
  <c r="G164" i="2"/>
  <c r="G161" i="2"/>
  <c r="G157" i="2"/>
  <c r="G156" i="2"/>
  <c r="G81" i="2"/>
  <c r="C78" i="2"/>
  <c r="F78" i="2"/>
  <c r="F81" i="2" s="1"/>
  <c r="C70" i="2"/>
  <c r="H70" i="2" s="1"/>
  <c r="D62" i="2"/>
  <c r="D63" i="2" s="1"/>
  <c r="E57" i="2"/>
  <c r="E62" i="2" s="1"/>
  <c r="E63" i="2" s="1"/>
  <c r="C26" i="10"/>
  <c r="C18" i="10"/>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E109" i="2"/>
  <c r="C56" i="2"/>
  <c r="H56" i="2" s="1"/>
  <c r="F663" i="1"/>
  <c r="C25" i="10"/>
  <c r="C21" i="10"/>
  <c r="C17" i="10"/>
  <c r="D19" i="13"/>
  <c r="C19" i="13" s="1"/>
  <c r="D14" i="13"/>
  <c r="C14" i="13" s="1"/>
  <c r="C62" i="2"/>
  <c r="G22" i="13"/>
  <c r="C22" i="13" s="1"/>
  <c r="L540" i="1"/>
  <c r="K504" i="1"/>
  <c r="L383" i="1"/>
  <c r="G637" i="1" s="1"/>
  <c r="J637" i="1" s="1"/>
  <c r="G258" i="1"/>
  <c r="G272" i="1" s="1"/>
  <c r="C142" i="2"/>
  <c r="H142" i="2" s="1"/>
  <c r="C111" i="2"/>
  <c r="H662" i="1"/>
  <c r="C15" i="10"/>
  <c r="A13" i="12"/>
  <c r="D12" i="13"/>
  <c r="C12" i="13" s="1"/>
  <c r="D5" i="13"/>
  <c r="C5" i="13" s="1"/>
  <c r="E8" i="13"/>
  <c r="C8" i="13" s="1"/>
  <c r="C35" i="10"/>
  <c r="C29" i="10"/>
  <c r="G650" i="1"/>
  <c r="J650" i="1" s="1"/>
  <c r="L545" i="1"/>
  <c r="L525" i="1"/>
  <c r="J339" i="1"/>
  <c r="J353" i="1" s="1"/>
  <c r="D127" i="2"/>
  <c r="C124" i="2"/>
  <c r="C122" i="2"/>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C50" i="2"/>
  <c r="F31" i="2"/>
  <c r="C31" i="2"/>
  <c r="E18" i="2"/>
  <c r="E144" i="2"/>
  <c r="F50" i="2"/>
  <c r="C24" i="10"/>
  <c r="H31" i="13"/>
  <c r="H33" i="13" s="1"/>
  <c r="I339" i="1"/>
  <c r="I353" i="1" s="1"/>
  <c r="J651" i="1"/>
  <c r="L408" i="1"/>
  <c r="C140" i="2" s="1"/>
  <c r="H140" i="2" s="1"/>
  <c r="I193" i="1"/>
  <c r="J655" i="1"/>
  <c r="J654" i="1"/>
  <c r="G21" i="2"/>
  <c r="G31" i="2" s="1"/>
  <c r="J32" i="1"/>
  <c r="J435" i="1"/>
  <c r="F435" i="1"/>
  <c r="K435" i="1"/>
  <c r="G134" i="2" s="1"/>
  <c r="G144" i="2" s="1"/>
  <c r="G145" i="2" s="1"/>
  <c r="G31" i="13"/>
  <c r="J194" i="1"/>
  <c r="G647" i="1" s="1"/>
  <c r="G140" i="1"/>
  <c r="B11" i="16" s="1"/>
  <c r="F140" i="1"/>
  <c r="G63" i="2"/>
  <c r="J619" i="1"/>
  <c r="G42" i="2"/>
  <c r="G50" i="2" s="1"/>
  <c r="J51" i="1"/>
  <c r="G16" i="2"/>
  <c r="G18" i="2" s="1"/>
  <c r="J19" i="1"/>
  <c r="G622" i="1" s="1"/>
  <c r="F546" i="1"/>
  <c r="H435" i="1"/>
  <c r="D103" i="2"/>
  <c r="I140" i="1"/>
  <c r="A22" i="12"/>
  <c r="J653" i="1"/>
  <c r="G572" i="1"/>
  <c r="I435" i="1"/>
  <c r="G435" i="1"/>
  <c r="I664" i="1"/>
  <c r="H50" i="2" l="1"/>
  <c r="K605" i="1"/>
  <c r="K606" i="1" s="1"/>
  <c r="G649" i="1" s="1"/>
  <c r="H606" i="1"/>
  <c r="I663" i="1"/>
  <c r="H134" i="2"/>
  <c r="D45" i="14"/>
  <c r="F40" i="14"/>
  <c r="F38" i="14" s="1"/>
  <c r="H78" i="2"/>
  <c r="D51" i="2"/>
  <c r="H120" i="2"/>
  <c r="H123" i="2"/>
  <c r="H124" i="2"/>
  <c r="J646" i="1"/>
  <c r="D128" i="2"/>
  <c r="D145" i="2" s="1"/>
  <c r="H127" i="2"/>
  <c r="H16" i="2"/>
  <c r="H57" i="2"/>
  <c r="H42" i="2"/>
  <c r="H21" i="2"/>
  <c r="H85" i="2"/>
  <c r="H62" i="2"/>
  <c r="H103" i="2"/>
  <c r="H111" i="2"/>
  <c r="H122" i="2"/>
  <c r="E51" i="2"/>
  <c r="H91" i="2"/>
  <c r="I662" i="1"/>
  <c r="H31" i="2"/>
  <c r="H18" i="2"/>
  <c r="H119" i="2"/>
  <c r="C81" i="2"/>
  <c r="H81" i="2" s="1"/>
  <c r="F194" i="1"/>
  <c r="G628" i="1" s="1"/>
  <c r="J628" i="1" s="1"/>
  <c r="G25" i="14"/>
  <c r="H25" i="14" s="1"/>
  <c r="I25" i="14" s="1"/>
  <c r="H110" i="2"/>
  <c r="H121" i="2"/>
  <c r="E128" i="2"/>
  <c r="H118" i="2"/>
  <c r="F661" i="1"/>
  <c r="F665" i="1" s="1"/>
  <c r="F670" i="1" s="1"/>
  <c r="E115" i="2"/>
  <c r="H109" i="2"/>
  <c r="F144" i="2"/>
  <c r="H130" i="2"/>
  <c r="H661" i="1"/>
  <c r="H665" i="1" s="1"/>
  <c r="H194" i="1"/>
  <c r="G630" i="1" s="1"/>
  <c r="J630" i="1" s="1"/>
  <c r="H649" i="1"/>
  <c r="J649" i="1" s="1"/>
  <c r="C141" i="2"/>
  <c r="F51" i="2"/>
  <c r="G38" i="14"/>
  <c r="H38" i="14" s="1"/>
  <c r="I38" i="14" s="1"/>
  <c r="E104" i="2"/>
  <c r="C36" i="10"/>
  <c r="L435" i="1"/>
  <c r="G639" i="1" s="1"/>
  <c r="J639" i="1" s="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E33" i="13"/>
  <c r="D35" i="13" s="1"/>
  <c r="J648" i="1"/>
  <c r="L258" i="1"/>
  <c r="L272" i="1" s="1"/>
  <c r="G633" i="1" s="1"/>
  <c r="J633" i="1" s="1"/>
  <c r="C115" i="2"/>
  <c r="C63" i="2"/>
  <c r="C39" i="10"/>
  <c r="G33" i="13"/>
  <c r="C128" i="2"/>
  <c r="D31" i="13"/>
  <c r="C31" i="13" s="1"/>
  <c r="I462" i="1"/>
  <c r="H643" i="1" s="1"/>
  <c r="J643" i="1" s="1"/>
  <c r="G661" i="1"/>
  <c r="G665" i="1" s="1"/>
  <c r="C25" i="13"/>
  <c r="I33" i="13"/>
  <c r="K553" i="1"/>
  <c r="C51" i="2"/>
  <c r="G632" i="1"/>
  <c r="J632" i="1" s="1"/>
  <c r="G194" i="1"/>
  <c r="G629" i="1" s="1"/>
  <c r="J629" i="1" s="1"/>
  <c r="G627" i="1"/>
  <c r="J627" i="1" s="1"/>
  <c r="J52" i="1"/>
  <c r="H622" i="1" s="1"/>
  <c r="J622" i="1" s="1"/>
  <c r="C38" i="10"/>
  <c r="C144" i="2" l="1"/>
  <c r="H144" i="2" s="1"/>
  <c r="H141" i="2"/>
  <c r="H51" i="2"/>
  <c r="C104" i="2"/>
  <c r="H104" i="2" s="1"/>
  <c r="H63" i="2"/>
  <c r="H128" i="2"/>
  <c r="H115" i="2"/>
  <c r="E145" i="2"/>
  <c r="H668" i="1"/>
  <c r="H670" i="1"/>
  <c r="H673" i="1" s="1"/>
  <c r="C6" i="10" s="1"/>
  <c r="G670" i="1"/>
  <c r="G673" i="1" s="1"/>
  <c r="C5" i="10" s="1"/>
  <c r="F668" i="1"/>
  <c r="F145" i="2"/>
  <c r="I661" i="1"/>
  <c r="I665" i="1" s="1"/>
  <c r="G668" i="1"/>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657" i="1" l="1"/>
  <c r="C145" i="2"/>
  <c r="H145" i="2" s="1"/>
  <c r="I670" i="1"/>
  <c r="I673" i="1" s="1"/>
  <c r="C7" i="10" s="1"/>
  <c r="F673" i="1"/>
  <c r="C4" i="10" s="1"/>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A578" authorId="1" shapeId="0" xr:uid="{00000000-0006-0000-0000-00000A000000}">
      <text>
        <r>
          <rPr>
            <b/>
            <sz val="9"/>
            <color indexed="81"/>
            <rFont val="Tahoma"/>
            <family val="2"/>
          </rPr>
          <t>COE-Brown, Pinkerton, and Prospect Mtn. only.</t>
        </r>
        <r>
          <rPr>
            <sz val="9"/>
            <color indexed="81"/>
            <rFont val="Tahoma"/>
            <family val="2"/>
          </rPr>
          <t xml:space="preserve">
</t>
        </r>
      </text>
    </comment>
    <comment ref="A582" authorId="1" shapeId="0" xr:uid="{00000000-0006-0000-0000-00000B000000}">
      <text>
        <r>
          <rPr>
            <b/>
            <sz val="9"/>
            <color indexed="81"/>
            <rFont val="Tahoma"/>
            <family val="2"/>
          </rPr>
          <t>COE-Brown, Pinkerton, and Prospect Mtn only.</t>
        </r>
        <r>
          <rPr>
            <sz val="9"/>
            <color indexed="81"/>
            <rFont val="Tahoma"/>
            <family val="2"/>
          </rPr>
          <t xml:space="preserve">
</t>
        </r>
      </text>
    </comment>
    <comment ref="K599" authorId="0" shapeId="0" xr:uid="{00000000-0006-0000-0000-00000C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D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E000000}">
      <text>
        <r>
          <rPr>
            <b/>
            <sz val="9"/>
            <color indexed="81"/>
            <rFont val="Tahoma"/>
            <family val="2"/>
          </rPr>
          <t>Total Current Assets equal Total Liabilities &amp; Equity for General Fund 10</t>
        </r>
      </text>
    </comment>
    <comment ref="J619" authorId="1" shapeId="0" xr:uid="{00000000-0006-0000-0000-00000F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10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11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2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3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4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5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6000000}">
      <text>
        <r>
          <rPr>
            <b/>
            <sz val="9"/>
            <color indexed="81"/>
            <rFont val="Tahoma"/>
            <family val="2"/>
          </rPr>
          <t>Total Fund Equity on Balance Sheet equals ending fund balance on page 19 for Capital Projects Fund 30</t>
        </r>
      </text>
    </comment>
    <comment ref="J627" authorId="1" shapeId="0" xr:uid="{00000000-0006-0000-0000-000017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8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9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A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B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C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D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E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F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20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21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2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3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4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5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6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7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8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9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A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B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C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00000000-0006-0000-0000-00002D000000}">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00000000-0006-0000-0000-00002E000000}">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00000000-0006-0000-0000-00002F000000}">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00000000-0006-0000-0000-000030000000}">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00000000-0006-0000-0000-000031000000}">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00000000-0006-0000-0000-000032000000}">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00000000-0006-0000-0000-000033000000}">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00000000-0006-0000-0000-000034000000}">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35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<sst xmlns="http://schemas.openxmlformats.org/spreadsheetml/2006/main" count="6642" uniqueCount="1842">
  <si>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</si>
  <si>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</si>
  <si>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</si>
  <si>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</si>
  <si>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</si>
  <si>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</si>
  <si>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</si>
  <si>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</si>
  <si>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</si>
  <si>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</si>
  <si>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</si>
  <si>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</si>
  <si>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</si>
  <si>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</si>
  <si>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</si>
  <si>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</si>
  <si>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</si>
  <si>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</si>
  <si>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</si>
  <si>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</si>
  <si>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</si>
  <si>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</si>
  <si>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</si>
  <si>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</si>
  <si>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</si>
  <si>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</si>
  <si>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</si>
  <si>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</si>
  <si>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</si>
  <si>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</si>
  <si>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</si>
  <si>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</si>
  <si>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</si>
  <si>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</si>
  <si>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</si>
  <si>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</si>
  <si>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</si>
  <si>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</si>
  <si>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</si>
  <si>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</si>
  <si>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</si>
  <si>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</si>
  <si>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</si>
  <si>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</si>
  <si>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</si>
  <si>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</si>
  <si>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</si>
  <si>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</si>
  <si>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</si>
  <si>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</si>
  <si>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</si>
  <si>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</si>
  <si>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</si>
  <si>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</si>
  <si>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</si>
  <si>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</si>
  <si>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</si>
  <si>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</si>
  <si>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</si>
  <si>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</si>
  <si>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</si>
  <si>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</si>
  <si>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</si>
  <si>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</si>
  <si>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</si>
  <si>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</si>
  <si>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</si>
  <si>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</si>
  <si>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</si>
  <si>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</si>
  <si>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</si>
  <si>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</si>
  <si>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</si>
  <si>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</si>
  <si>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</si>
  <si>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</si>
  <si>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</si>
  <si>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</si>
  <si>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</si>
  <si>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</si>
  <si>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</si>
  <si>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</si>
  <si>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</si>
  <si>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</si>
  <si>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</si>
  <si>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</si>
  <si>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</si>
  <si>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</si>
  <si>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</si>
  <si>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</si>
  <si>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</si>
  <si>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</si>
  <si>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</si>
  <si>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</si>
  <si>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</si>
  <si>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</si>
  <si>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</si>
  <si>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</si>
  <si>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</si>
  <si>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</si>
  <si>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</si>
  <si>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</si>
  <si>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</si>
  <si>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</si>
  <si>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</si>
  <si>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</si>
  <si>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</si>
  <si>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</si>
  <si>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</si>
  <si>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</si>
  <si>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</si>
  <si>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</si>
  <si>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</si>
  <si>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</si>
  <si>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</si>
  <si>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</si>
  <si>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</si>
  <si>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</si>
  <si>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</si>
  <si>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</si>
  <si>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</si>
  <si>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</si>
  <si>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</si>
  <si>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</si>
  <si>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</si>
  <si>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</si>
  <si>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</si>
  <si>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</si>
  <si>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</si>
  <si>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</si>
  <si>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</si>
  <si>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</si>
  <si>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</si>
  <si>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</si>
  <si>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</si>
  <si>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</si>
  <si>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</si>
  <si>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</si>
  <si>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</si>
  <si>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</si>
  <si>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</si>
  <si>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</si>
  <si>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</si>
  <si>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</si>
  <si>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</si>
  <si>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</si>
  <si>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</si>
  <si>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</si>
  <si>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</si>
  <si>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</si>
  <si>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</si>
  <si>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</si>
  <si>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</si>
  <si>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</si>
  <si>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</si>
  <si>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</si>
  <si>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</si>
  <si>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</si>
  <si>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</si>
  <si>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</si>
  <si>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</si>
  <si>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</si>
  <si>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</si>
  <si>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</si>
  <si>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</si>
  <si>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</si>
  <si>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</si>
  <si>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</si>
  <si>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</si>
  <si>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</si>
  <si>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</si>
  <si>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</si>
  <si>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</si>
  <si>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</si>
  <si>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</si>
  <si>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</si>
  <si>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</si>
  <si>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</si>
  <si>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</si>
  <si>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</si>
  <si>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</si>
  <si>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</si>
  <si>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</si>
  <si>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</si>
  <si>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</si>
  <si>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</si>
  <si>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</si>
  <si>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</si>
  <si>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</si>
  <si>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</si>
  <si>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</si>
  <si>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</si>
  <si>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</si>
  <si>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</si>
  <si>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</si>
  <si>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</si>
  <si>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</si>
  <si>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</si>
  <si>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</si>
  <si>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</si>
  <si>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</si>
  <si>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</si>
  <si>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</si>
  <si>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</si>
  <si>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</si>
  <si>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</si>
  <si>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</si>
  <si>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</si>
  <si>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</si>
  <si>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</si>
  <si>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</si>
  <si>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</si>
  <si>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</si>
  <si>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</si>
  <si>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</si>
  <si>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</si>
  <si>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</si>
  <si>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</si>
  <si>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</si>
  <si>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</si>
  <si>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</si>
  <si>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</si>
  <si>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</si>
  <si>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</si>
  <si>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</si>
  <si>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</si>
  <si>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</si>
  <si>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</si>
  <si>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</si>
  <si>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</si>
  <si>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</si>
  <si>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</si>
  <si>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</si>
  <si>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</si>
  <si>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</si>
  <si>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</si>
  <si>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</si>
  <si>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</si>
  <si>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</si>
  <si>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</si>
  <si>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</si>
  <si>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</si>
  <si>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</si>
  <si>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</si>
  <si>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</si>
  <si>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</si>
  <si>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</si>
  <si>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</si>
  <si>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</si>
  <si>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</si>
  <si>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</si>
  <si>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</si>
  <si>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</si>
  <si>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</si>
  <si>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</si>
  <si>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</si>
  <si>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</si>
  <si>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</si>
  <si>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</si>
  <si>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</si>
  <si>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</si>
  <si>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</si>
  <si>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</si>
  <si>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</si>
  <si>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</si>
  <si>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</si>
  <si>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</si>
  <si>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</si>
  <si>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</si>
  <si>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</si>
  <si>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</si>
  <si>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</si>
  <si>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</si>
  <si>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</si>
  <si>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</si>
  <si>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</si>
  <si>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</si>
  <si>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</si>
  <si>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</si>
  <si>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</si>
  <si>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</si>
  <si>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</si>
  <si>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</si>
  <si>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</si>
  <si>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</si>
  <si>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</si>
  <si>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</si>
  <si>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</si>
  <si>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</si>
  <si>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</si>
  <si>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</si>
  <si>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</si>
  <si>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</si>
  <si>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</si>
  <si>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</si>
  <si>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</si>
  <si>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</si>
  <si>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</si>
  <si>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</si>
  <si>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</si>
  <si>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</si>
  <si>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</si>
  <si>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</si>
  <si>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</si>
  <si>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</si>
  <si>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</si>
  <si>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</si>
  <si>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</si>
  <si>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</si>
  <si>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</si>
  <si>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</si>
  <si>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</si>
  <si>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</si>
  <si>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</si>
  <si>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</si>
  <si>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</si>
  <si>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</si>
  <si>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</si>
  <si>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</si>
  <si>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</si>
  <si>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</si>
  <si>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</si>
  <si>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</si>
  <si>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</si>
  <si>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</si>
  <si>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</si>
  <si>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</si>
  <si>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</si>
  <si>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</si>
  <si>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</si>
  <si>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</si>
  <si>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</si>
  <si>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</si>
  <si>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</si>
  <si>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</si>
  <si>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</si>
  <si>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</si>
  <si>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</si>
  <si>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</si>
  <si>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</si>
  <si>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</si>
  <si>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</si>
  <si>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</si>
  <si>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</si>
  <si>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</si>
  <si>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</si>
  <si>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</si>
  <si>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</si>
  <si>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</si>
  <si>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</si>
  <si>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</si>
  <si>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</si>
  <si>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</si>
  <si>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</si>
  <si>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</si>
  <si>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</si>
  <si>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</si>
  <si>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</si>
  <si>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</si>
  <si>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</si>
  <si>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</si>
  <si>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</si>
  <si>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</si>
  <si>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</si>
  <si>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</si>
  <si>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</si>
  <si>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</si>
  <si>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</si>
  <si>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</si>
  <si>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</si>
  <si>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</si>
  <si>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</si>
  <si>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</si>
  <si>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</si>
  <si>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</si>
  <si>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</si>
  <si>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</si>
  <si>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</si>
  <si>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</si>
  <si>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</si>
  <si>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</si>
  <si>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</si>
  <si>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</si>
  <si>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</si>
  <si>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</si>
  <si>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</si>
  <si>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</si>
  <si>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</si>
  <si>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</si>
  <si>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</si>
  <si>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</si>
  <si>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</si>
  <si>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</si>
  <si>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</si>
  <si>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</si>
  <si>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</si>
  <si>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</si>
  <si>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</si>
  <si>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</si>
  <si>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</si>
  <si>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</si>
  <si>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</si>
  <si>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</si>
  <si>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</si>
  <si>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</si>
  <si>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</si>
  <si>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</si>
  <si>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</si>
  <si>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</si>
  <si>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</si>
  <si>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</si>
  <si>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</si>
  <si>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</si>
  <si>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</si>
  <si>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</si>
  <si>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</si>
  <si>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</si>
  <si>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</si>
  <si>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</si>
  <si>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</si>
  <si>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</si>
  <si>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</si>
  <si>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</si>
  <si>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</si>
  <si>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</si>
  <si>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</si>
  <si>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</si>
  <si>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</si>
  <si>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</si>
  <si>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</si>
  <si>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</si>
  <si>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</si>
  <si>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</si>
  <si>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</si>
  <si>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</si>
  <si>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</si>
  <si>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</si>
  <si>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</si>
  <si>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</si>
  <si>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</si>
  <si>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</si>
  <si>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</si>
  <si>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</si>
  <si>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</si>
  <si>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</si>
  <si>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</si>
  <si>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</si>
  <si>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</si>
  <si>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</si>
  <si>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</si>
  <si>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</si>
  <si>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</si>
  <si>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</si>
  <si>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</si>
  <si>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</si>
  <si>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</si>
  <si>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</si>
  <si>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</si>
  <si>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</si>
  <si>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</si>
  <si>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</si>
  <si>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</si>
  <si>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</si>
  <si>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</si>
  <si>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</si>
  <si>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</si>
  <si>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</si>
  <si>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</si>
  <si>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</si>
  <si>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</si>
  <si>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</si>
  <si>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</si>
  <si>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</si>
  <si>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</si>
  <si>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</si>
  <si>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</si>
  <si>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</si>
  <si>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</si>
  <si>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</si>
  <si>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</si>
  <si>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</si>
  <si>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</si>
  <si>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</si>
  <si>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</si>
  <si>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</si>
  <si>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</si>
  <si>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</si>
  <si>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</si>
  <si>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</si>
  <si>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</si>
  <si>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</si>
  <si>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</si>
  <si>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</si>
  <si>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</si>
  <si>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</si>
  <si>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</si>
  <si>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</si>
  <si>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</si>
  <si>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</si>
  <si>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</si>
  <si>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</si>
  <si>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</si>
  <si>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</si>
  <si>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</si>
  <si>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</si>
  <si>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</si>
  <si>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</si>
  <si>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</si>
  <si>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</si>
  <si>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</si>
  <si>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</si>
  <si>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</si>
  <si>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</si>
  <si>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</si>
  <si>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</si>
  <si>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</si>
  <si>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</si>
  <si>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</si>
  <si>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</si>
  <si>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</si>
  <si>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</si>
  <si>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</si>
  <si>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</si>
  <si>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</si>
  <si>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</si>
  <si>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</si>
  <si>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</si>
  <si>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</si>
  <si>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</si>
  <si>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</si>
  <si>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</si>
  <si>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</si>
  <si>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</si>
  <si>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</si>
  <si>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</si>
  <si>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</si>
  <si>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</si>
  <si>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</si>
  <si>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</si>
  <si>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</si>
  <si>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</si>
  <si>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</si>
  <si>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</si>
  <si>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</si>
  <si>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</si>
  <si>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</si>
  <si>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</si>
  <si>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</si>
  <si>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</si>
  <si>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</si>
  <si>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</si>
  <si>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</si>
  <si>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</si>
  <si>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</si>
  <si>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</si>
  <si>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</si>
  <si>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</si>
  <si>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</si>
  <si>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</si>
  <si>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</si>
  <si>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</si>
  <si>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</si>
  <si>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</si>
  <si>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</si>
  <si>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</si>
  <si>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</si>
  <si>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</si>
  <si>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</si>
  <si>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</si>
  <si>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</si>
  <si>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</si>
  <si>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</si>
  <si>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</si>
  <si>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</si>
  <si>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</si>
  <si>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</si>
  <si>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</si>
  <si>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</si>
  <si>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</si>
  <si>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</si>
  <si>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</si>
  <si>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</si>
  <si>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</si>
  <si>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</si>
  <si>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</si>
  <si>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</si>
  <si>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</si>
  <si>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</si>
  <si>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</si>
  <si>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</si>
  <si>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</si>
  <si>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</si>
  <si>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</si>
  <si>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</si>
  <si>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</si>
  <si>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</si>
  <si>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</si>
  <si>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</si>
  <si>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</si>
  <si>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</si>
  <si>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</si>
  <si>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</si>
  <si>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</si>
  <si>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</si>
  <si>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</si>
  <si>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</si>
  <si>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</si>
  <si>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</si>
  <si>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</si>
  <si>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</si>
  <si>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</si>
  <si>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</si>
  <si>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</si>
  <si>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</si>
  <si>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</si>
  <si>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</si>
  <si>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</si>
  <si>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</si>
  <si>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</si>
  <si>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</si>
  <si>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</si>
  <si>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</si>
  <si>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</si>
  <si>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</si>
  <si>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</si>
  <si>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</si>
  <si>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</si>
  <si>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</si>
  <si>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</si>
  <si>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</si>
  <si>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</si>
  <si>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</si>
  <si>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</si>
  <si>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</si>
  <si>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</si>
  <si>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</si>
  <si>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</si>
  <si>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</si>
  <si>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</si>
  <si>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</si>
  <si>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</si>
  <si>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</si>
  <si>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</si>
  <si>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</si>
  <si>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</si>
  <si>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</si>
  <si>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</si>
  <si>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</si>
  <si>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</si>
  <si>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</si>
  <si>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</si>
  <si>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</si>
  <si>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</si>
  <si>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</si>
  <si>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</si>
  <si>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</si>
  <si>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</si>
  <si>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</si>
  <si>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</si>
  <si>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</si>
  <si>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</si>
  <si>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</si>
  <si>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</si>
  <si>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</si>
  <si>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</si>
  <si>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</si>
  <si>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</si>
  <si>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</si>
  <si>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</si>
  <si>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</si>
  <si>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</si>
  <si>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</si>
  <si>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</si>
  <si>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</si>
  <si>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</si>
  <si>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</si>
  <si>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</si>
  <si>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</si>
  <si>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</si>
  <si>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</si>
  <si>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</si>
  <si>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</si>
  <si>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</si>
  <si>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</si>
  <si>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</si>
  <si>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</si>
  <si>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</si>
  <si>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</si>
  <si>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</si>
  <si>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</si>
  <si>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</si>
  <si>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</si>
  <si>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</si>
  <si>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</si>
  <si>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</si>
  <si>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</si>
  <si>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</si>
  <si>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</si>
  <si>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</si>
  <si>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</si>
  <si>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</si>
  <si>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</si>
  <si>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</si>
  <si>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</si>
  <si>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</si>
  <si>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</si>
  <si>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</si>
  <si>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</si>
  <si>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</si>
  <si>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</si>
  <si>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</si>
  <si>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</si>
  <si>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</si>
  <si>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</si>
  <si>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</si>
  <si>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</si>
  <si>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</si>
  <si>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</si>
  <si>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</si>
  <si>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</si>
  <si>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</si>
  <si>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</si>
  <si>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</si>
  <si>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</si>
  <si>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</si>
  <si>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</si>
  <si>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</si>
  <si>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</si>
  <si>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</si>
  <si>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</si>
  <si>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</si>
  <si>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</si>
  <si>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</si>
  <si>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</si>
  <si>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</si>
  <si>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</si>
  <si>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</si>
  <si>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</si>
  <si>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</si>
  <si>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</si>
  <si>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Vocational Program Tuition to Public Academies/JMA*</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</si>
  <si>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</si>
  <si>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</si>
  <si>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</si>
  <si>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</si>
  <si>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</si>
  <si>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</si>
  <si>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</si>
  <si>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</si>
  <si>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</si>
  <si>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</si>
  <si>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</si>
  <si>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</si>
  <si>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</si>
  <si>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</si>
  <si>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</si>
  <si>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</si>
  <si>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</si>
  <si>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</si>
  <si>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</si>
  <si>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</si>
  <si>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</si>
  <si>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</si>
  <si>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</si>
  <si>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</si>
  <si>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</si>
  <si>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</si>
  <si>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</si>
  <si>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</si>
  <si>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</si>
  <si>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</si>
  <si>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</si>
  <si>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</si>
  <si>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</si>
  <si>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</si>
  <si>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</si>
  <si>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</si>
  <si>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</si>
  <si>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</si>
  <si>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</si>
  <si>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</si>
  <si>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</si>
  <si>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</si>
  <si>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</si>
  <si>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</si>
  <si>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</si>
  <si>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</si>
  <si>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</si>
  <si>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</si>
  <si>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</si>
  <si>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</si>
  <si>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</si>
  <si>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</si>
  <si>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</si>
  <si>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</si>
  <si>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</si>
  <si>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</si>
  <si>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</si>
  <si>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</si>
  <si>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</si>
  <si>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</si>
  <si>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</si>
  <si>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</si>
  <si>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</si>
  <si>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</si>
  <si>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</si>
  <si>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</si>
  <si>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</si>
  <si>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</si>
  <si>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</si>
  <si>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</si>
  <si>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</si>
  <si>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</si>
  <si>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</si>
  <si>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</si>
  <si>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</si>
  <si>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</si>
  <si>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</si>
  <si>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</si>
  <si>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</si>
  <si>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</si>
  <si>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</si>
  <si>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</si>
  <si>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</si>
  <si>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</si>
  <si>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</si>
  <si>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</si>
  <si>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</si>
  <si>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</si>
  <si>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</si>
  <si>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</si>
  <si>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</si>
  <si>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</si>
  <si>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</si>
  <si>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</si>
  <si>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</si>
  <si>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</si>
  <si>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</si>
  <si>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</si>
  <si>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</si>
  <si>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</si>
  <si>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</si>
  <si>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</si>
  <si>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</si>
  <si>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</si>
  <si>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</si>
  <si>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</si>
  <si>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</si>
  <si>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</si>
  <si>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</si>
  <si>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</si>
  <si>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</si>
  <si>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</si>
  <si>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</si>
  <si>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</si>
  <si>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</si>
  <si>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</si>
  <si>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</si>
  <si>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</si>
  <si>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</si>
  <si>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</si>
  <si>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</si>
  <si>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</si>
  <si>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</si>
  <si>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</si>
  <si>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</si>
  <si>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</si>
  <si>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</si>
  <si>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</si>
  <si>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</si>
  <si>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</si>
  <si>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</si>
  <si>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</si>
  <si>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</si>
  <si>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</si>
  <si>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</si>
  <si>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</si>
  <si>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</si>
  <si>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</si>
  <si>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</si>
  <si>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</si>
  <si>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</si>
  <si>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</si>
  <si>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</si>
  <si>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</si>
  <si>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</si>
  <si>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</si>
  <si>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</si>
  <si>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</si>
  <si>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t>Restricted Indirect Cost Rate to be determined</t>
  </si>
  <si>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</si>
  <si>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</si>
  <si>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</si>
  <si>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</si>
  <si>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</si>
  <si>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</si>
  <si>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</si>
  <si>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</si>
  <si>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</si>
  <si>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</si>
  <si>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</si>
  <si>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</si>
  <si>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</si>
  <si>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</si>
  <si>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</si>
  <si>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</si>
  <si>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</si>
  <si>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</si>
  <si>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</si>
  <si>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</si>
  <si>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</si>
  <si>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</si>
  <si>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</si>
  <si>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</si>
  <si>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</si>
  <si>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</si>
  <si>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</si>
  <si>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</si>
  <si>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</si>
  <si>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</si>
  <si>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</si>
  <si>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</si>
  <si>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</si>
  <si>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</si>
  <si>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</si>
  <si>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</si>
  <si>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</si>
  <si>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</si>
  <si>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</si>
  <si>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</si>
  <si>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</si>
  <si>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</si>
  <si>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</si>
  <si>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</si>
  <si>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</si>
  <si>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</si>
  <si>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</si>
  <si>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</si>
  <si>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</si>
  <si>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</si>
  <si>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</si>
  <si>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</si>
  <si>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</si>
  <si>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</si>
  <si>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</si>
  <si>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</si>
  <si>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</si>
  <si>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</si>
  <si>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</si>
  <si>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</si>
  <si>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</si>
  <si>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</si>
  <si>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</si>
  <si>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</si>
  <si>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</si>
  <si>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</si>
  <si>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</si>
  <si>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</si>
  <si>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</si>
  <si>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</si>
  <si>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</si>
  <si>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</si>
  <si>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</si>
  <si>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</si>
  <si>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</si>
  <si>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</si>
  <si>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</si>
  <si>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</si>
  <si>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</si>
  <si>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</si>
  <si>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</si>
  <si>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</si>
  <si>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</si>
  <si>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</si>
  <si>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</si>
  <si>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</si>
  <si>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</si>
  <si>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</si>
  <si>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</si>
  <si>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</si>
  <si>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</si>
  <si>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</si>
  <si>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</si>
  <si>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</si>
  <si>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</si>
  <si>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</si>
  <si>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</si>
  <si>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</si>
  <si>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</si>
  <si>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</si>
  <si>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</si>
  <si>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</si>
  <si>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</si>
  <si>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</si>
  <si>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</si>
  <si>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</si>
  <si>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</si>
  <si>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</si>
  <si>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</si>
  <si>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</si>
  <si>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</si>
  <si>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</si>
  <si>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</si>
  <si>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</si>
  <si>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</si>
  <si>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</si>
  <si>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</si>
  <si>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</si>
  <si>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</si>
  <si>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</si>
  <si>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</si>
  <si>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</si>
  <si>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</si>
  <si>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</si>
  <si>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</si>
  <si>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</si>
  <si>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</si>
  <si>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</si>
  <si>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</si>
  <si>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</si>
  <si>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</si>
  <si>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</si>
  <si>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</si>
  <si>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</si>
  <si>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</si>
  <si>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</si>
  <si>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</si>
  <si>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</si>
  <si>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</si>
  <si>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</si>
  <si>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</si>
  <si>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</si>
  <si>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</si>
  <si>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</si>
  <si>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</si>
  <si>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</si>
  <si>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</si>
  <si>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</si>
  <si>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</si>
  <si>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</si>
  <si>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</si>
  <si>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</si>
  <si>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</si>
  <si>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</si>
  <si>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</si>
  <si>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</si>
  <si>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</si>
  <si>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</si>
  <si>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</si>
  <si>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</si>
  <si>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</si>
  <si>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</si>
  <si>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</si>
  <si>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</si>
  <si>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</si>
  <si>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</si>
  <si>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</si>
  <si>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</si>
  <si>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</si>
  <si>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</si>
  <si>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</si>
  <si>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</si>
  <si>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</si>
  <si>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</si>
  <si>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</si>
  <si>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</si>
  <si>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</si>
  <si>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</si>
  <si>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</si>
  <si>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</si>
  <si>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</si>
  <si>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</si>
  <si>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</si>
  <si>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</si>
  <si>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</si>
  <si>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</si>
  <si>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</si>
  <si>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</si>
  <si>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</si>
  <si>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</si>
  <si>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</si>
  <si>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</si>
  <si>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</si>
  <si>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</si>
  <si>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</si>
  <si>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</si>
  <si>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</si>
  <si>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</si>
  <si>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</si>
  <si>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</si>
  <si>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</si>
  <si>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</si>
  <si>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</si>
  <si>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</si>
  <si>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</si>
  <si>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</si>
  <si>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</si>
  <si>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</si>
  <si>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</si>
  <si>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</si>
  <si>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</si>
  <si>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</si>
  <si>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</si>
  <si>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</si>
  <si>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</si>
  <si>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</si>
  <si>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</si>
  <si>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</si>
  <si>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</si>
  <si>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</si>
  <si>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</si>
  <si>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</si>
  <si>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</si>
  <si>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</si>
  <si>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</si>
  <si>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</si>
  <si>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</si>
  <si>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</si>
  <si>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</si>
  <si>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</si>
  <si>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</si>
  <si>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</si>
  <si>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</si>
  <si>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</si>
  <si>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</si>
  <si>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</si>
  <si>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</si>
  <si>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</si>
  <si>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</si>
  <si>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</si>
  <si>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</si>
  <si>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</si>
  <si>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Jaffrey Grade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</si>
  <si>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</si>
  <si>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</si>
  <si>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</si>
  <si>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</si>
  <si>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</si>
  <si>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</si>
  <si>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</si>
  <si>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</si>
  <si>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</si>
  <si>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</si>
  <si>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</si>
  <si>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</si>
  <si>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</si>
  <si>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</si>
  <si>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</si>
  <si>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</si>
  <si>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</si>
  <si>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</si>
  <si>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</si>
  <si>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</si>
  <si>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</si>
  <si>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</si>
  <si>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</si>
  <si>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</si>
  <si>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</si>
  <si>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</si>
  <si>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</si>
  <si>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</si>
  <si>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</si>
  <si>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</si>
  <si>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</si>
  <si>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</si>
  <si>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</si>
  <si>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</si>
  <si>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</si>
  <si>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</si>
  <si>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</si>
  <si>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</si>
  <si>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</si>
  <si>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</si>
  <si>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</si>
  <si>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</si>
  <si>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</si>
  <si>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</si>
  <si>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</si>
  <si>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</si>
  <si>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</si>
  <si>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</si>
  <si>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</si>
  <si>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</si>
  <si>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</si>
  <si>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</si>
  <si>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</si>
  <si>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</si>
  <si>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</si>
  <si>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</si>
  <si>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</si>
  <si>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</si>
  <si>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</si>
  <si>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</si>
  <si>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</si>
  <si>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</si>
  <si>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</si>
  <si>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</si>
  <si>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</si>
  <si>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</si>
  <si>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</si>
  <si>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</si>
  <si>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</si>
  <si>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</si>
  <si>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</si>
  <si>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</si>
  <si>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</si>
  <si>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</si>
  <si>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</si>
  <si>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</si>
  <si>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</si>
  <si>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</si>
  <si>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</si>
  <si>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</si>
  <si>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</si>
  <si>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</si>
  <si>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</si>
  <si>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</si>
  <si>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</si>
  <si>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</si>
  <si>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</si>
  <si>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</si>
  <si>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</si>
  <si>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</si>
  <si>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</si>
  <si>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</si>
  <si>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</si>
  <si>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</si>
  <si>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</si>
  <si>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</si>
  <si>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</si>
  <si>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</si>
  <si>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</si>
  <si>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</si>
  <si>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</si>
  <si>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</si>
  <si>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</si>
  <si>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</si>
  <si>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</si>
  <si>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</si>
  <si>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</si>
  <si>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</si>
  <si>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</si>
  <si>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</si>
  <si>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</si>
  <si>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</si>
  <si>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</si>
  <si>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</si>
  <si>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</si>
  <si>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</si>
  <si>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</si>
  <si>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</si>
  <si>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</si>
  <si>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</si>
  <si>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</si>
  <si>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</si>
  <si>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</si>
  <si>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</si>
  <si>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</si>
  <si>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</si>
  <si>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</si>
  <si>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</si>
  <si>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</si>
  <si>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</si>
  <si>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</si>
  <si>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</si>
  <si>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</si>
  <si>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</si>
  <si>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</si>
  <si>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</si>
  <si>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</si>
  <si>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</si>
  <si>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</si>
  <si>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</si>
  <si>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</si>
  <si>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</si>
  <si>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</si>
  <si>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</si>
  <si>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</si>
  <si>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</si>
  <si>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</si>
  <si>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</si>
  <si>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</si>
  <si>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</si>
  <si>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</si>
  <si>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</si>
  <si>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</si>
  <si>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</si>
  <si>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</si>
  <si>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</si>
  <si>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</si>
  <si>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</si>
  <si>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</si>
  <si>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</si>
  <si>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</si>
  <si>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</si>
  <si>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</si>
  <si>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</si>
  <si>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</si>
  <si>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</si>
  <si>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</si>
  <si>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</si>
  <si>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</si>
  <si>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</si>
  <si>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</si>
  <si>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</si>
  <si>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</si>
  <si>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</si>
  <si>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</si>
  <si>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</si>
  <si>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</si>
  <si>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</si>
  <si>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</si>
  <si>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</si>
  <si>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</si>
  <si>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</si>
  <si>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</si>
  <si>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</si>
  <si>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</si>
  <si>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</si>
  <si>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</si>
  <si>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</si>
  <si>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</si>
  <si>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</si>
  <si>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</si>
  <si>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</si>
  <si>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</si>
  <si>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</si>
  <si>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</si>
  <si>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</si>
  <si>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</si>
  <si>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</si>
  <si>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</si>
  <si>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</si>
  <si>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</si>
  <si>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</si>
  <si>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</si>
  <si>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</si>
  <si>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</si>
  <si>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</si>
  <si>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</si>
  <si>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</si>
  <si>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</si>
  <si>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</si>
  <si>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</si>
  <si>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</si>
  <si>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</si>
  <si>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</si>
  <si>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</si>
  <si>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</si>
  <si>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</si>
  <si>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</si>
  <si>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</si>
  <si>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</si>
  <si>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</si>
  <si>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</si>
  <si>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</si>
  <si>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</si>
  <si>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</si>
  <si>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</si>
  <si>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</si>
  <si>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</si>
  <si>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</si>
  <si>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</si>
  <si>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</si>
  <si>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</si>
  <si>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</si>
  <si>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</si>
  <si>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</si>
  <si>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</si>
  <si>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</si>
  <si>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</si>
  <si>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</si>
  <si>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</si>
  <si>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</si>
  <si>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</si>
  <si>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</si>
  <si>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</si>
  <si>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</si>
  <si>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</si>
  <si>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</si>
  <si>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</si>
  <si>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</si>
  <si>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</si>
  <si>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</si>
  <si>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</si>
  <si>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</si>
  <si>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</si>
  <si>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</si>
  <si>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</si>
  <si>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</si>
  <si>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</si>
  <si>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</si>
  <si>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</si>
  <si>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</si>
  <si>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</si>
  <si>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</si>
  <si>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</si>
  <si>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</si>
  <si>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</si>
  <si>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</si>
  <si>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</si>
  <si>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</si>
  <si>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</si>
  <si>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</si>
  <si>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</si>
  <si>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</si>
  <si>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</si>
  <si>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</si>
  <si>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</si>
  <si>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</si>
  <si>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</si>
  <si>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</si>
  <si>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</si>
  <si>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</si>
  <si>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</si>
  <si>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</si>
  <si>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</si>
  <si>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</si>
  <si>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</si>
  <si>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</si>
  <si>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</si>
  <si>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</si>
  <si>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</si>
  <si>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</si>
  <si>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</si>
  <si>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</si>
  <si>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</si>
  <si>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</si>
  <si>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</si>
  <si>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</si>
  <si>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</si>
  <si>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</si>
  <si>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</si>
  <si>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</si>
  <si>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</si>
  <si>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</si>
  <si>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</si>
  <si>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</si>
  <si>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</si>
  <si>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</si>
  <si>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</si>
  <si>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</si>
  <si>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</si>
  <si>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</si>
  <si>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</si>
  <si>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</si>
  <si>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</si>
  <si>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</si>
  <si>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</si>
  <si>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</si>
  <si>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</si>
  <si>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</si>
  <si>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</si>
  <si>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</si>
  <si>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</si>
  <si>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</si>
  <si>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</si>
  <si>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</si>
  <si>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</si>
  <si>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</si>
  <si>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</si>
  <si>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</si>
  <si>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</si>
  <si>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</si>
  <si>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</si>
  <si>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</si>
  <si>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</si>
  <si>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</si>
  <si>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</si>
  <si>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</si>
  <si>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</si>
  <si>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</si>
  <si>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</si>
  <si>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</si>
  <si>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</si>
  <si>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</si>
  <si>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</si>
  <si>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</si>
  <si>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</si>
  <si>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</si>
  <si>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</si>
  <si>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</si>
  <si>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</si>
  <si>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</si>
  <si>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</si>
  <si>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</si>
  <si>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</si>
  <si>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</si>
  <si>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</si>
  <si>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</si>
  <si>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</si>
  <si>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</si>
  <si>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</si>
  <si>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</si>
  <si>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</si>
  <si>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</si>
  <si>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</si>
  <si>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</si>
  <si>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</si>
  <si>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</si>
  <si>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</si>
  <si>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</si>
  <si>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</si>
  <si>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</si>
  <si>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</si>
  <si>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</si>
  <si>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</si>
  <si>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</si>
  <si>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</si>
  <si>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</si>
  <si>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</si>
  <si>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</si>
  <si>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</si>
  <si>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</si>
  <si>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</si>
  <si>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</si>
  <si>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</si>
  <si>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</si>
  <si>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</si>
  <si>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</si>
  <si>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</si>
  <si>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</si>
  <si>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</si>
  <si>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</si>
  <si>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</si>
  <si>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</si>
  <si>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</si>
  <si>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</si>
  <si>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</si>
  <si>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</si>
  <si>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</si>
  <si>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</si>
  <si>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</si>
  <si>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</si>
  <si>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</si>
  <si>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</si>
  <si>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</si>
  <si>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Derry Early Education Program</t>
  </si>
  <si>
    <t>Fall Mountain Regional -Pre School Program</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</si>
  <si>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</si>
  <si>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</si>
  <si>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</si>
  <si>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</si>
  <si>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</si>
  <si>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</si>
  <si>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</si>
  <si>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</si>
  <si>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</si>
  <si>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</si>
  <si>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</si>
  <si>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</si>
  <si>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</si>
  <si>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</si>
  <si>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</si>
  <si>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</si>
  <si>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</si>
  <si>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</si>
  <si>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</si>
  <si>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</si>
  <si>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</si>
  <si>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</si>
  <si>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</si>
  <si>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</si>
  <si>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</si>
  <si>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</si>
  <si>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</si>
  <si>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</si>
  <si>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</si>
  <si>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</si>
  <si>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</si>
  <si>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</si>
  <si>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</si>
  <si>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</si>
  <si>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</si>
  <si>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</si>
  <si>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</si>
  <si>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</si>
  <si>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</si>
  <si>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</si>
  <si>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</si>
  <si>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</si>
  <si>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</si>
  <si>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</si>
  <si>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</si>
  <si>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</si>
  <si>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</si>
  <si>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</si>
  <si>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</si>
  <si>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</si>
  <si>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</si>
  <si>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</si>
  <si>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</si>
  <si>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</si>
  <si>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</si>
  <si>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</si>
  <si>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</si>
  <si>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</si>
  <si>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</si>
  <si>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</si>
  <si>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</si>
  <si>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</si>
  <si>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</si>
  <si>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CFDA#</t>
  </si>
  <si>
    <t>Amount</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</si>
  <si>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</si>
  <si>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</si>
  <si>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</si>
  <si>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</si>
  <si>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</si>
  <si>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</si>
  <si>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</si>
  <si>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</si>
  <si>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</si>
  <si>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</si>
  <si>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</si>
  <si>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</si>
  <si>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</si>
  <si>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</si>
  <si>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</si>
  <si>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</si>
  <si>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</si>
  <si>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</si>
  <si>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</si>
  <si>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</si>
  <si>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</si>
  <si>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</si>
  <si>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</si>
  <si>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</si>
  <si>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</si>
  <si>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</si>
  <si>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</si>
  <si>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</si>
  <si>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</si>
  <si>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</si>
  <si>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</si>
  <si>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</si>
  <si>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</si>
  <si>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</si>
  <si>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</si>
  <si>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</si>
  <si>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</si>
  <si>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</si>
  <si>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</si>
  <si>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</si>
  <si>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</si>
  <si>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</si>
  <si>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</si>
  <si>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</si>
  <si>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</si>
  <si>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</si>
  <si>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</si>
  <si>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</si>
  <si>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</si>
  <si>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</si>
  <si>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</si>
  <si>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</si>
  <si>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</si>
  <si>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</si>
  <si>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</si>
  <si>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</si>
  <si>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</si>
  <si>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</si>
  <si>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</si>
  <si>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</si>
  <si>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</si>
  <si>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</si>
  <si>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</si>
  <si>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</si>
  <si>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</si>
  <si>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</si>
  <si>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</si>
  <si>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</si>
  <si>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</si>
  <si>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</si>
  <si>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</si>
  <si>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</si>
  <si>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</si>
  <si>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</si>
  <si>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</si>
  <si>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</si>
  <si>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</si>
  <si>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</si>
  <si>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</si>
  <si>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</si>
  <si>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</si>
  <si>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</si>
  <si>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</si>
  <si>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</si>
  <si>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</si>
  <si>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</si>
  <si>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</si>
  <si>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</si>
  <si>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</si>
  <si>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</si>
  <si>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</si>
  <si>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</si>
  <si>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</si>
  <si>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</si>
  <si>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</si>
  <si>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</si>
  <si>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</si>
  <si>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</si>
  <si>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</si>
  <si>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</si>
  <si>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</si>
  <si>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</si>
  <si>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</si>
  <si>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</si>
  <si>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</si>
  <si>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</si>
  <si>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</si>
  <si>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</si>
  <si>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</si>
  <si>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</si>
  <si>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</si>
  <si>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</si>
  <si>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</si>
  <si>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</si>
  <si>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</si>
  <si>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</si>
  <si>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</si>
  <si>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</si>
  <si>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</si>
  <si>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</si>
  <si>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</si>
  <si>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</si>
  <si>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</si>
  <si>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</si>
  <si>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</si>
  <si>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</si>
  <si>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</si>
  <si>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</si>
  <si>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</si>
  <si>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</si>
  <si>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</si>
  <si>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</si>
  <si>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</si>
  <si>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</si>
  <si>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</si>
  <si>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</si>
  <si>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</si>
  <si>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</si>
  <si>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</si>
  <si>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</si>
  <si>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</si>
  <si>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</si>
  <si>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</si>
  <si>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</si>
  <si>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</si>
  <si>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</si>
  <si>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</si>
  <si>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</si>
  <si>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</si>
  <si>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</si>
  <si>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</si>
  <si>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</si>
  <si>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</si>
  <si>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</si>
  <si>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</si>
  <si>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</si>
  <si>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</si>
  <si>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</si>
  <si>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</si>
  <si>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</si>
  <si>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</si>
  <si>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</si>
  <si>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 xml:space="preserve">District's Capitalization Threshold </t>
  </si>
  <si>
    <r>
      <t>Cost of Superintendent &amp; Business Officer</t>
    </r>
    <r>
      <rPr>
        <vertAlign val="superscript"/>
        <sz val="8"/>
        <color rgb="FFFF0000"/>
        <rFont val="Arial"/>
        <family val="2"/>
      </rPr>
      <t>2</t>
    </r>
  </si>
  <si>
    <r>
      <t xml:space="preserve">amounts above $25,000 </t>
    </r>
    <r>
      <rPr>
        <b/>
        <vertAlign val="superscript"/>
        <sz val="8"/>
        <color rgb="FFFF0000"/>
        <rFont val="Arial"/>
        <family val="2"/>
      </rPr>
      <t>3</t>
    </r>
  </si>
  <si>
    <t>to the direct pool of expenditures.</t>
  </si>
  <si>
    <t>Cost of Food for Districts that Out-Source their Food Service</t>
  </si>
  <si>
    <t xml:space="preserve">and mananging all affiars of  the LEA. The activities of the Assistant Superintendent's office should be charge  here, unless the activities can be placed properly into a service area such as;  </t>
  </si>
  <si>
    <t xml:space="preserve">supplies and othercost of the Superintendent, Chief Business Officer, Superintendent's Secretary and Assistant Superintendent (where applicable) whose responsibilities is directing </t>
  </si>
  <si>
    <r>
      <t xml:space="preserve">2) </t>
    </r>
    <r>
      <rPr>
        <b/>
        <u/>
        <sz val="9"/>
        <rFont val="Arial"/>
        <family val="2"/>
      </rPr>
      <t>2321 Cost of Superintendent, Chief Business Officer &amp; Secretary and Assistant Superintendent</t>
    </r>
    <r>
      <rPr>
        <b/>
        <sz val="9"/>
        <rFont val="Arial"/>
        <family val="2"/>
      </rPr>
      <t xml:space="preserve"> </t>
    </r>
    <r>
      <rPr>
        <sz val="9"/>
        <rFont val="Arial"/>
        <family val="2"/>
      </rPr>
      <t>-</t>
    </r>
    <r>
      <rPr>
        <b/>
        <sz val="9"/>
        <color rgb="FFFF0000"/>
        <rFont val="Arial"/>
        <family val="2"/>
      </rPr>
      <t>(DISTRICTS OVER 2,499 ADM)</t>
    </r>
    <r>
      <rPr>
        <sz val="9"/>
        <rFont val="Arial"/>
        <family val="2"/>
      </rPr>
      <t xml:space="preserve"> Enter the cost which reflects the salary, benefits, fixed charges, </t>
    </r>
  </si>
  <si>
    <r>
      <t xml:space="preserve">3)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and transportation. </t>
    </r>
    <r>
      <rPr>
        <sz val="9"/>
        <color rgb="FFFF0000"/>
        <rFont val="Arial"/>
        <family val="2"/>
      </rPr>
      <t xml:space="preserve"> It does not include rentals, utilities or tuition.</t>
    </r>
  </si>
  <si>
    <t>Student Support Services Function #2100 Series</t>
  </si>
  <si>
    <t>Instruction Function #1000 Series</t>
  </si>
  <si>
    <t>Instructional Aid  Salaries Function 1000 Series, Objects 1X2</t>
  </si>
  <si>
    <t>Teacher Salaries Function 1000 Series, Objects 1X1 &amp; 1X3</t>
  </si>
  <si>
    <t>Instructional Staff Support Function #2200 Series</t>
  </si>
  <si>
    <t>School Admin Function #2400 Series</t>
  </si>
  <si>
    <t>Books &amp; Periodicals Functions 1000 &amp; 2200 Series, Object 640</t>
  </si>
  <si>
    <r>
      <t>2)</t>
    </r>
    <r>
      <rPr>
        <b/>
        <sz val="9"/>
        <rFont val="Arial"/>
        <family val="2"/>
      </rPr>
      <t xml:space="preserve"> </t>
    </r>
    <r>
      <rPr>
        <sz val="9"/>
        <rFont val="Arial"/>
        <family val="2"/>
      </rPr>
      <t>Use "Other District Expenditures" line to identify any out of district tuition expenses as well as expenses that are not allocatable to specific schools.</t>
    </r>
  </si>
  <si>
    <t>DOE 25  2023-2024</t>
  </si>
  <si>
    <t>TOTAL FUND EQUITY, JULY 1, 2023</t>
  </si>
  <si>
    <t xml:space="preserve">Total Fund Equity June 30, 2024**** </t>
  </si>
  <si>
    <t>For the Fiscal Year Ending on June 30, 2024</t>
  </si>
  <si>
    <t>For Fiscal Year Ending June 30, 2024</t>
  </si>
  <si>
    <t>2023-2024</t>
  </si>
  <si>
    <t>Fund Equity Beginning of Year July 1, 2023</t>
  </si>
  <si>
    <t>Fund Equity End of Year June 30, 2024</t>
  </si>
  <si>
    <t>4) The total tuition reported on page 22 of the DOE-25 for each grade span column (elementary, middle,high) must be reported on the corresponding grade span "Other District Expenditures" line on this page.</t>
  </si>
  <si>
    <t>2023-2024 Current Expenditure Per Pupil(in dollars)</t>
  </si>
  <si>
    <t>2023-24-Current Expenditure Per Pupil</t>
  </si>
  <si>
    <t>2023-24-Total Revenues</t>
  </si>
  <si>
    <t xml:space="preserve">  Special Program Tuition to Public Academies/JMA </t>
  </si>
  <si>
    <t xml:space="preserve">  Regular Program Tuition to Public Academies/JMA </t>
  </si>
  <si>
    <t>This section is now MANDATORY to comply with the Federal Office of Civil Rights.</t>
  </si>
  <si>
    <t>Out of District Tuition, Tranportation, Etc</t>
  </si>
  <si>
    <t>DOE-25 Sheet Elementary or Salaries Sheet Total</t>
  </si>
  <si>
    <t>DOE-25 Sheet Middle School Total</t>
  </si>
  <si>
    <t>DOE-25 Sheet High School Total</t>
  </si>
  <si>
    <r>
      <t xml:space="preserve">The Teacher &amp; Aid Salaries Amounts Below Tie out to all School Levels Combined      </t>
    </r>
    <r>
      <rPr>
        <b/>
        <u/>
        <sz val="10"/>
        <color rgb="FFFF0000"/>
        <rFont val="Arial"/>
        <family val="2"/>
      </rPr>
      <t xml:space="preserve"> (Do Salaries-Benefits Tab First)</t>
    </r>
  </si>
  <si>
    <r>
      <t>Teacher Salaries Function 1000 Series, Objects 1X1 &amp; 1X3 (</t>
    </r>
    <r>
      <rPr>
        <b/>
        <u/>
        <sz val="8"/>
        <rFont val="Arial"/>
        <family val="2"/>
      </rPr>
      <t>Excludes Aids &amp; Paras</t>
    </r>
    <r>
      <rPr>
        <b/>
        <sz val="8"/>
        <rFont val="Arial"/>
        <family val="2"/>
      </rPr>
      <t>)</t>
    </r>
  </si>
  <si>
    <r>
      <t>Instructional Aid  Salaries Function 1000 Series, Objects 1X2 (</t>
    </r>
    <r>
      <rPr>
        <b/>
        <u/>
        <sz val="8"/>
        <rFont val="Arial"/>
        <family val="2"/>
      </rPr>
      <t>Aides &amp; Paras</t>
    </r>
    <r>
      <rPr>
        <b/>
        <sz val="8"/>
        <rFont val="Arial"/>
        <family val="2"/>
      </rPr>
      <t>)</t>
    </r>
  </si>
  <si>
    <t>Bow Preschool</t>
  </si>
  <si>
    <t>Carpenter School</t>
  </si>
  <si>
    <t>Coastal Waters Chartered Public School</t>
  </si>
  <si>
    <t>Coastal Waters Chartered Public School (E)</t>
  </si>
  <si>
    <t>Frances G. Hopkins Elementary School at Horne Street</t>
  </si>
  <si>
    <t>Franklin Street School</t>
  </si>
  <si>
    <t>Heartwood Public Charter School</t>
  </si>
  <si>
    <t>Kearsarge Regional Preschool Bradford</t>
  </si>
  <si>
    <t>Kearsarge Regional Preschool New London</t>
  </si>
  <si>
    <t>Library Street School</t>
  </si>
  <si>
    <t>Lionheart Classical Academy Chartered Public School</t>
  </si>
  <si>
    <t>Milford Early Education Experiences</t>
  </si>
  <si>
    <t>Nashua Title I Preschool</t>
  </si>
  <si>
    <t>Nottingham SAU Office</t>
  </si>
  <si>
    <t>Raymond School District Preschool Program</t>
  </si>
  <si>
    <t>Robert Frost Charter School (E)</t>
  </si>
  <si>
    <t>Winnisquam Early Learning Center</t>
  </si>
  <si>
    <t>Benjamin Franklin Academy Chartered Public School</t>
  </si>
  <si>
    <t>Conant Middle High School (M)</t>
  </si>
  <si>
    <t>Epping Middle School</t>
  </si>
  <si>
    <t>Kreiva Academy Public Charter School</t>
  </si>
  <si>
    <t>Newport SOAR Middle School</t>
  </si>
  <si>
    <t xml:space="preserve">Arts Academy of New Hampshire Chartered Public High School </t>
  </si>
  <si>
    <t>Arts Academy of New Hampshire Chartered Public High School</t>
  </si>
  <si>
    <t>Brentwood Academy</t>
  </si>
  <si>
    <t>Coastal Waters Chartered Public School (H)</t>
  </si>
  <si>
    <t>Conant Middle High School (H)</t>
  </si>
  <si>
    <t xml:space="preserve">Epping High School </t>
  </si>
  <si>
    <t>Newport SOAR High School</t>
  </si>
  <si>
    <t>River View Chartered Public School</t>
  </si>
  <si>
    <t>Robert Frost Charter School (H)</t>
  </si>
  <si>
    <t>Benjamin Franklin Academy</t>
  </si>
  <si>
    <t>Benjamin Franklin Academy (M)</t>
  </si>
  <si>
    <t>Benjamin Franklin Academy (H)</t>
  </si>
  <si>
    <t xml:space="preserve">Benjamin Franklin Academy </t>
  </si>
  <si>
    <t>IDEA in our finance system is reported in General fund 001 not special revenue</t>
  </si>
  <si>
    <t>Audit adjustments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</si>
</sst>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5"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vertAlign val="superscript"/>
      <sz val="8"/>
      <color rgb="FFFF0000"/>
      <name val="Arial"/>
      <family val="2"/>
    </font>
    <font>
      <b/>
      <vertAlign val="superscript"/>
      <sz val="8"/>
      <color rgb="FFFF0000"/>
      <name val="Arial"/>
      <family val="2"/>
    </font>
    <font>
      <b/>
      <sz val="9"/>
      <color rgb="FFFF0000"/>
      <name val="Arial"/>
      <family val="2"/>
    </font>
    <font>
      <sz val="10"/>
      <name val="Arial"/>
      <family val="2"/>
    </font>
    <font>
      <b/>
      <sz val="8"/>
      <color theme="1"/>
      <name val="Arial"/>
      <family val="2"/>
    </font>
    <font>
      <b/>
      <sz val="14"/>
      <color rgb="FFFF0000"/>
      <name val="Arial"/>
      <family val="2"/>
    </font>
    <font>
      <b/>
      <u/>
      <sz val="10"/>
      <color rgb="FFFF0000"/>
      <name val="Arial"/>
      <family val="2"/>
    </font>
    <font>
      <b/>
      <u/>
      <sz val="8"/>
      <name val="Arial"/>
      <family val="2"/>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right style="medium">
        <color rgb="FFFFFFFF"/>
      </right>
      <top/>
      <bottom/>
      <diagonal/>
    </border>
  </borders>
  <cellStyleXfs count="45">
    <xf numFmtId="0" fontId="0" fillId="0" borderId="0"/>
    <xf numFmtId="0" fontId="48" fillId="0" borderId="28" applyNumberFormat="0" applyFill="0" applyAlignment="0" applyProtection="0"/>
    <xf numFmtId="0" fontId="49" fillId="0" borderId="29" applyNumberFormat="0" applyFill="0" applyAlignment="0" applyProtection="0"/>
    <xf numFmtId="0" fontId="50" fillId="0" borderId="30" applyNumberFormat="0" applyFill="0" applyAlignment="0" applyProtection="0"/>
    <xf numFmtId="0" fontId="50" fillId="0" borderId="0" applyNumberFormat="0" applyFill="0" applyBorder="0" applyAlignment="0" applyProtection="0"/>
    <xf numFmtId="0" fontId="51" fillId="9" borderId="0" applyNumberFormat="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31" applyNumberFormat="0" applyAlignment="0" applyProtection="0"/>
    <xf numFmtId="0" fontId="55" fillId="13" borderId="32" applyNumberFormat="0" applyAlignment="0" applyProtection="0"/>
    <xf numFmtId="0" fontId="56" fillId="13" borderId="31" applyNumberFormat="0" applyAlignment="0" applyProtection="0"/>
    <xf numFmtId="0" fontId="57" fillId="0" borderId="33" applyNumberFormat="0" applyFill="0" applyAlignment="0" applyProtection="0"/>
    <xf numFmtId="0" fontId="58" fillId="14" borderId="34" applyNumberFormat="0" applyAlignment="0" applyProtection="0"/>
    <xf numFmtId="0" fontId="59" fillId="0" borderId="0" applyNumberFormat="0" applyFill="0" applyBorder="0" applyAlignment="0" applyProtection="0"/>
    <xf numFmtId="0" fontId="60" fillId="0" borderId="0" applyNumberFormat="0" applyFill="0" applyBorder="0" applyAlignment="0" applyProtection="0"/>
    <xf numFmtId="0" fontId="61" fillId="0" borderId="36" applyNumberFormat="0" applyFill="0" applyAlignment="0" applyProtection="0"/>
    <xf numFmtId="0" fontId="62"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2" fillId="19" borderId="0" applyNumberFormat="0" applyBorder="0" applyAlignment="0" applyProtection="0"/>
    <xf numFmtId="0" fontId="62"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2" fillId="23" borderId="0" applyNumberFormat="0" applyBorder="0" applyAlignment="0" applyProtection="0"/>
    <xf numFmtId="0" fontId="62"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2" fillId="27" borderId="0" applyNumberFormat="0" applyBorder="0" applyAlignment="0" applyProtection="0"/>
    <xf numFmtId="0" fontId="62"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2" fillId="31" borderId="0" applyNumberFormat="0" applyBorder="0" applyAlignment="0" applyProtection="0"/>
    <xf numFmtId="0" fontId="62"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2" fillId="35" borderId="0" applyNumberFormat="0" applyBorder="0" applyAlignment="0" applyProtection="0"/>
    <xf numFmtId="0" fontId="62"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2" fillId="39" borderId="0" applyNumberFormat="0" applyBorder="0" applyAlignment="0" applyProtection="0"/>
    <xf numFmtId="0" fontId="5" fillId="0" borderId="0"/>
    <xf numFmtId="0" fontId="63" fillId="0" borderId="0" applyNumberFormat="0" applyFill="0" applyBorder="0" applyAlignment="0" applyProtection="0"/>
    <xf numFmtId="0" fontId="5" fillId="15" borderId="35" applyNumberFormat="0" applyFont="0" applyAlignment="0" applyProtection="0"/>
    <xf numFmtId="0" fontId="4" fillId="0" borderId="0"/>
    <xf numFmtId="0" fontId="80" fillId="0" borderId="0"/>
  </cellStyleXfs>
  <cellXfs count="346">
    <xf numFmtId="0" fontId="0" fillId="0" borderId="0" xfId="0"/>
    <xf numFmtId="164" fontId="6" fillId="0" borderId="0" xfId="0" applyNumberFormat="1" applyFont="1" applyAlignment="1">
      <alignment horizontal="left"/>
    </xf>
    <xf numFmtId="165" fontId="6" fillId="0" borderId="0" xfId="0" applyNumberFormat="1" applyFont="1" applyAlignment="1">
      <alignment horizontal="left"/>
    </xf>
    <xf numFmtId="0" fontId="6" fillId="0" borderId="0" xfId="0" applyFont="1"/>
    <xf numFmtId="0" fontId="6" fillId="0" borderId="0" xfId="0" applyFont="1" applyProtection="1">
      <protection locked="0"/>
    </xf>
    <xf numFmtId="164" fontId="6" fillId="0" borderId="0" xfId="0" applyNumberFormat="1" applyFont="1" applyAlignment="1">
      <alignment horizontal="center"/>
    </xf>
    <xf numFmtId="165" fontId="6" fillId="0" borderId="0" xfId="0" applyNumberFormat="1" applyFont="1" applyAlignment="1">
      <alignment horizontal="center"/>
    </xf>
    <xf numFmtId="165" fontId="6" fillId="0" borderId="0" xfId="0" applyNumberFormat="1" applyFont="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lignment horizontal="left"/>
    </xf>
    <xf numFmtId="40" fontId="6" fillId="0" borderId="0" xfId="0" quotePrefix="1" applyNumberFormat="1" applyFont="1" applyAlignment="1">
      <alignment horizontal="center"/>
    </xf>
    <xf numFmtId="40" fontId="6" fillId="0" borderId="0" xfId="0" applyNumberFormat="1" applyFont="1" applyAlignment="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0" fillId="0" borderId="0" xfId="0" applyNumberFormat="1"/>
    <xf numFmtId="0" fontId="0" fillId="0" borderId="0" xfId="0" applyProtection="1">
      <protection locked="0"/>
    </xf>
    <xf numFmtId="40" fontId="8" fillId="0" borderId="0" xfId="0" applyNumberFormat="1" applyFont="1"/>
    <xf numFmtId="0" fontId="6" fillId="0" borderId="0" xfId="0" applyFont="1" applyAlignment="1">
      <alignment horizontal="center"/>
    </xf>
    <xf numFmtId="40" fontId="6" fillId="2" borderId="0" xfId="0" applyNumberFormat="1" applyFont="1" applyFill="1" applyAlignment="1">
      <alignment horizontal="left"/>
    </xf>
    <xf numFmtId="40" fontId="10" fillId="0" borderId="0" xfId="0" applyNumberFormat="1" applyFont="1" applyAlignment="1">
      <alignment horizontal="center"/>
    </xf>
    <xf numFmtId="40" fontId="10" fillId="0" borderId="0" xfId="0" applyNumberFormat="1" applyFont="1" applyAlignment="1">
      <alignment horizontal="left"/>
    </xf>
    <xf numFmtId="0" fontId="11" fillId="0" borderId="0" xfId="0" applyFont="1"/>
    <xf numFmtId="0" fontId="12" fillId="0" borderId="0" xfId="0" applyFont="1"/>
    <xf numFmtId="164" fontId="10" fillId="0" borderId="0" xfId="0" applyNumberFormat="1" applyFont="1" applyAlignment="1">
      <alignment horizontal="left"/>
    </xf>
    <xf numFmtId="164" fontId="11" fillId="0" borderId="0" xfId="0" applyNumberFormat="1" applyFont="1" applyAlignment="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4" fontId="10" fillId="0" borderId="3" xfId="0" applyNumberFormat="1" applyFont="1" applyBorder="1" applyAlignment="1">
      <alignment horizontal="left"/>
    </xf>
    <xf numFmtId="165" fontId="6" fillId="0" borderId="3" xfId="0" applyNumberFormat="1" applyFont="1" applyBorder="1" applyAlignment="1">
      <alignment horizontal="left"/>
    </xf>
    <xf numFmtId="165" fontId="6" fillId="0" borderId="3" xfId="0" applyNumberFormat="1" applyFont="1" applyBorder="1" applyAlignment="1">
      <alignment horizontal="center"/>
    </xf>
    <xf numFmtId="40" fontId="6" fillId="0" borderId="3" xfId="0" applyNumberFormat="1" applyFont="1" applyBorder="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lignment horizontal="left"/>
    </xf>
    <xf numFmtId="0" fontId="10" fillId="0" borderId="3" xfId="0" applyFont="1" applyBorder="1"/>
    <xf numFmtId="165" fontId="6" fillId="0" borderId="4" xfId="0" applyNumberFormat="1" applyFont="1" applyBorder="1" applyAlignment="1">
      <alignment horizontal="left"/>
    </xf>
    <xf numFmtId="40" fontId="6" fillId="2" borderId="4" xfId="0" applyNumberFormat="1" applyFont="1" applyFill="1" applyBorder="1" applyAlignment="1">
      <alignment horizontal="left"/>
    </xf>
    <xf numFmtId="164" fontId="10" fillId="0" borderId="4" xfId="0" applyNumberFormat="1" applyFont="1" applyBorder="1" applyAlignment="1">
      <alignment horizontal="left"/>
    </xf>
    <xf numFmtId="165" fontId="6" fillId="0" borderId="4" xfId="0" applyNumberFormat="1" applyFont="1" applyBorder="1" applyAlignment="1">
      <alignment horizontal="center"/>
    </xf>
    <xf numFmtId="49" fontId="6" fillId="0" borderId="0" xfId="0" applyNumberFormat="1" applyFont="1" applyAlignment="1">
      <alignment horizontal="center"/>
    </xf>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lignment horizontal="left"/>
    </xf>
    <xf numFmtId="40" fontId="7" fillId="0" borderId="6"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Protection="1">
      <protection locked="0"/>
    </xf>
    <xf numFmtId="165" fontId="6" fillId="0" borderId="6" xfId="0" applyNumberFormat="1" applyFont="1" applyBorder="1" applyAlignment="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lignment horizontal="left"/>
    </xf>
    <xf numFmtId="165" fontId="10" fillId="0" borderId="0" xfId="0" applyNumberFormat="1" applyFont="1" applyAlignment="1">
      <alignment horizontal="left"/>
    </xf>
    <xf numFmtId="49" fontId="10" fillId="0" borderId="0" xfId="0" applyNumberFormat="1" applyFont="1" applyAlignment="1">
      <alignment horizontal="left"/>
    </xf>
    <xf numFmtId="49" fontId="6" fillId="0" borderId="0" xfId="0" applyNumberFormat="1" applyFont="1" applyAlignment="1">
      <alignment horizontal="left"/>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Alignment="1">
      <alignment horizontal="right"/>
    </xf>
    <xf numFmtId="40" fontId="8" fillId="0" borderId="3" xfId="0" applyNumberFormat="1" applyFont="1" applyBorder="1" applyAlignment="1">
      <alignment horizontal="right"/>
    </xf>
    <xf numFmtId="0" fontId="15" fillId="0" borderId="0" xfId="0" applyFont="1"/>
    <xf numFmtId="0" fontId="17" fillId="0" borderId="0" xfId="0" applyFont="1"/>
    <xf numFmtId="40" fontId="7" fillId="0" borderId="0" xfId="0" applyNumberFormat="1" applyFont="1"/>
    <xf numFmtId="40" fontId="18" fillId="0" borderId="0" xfId="0" applyNumberFormat="1" applyFont="1"/>
    <xf numFmtId="40" fontId="18" fillId="0" borderId="3" xfId="0" applyNumberFormat="1" applyFont="1" applyBorder="1"/>
    <xf numFmtId="40" fontId="18" fillId="0" borderId="0" xfId="0" applyNumberFormat="1" applyFont="1" applyAlignment="1">
      <alignment horizontal="center"/>
    </xf>
    <xf numFmtId="40" fontId="8" fillId="0" borderId="0" xfId="0" applyNumberFormat="1" applyFont="1" applyAlignment="1">
      <alignment horizontal="center"/>
    </xf>
    <xf numFmtId="0" fontId="8" fillId="0" borderId="0" xfId="0" applyFont="1" applyAlignment="1">
      <alignment horizontal="center" vertical="justify"/>
    </xf>
    <xf numFmtId="40" fontId="8" fillId="0" borderId="0" xfId="0" applyNumberFormat="1" applyFont="1" applyAlignment="1">
      <alignment horizontal="center" vertical="justify"/>
    </xf>
    <xf numFmtId="40" fontId="8" fillId="0" borderId="0" xfId="0" applyNumberFormat="1" applyFont="1" applyAlignment="1">
      <alignment horizontal="right" vertical="justify"/>
    </xf>
    <xf numFmtId="40" fontId="8" fillId="0" borderId="3" xfId="0" applyNumberFormat="1" applyFont="1" applyBorder="1" applyAlignment="1">
      <alignment horizontal="right" vertical="justify"/>
    </xf>
    <xf numFmtId="49" fontId="6" fillId="0" borderId="0" xfId="0" applyNumberFormat="1" applyFont="1" applyAlignment="1" applyProtection="1">
      <alignment horizontal="left"/>
      <protection locked="0"/>
    </xf>
    <xf numFmtId="40" fontId="18" fillId="0" borderId="0" xfId="0" applyNumberFormat="1" applyFont="1" applyAlignment="1">
      <alignment horizontal="center" vertical="justify"/>
    </xf>
    <xf numFmtId="40" fontId="14" fillId="0" borderId="0" xfId="0" applyNumberFormat="1" applyFont="1" applyAlignment="1">
      <alignment horizontal="center"/>
    </xf>
    <xf numFmtId="0" fontId="6" fillId="0" borderId="0" xfId="0" quotePrefix="1" applyFont="1" applyAlignment="1">
      <alignment horizontal="left"/>
    </xf>
    <xf numFmtId="14" fontId="6" fillId="0" borderId="0" xfId="0" quotePrefix="1" applyNumberFormat="1" applyFont="1" applyAlignment="1">
      <alignment horizontal="left"/>
    </xf>
    <xf numFmtId="40" fontId="8" fillId="0" borderId="0" xfId="0" quotePrefix="1" applyNumberFormat="1" applyFont="1" applyAlignment="1">
      <alignment horizontal="left" vertical="justify"/>
    </xf>
    <xf numFmtId="40" fontId="18" fillId="0" borderId="0" xfId="0" applyNumberFormat="1" applyFont="1" applyAlignment="1">
      <alignment horizontal="centerContinuous" vertical="justify"/>
    </xf>
    <xf numFmtId="40" fontId="18" fillId="0" borderId="0" xfId="0" applyNumberFormat="1" applyFont="1" applyAlignment="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40" fontId="19" fillId="0" borderId="0" xfId="0" applyNumberFormat="1" applyFont="1"/>
    <xf numFmtId="40" fontId="8" fillId="0" borderId="4" xfId="0" applyNumberFormat="1" applyFont="1" applyBorder="1"/>
    <xf numFmtId="40" fontId="20" fillId="0" borderId="4" xfId="0" applyNumberFormat="1" applyFont="1" applyBorder="1"/>
    <xf numFmtId="0" fontId="6" fillId="0" borderId="0" xfId="0" applyFont="1" applyAlignment="1">
      <alignment horizontal="left"/>
    </xf>
    <xf numFmtId="2" fontId="0" fillId="0" borderId="0" xfId="0" applyNumberFormat="1"/>
    <xf numFmtId="40" fontId="8" fillId="0" borderId="3" xfId="0" applyNumberFormat="1" applyFont="1" applyBorder="1"/>
    <xf numFmtId="40" fontId="0" fillId="0" borderId="7" xfId="0" applyNumberFormat="1" applyBorder="1"/>
    <xf numFmtId="14" fontId="6" fillId="0" borderId="0" xfId="0" applyNumberFormat="1" applyFont="1" applyAlignment="1">
      <alignment horizontal="left"/>
    </xf>
    <xf numFmtId="40" fontId="8" fillId="0" borderId="0" xfId="0" applyNumberFormat="1" applyFont="1" applyAlignment="1">
      <alignment horizontal="left" vertical="justify"/>
    </xf>
    <xf numFmtId="40" fontId="0" fillId="0" borderId="0" xfId="0" applyNumberFormat="1" applyProtection="1">
      <protection locked="0"/>
    </xf>
    <xf numFmtId="0" fontId="7" fillId="0" borderId="0" xfId="0" applyFont="1" applyProtection="1">
      <protection locked="0"/>
    </xf>
    <xf numFmtId="40" fontId="8" fillId="0" borderId="0" xfId="0" applyNumberFormat="1" applyFont="1" applyAlignment="1">
      <alignment horizontal="left"/>
    </xf>
    <xf numFmtId="40" fontId="18" fillId="0" borderId="0" xfId="0" quotePrefix="1" applyNumberFormat="1" applyFont="1" applyAlignment="1">
      <alignment horizontal="left"/>
    </xf>
    <xf numFmtId="0" fontId="8" fillId="0" borderId="3" xfId="0" applyFont="1" applyBorder="1" applyAlignment="1">
      <alignment horizontal="center" vertical="justify"/>
    </xf>
    <xf numFmtId="40" fontId="8" fillId="0" borderId="3" xfId="0" applyNumberFormat="1" applyFont="1" applyBorder="1" applyAlignment="1">
      <alignment horizontal="center" vertical="justify"/>
    </xf>
    <xf numFmtId="40" fontId="21" fillId="0" borderId="0" xfId="0" quotePrefix="1" applyNumberFormat="1" applyFont="1" applyAlignment="1">
      <alignment horizontal="center" vertical="justify"/>
    </xf>
    <xf numFmtId="40" fontId="21" fillId="0" borderId="0" xfId="0" applyNumberFormat="1" applyFont="1" applyAlignment="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lignment horizontal="left"/>
    </xf>
    <xf numFmtId="49" fontId="24" fillId="0" borderId="0" xfId="0" applyNumberFormat="1" applyFont="1" applyAlignment="1">
      <alignment horizontal="left"/>
    </xf>
    <xf numFmtId="40" fontId="21" fillId="0" borderId="0" xfId="0" applyNumberFormat="1" applyFont="1"/>
    <xf numFmtId="0" fontId="25" fillId="0" borderId="0" xfId="0" applyFont="1" applyAlignment="1">
      <alignment horizontal="center"/>
    </xf>
    <xf numFmtId="14" fontId="25" fillId="0" borderId="0" xfId="0" quotePrefix="1" applyNumberFormat="1" applyFont="1" applyAlignment="1">
      <alignment horizontal="left"/>
    </xf>
    <xf numFmtId="40" fontId="21" fillId="0" borderId="0" xfId="0" quotePrefix="1" applyNumberFormat="1" applyFont="1" applyAlignment="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lignment horizontal="left"/>
    </xf>
    <xf numFmtId="40" fontId="23" fillId="0" borderId="3" xfId="0" applyNumberFormat="1" applyFont="1" applyBorder="1"/>
    <xf numFmtId="40" fontId="18" fillId="0" borderId="0" xfId="0" quotePrefix="1" applyNumberFormat="1" applyFont="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Alignment="1">
      <alignment horizontal="left"/>
    </xf>
    <xf numFmtId="40" fontId="8" fillId="0" borderId="0" xfId="0" quotePrefix="1" applyNumberFormat="1" applyFont="1" applyAlignment="1">
      <alignment horizontal="left"/>
    </xf>
    <xf numFmtId="0" fontId="6" fillId="0" borderId="4" xfId="0" applyFont="1" applyBorder="1" applyAlignment="1">
      <alignment horizontal="left"/>
    </xf>
    <xf numFmtId="40" fontId="8" fillId="0" borderId="4" xfId="0" applyNumberFormat="1" applyFont="1" applyBorder="1" applyAlignment="1">
      <alignment horizontal="right"/>
    </xf>
    <xf numFmtId="164" fontId="25" fillId="0" borderId="0" xfId="0" applyNumberFormat="1" applyFont="1" applyAlignment="1">
      <alignment horizontal="left"/>
    </xf>
    <xf numFmtId="40" fontId="25" fillId="0" borderId="0" xfId="0" applyNumberFormat="1" applyFont="1"/>
    <xf numFmtId="40" fontId="8" fillId="0" borderId="5" xfId="0" applyNumberFormat="1" applyFont="1" applyBorder="1"/>
    <xf numFmtId="0" fontId="6" fillId="0" borderId="5" xfId="0" applyFont="1" applyBorder="1" applyAlignment="1">
      <alignment horizontal="center"/>
    </xf>
    <xf numFmtId="165" fontId="6" fillId="0" borderId="5" xfId="0" applyNumberFormat="1" applyFont="1" applyBorder="1" applyAlignment="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1" fontId="0" fillId="0" borderId="0" xfId="0" applyNumberFormat="1" applyAlignment="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lignment horizontal="left"/>
    </xf>
    <xf numFmtId="40" fontId="6" fillId="4" borderId="0" xfId="0" applyNumberFormat="1" applyFont="1" applyFill="1" applyAlignment="1">
      <alignment horizontal="center"/>
    </xf>
    <xf numFmtId="40" fontId="25" fillId="0" borderId="0" xfId="0" applyNumberFormat="1" applyFont="1" applyAlignment="1">
      <alignment horizontal="center"/>
    </xf>
    <xf numFmtId="0" fontId="10" fillId="0" borderId="0" xfId="0" applyFont="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0" fontId="36" fillId="0" borderId="0" xfId="0" applyFont="1" applyAlignment="1">
      <alignment horizontal="center"/>
    </xf>
    <xf numFmtId="164" fontId="28" fillId="0" borderId="0" xfId="0" applyNumberFormat="1" applyFont="1" applyAlignment="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8" fillId="0" borderId="0" xfId="0" applyFont="1"/>
    <xf numFmtId="0" fontId="30" fillId="0" borderId="0" xfId="0" applyFont="1"/>
    <xf numFmtId="0" fontId="12" fillId="0" borderId="0" xfId="0" applyFont="1" applyAlignment="1">
      <alignment horizontal="center"/>
    </xf>
    <xf numFmtId="0" fontId="0" fillId="0" borderId="15" xfId="0"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0" fillId="0" borderId="0" xfId="0" applyFont="1" applyAlignment="1">
      <alignment horizontal="center"/>
    </xf>
    <xf numFmtId="40" fontId="40" fillId="6" borderId="0" xfId="0" applyNumberFormat="1" applyFont="1" applyFill="1"/>
    <xf numFmtId="0" fontId="42" fillId="0" borderId="0" xfId="0" applyFont="1"/>
    <xf numFmtId="0" fontId="43"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xf numFmtId="0" fontId="32" fillId="8" borderId="0" xfId="0" applyFont="1" applyFill="1"/>
    <xf numFmtId="0" fontId="0" fillId="8" borderId="0" xfId="0" applyFill="1"/>
    <xf numFmtId="0" fontId="14" fillId="8" borderId="0" xfId="0" applyFont="1" applyFill="1"/>
    <xf numFmtId="0" fontId="14" fillId="8" borderId="26" xfId="0" applyFont="1" applyFill="1" applyBorder="1" applyAlignment="1">
      <alignment horizontal="center"/>
    </xf>
    <xf numFmtId="0" fontId="14" fillId="8" borderId="26" xfId="0" applyFont="1" applyFill="1" applyBorder="1" applyAlignment="1">
      <alignment horizontal="center" wrapText="1"/>
    </xf>
    <xf numFmtId="0" fontId="14" fillId="8" borderId="26" xfId="0" applyFont="1" applyFill="1" applyBorder="1"/>
    <xf numFmtId="2" fontId="14" fillId="8" borderId="27" xfId="0" applyNumberFormat="1" applyFont="1" applyFill="1" applyBorder="1"/>
    <xf numFmtId="40" fontId="0" fillId="8" borderId="27" xfId="0" applyNumberFormat="1" applyFill="1" applyBorder="1" applyAlignment="1">
      <alignment horizontal="center"/>
    </xf>
    <xf numFmtId="0" fontId="0" fillId="8" borderId="0" xfId="0" applyFill="1" applyAlignment="1">
      <alignment horizontal="center"/>
    </xf>
    <xf numFmtId="0" fontId="0" fillId="7" borderId="0" xfId="0" applyFill="1" applyAlignment="1">
      <alignment horizontal="center"/>
    </xf>
    <xf numFmtId="43" fontId="0" fillId="8" borderId="0" xfId="0" applyNumberFormat="1" applyFill="1"/>
    <xf numFmtId="2" fontId="0" fillId="8" borderId="27" xfId="0" applyNumberFormat="1" applyFill="1" applyBorder="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65" fillId="0" borderId="0" xfId="0" applyFont="1"/>
    <xf numFmtId="0" fontId="32" fillId="0" borderId="0" xfId="0" applyFont="1"/>
    <xf numFmtId="0" fontId="64" fillId="0" borderId="0" xfId="0" applyFont="1"/>
    <xf numFmtId="4" fontId="65" fillId="0" borderId="0" xfId="0" applyNumberFormat="1" applyFont="1"/>
    <xf numFmtId="4" fontId="65" fillId="0" borderId="5" xfId="0" applyNumberFormat="1" applyFont="1" applyBorder="1"/>
    <xf numFmtId="0" fontId="65" fillId="0" borderId="0" xfId="0" applyFont="1" applyAlignment="1">
      <alignment horizontal="center"/>
    </xf>
    <xf numFmtId="0" fontId="67" fillId="0" borderId="0" xfId="0" applyFont="1" applyAlignment="1">
      <alignment horizontal="right"/>
    </xf>
    <xf numFmtId="0" fontId="65" fillId="40" borderId="0" xfId="0" applyFont="1" applyFill="1" applyAlignment="1" applyProtection="1">
      <alignment horizontal="center"/>
      <protection locked="0"/>
    </xf>
    <xf numFmtId="40" fontId="65" fillId="0" borderId="3" xfId="0" applyNumberFormat="1" applyFont="1" applyBorder="1"/>
    <xf numFmtId="0" fontId="66" fillId="0" borderId="0" xfId="0" applyFont="1"/>
    <xf numFmtId="165" fontId="68" fillId="0" borderId="0" xfId="0" applyNumberFormat="1" applyFont="1" applyAlignment="1">
      <alignment horizontal="center"/>
    </xf>
    <xf numFmtId="165" fontId="68" fillId="0" borderId="0" xfId="0" applyNumberFormat="1" applyFont="1" applyAlignment="1">
      <alignment horizontal="left"/>
    </xf>
    <xf numFmtId="164" fontId="39" fillId="0" borderId="0" xfId="0" applyNumberFormat="1" applyFont="1" applyAlignment="1">
      <alignment horizontal="left"/>
    </xf>
    <xf numFmtId="4" fontId="0" fillId="40" borderId="0" xfId="0" applyNumberFormat="1" applyFill="1" applyProtection="1">
      <protection locked="0"/>
    </xf>
    <xf numFmtId="0" fontId="0" fillId="40" borderId="0" xfId="0" applyFill="1" applyProtection="1">
      <protection locked="0"/>
    </xf>
    <xf numFmtId="40" fontId="7" fillId="7" borderId="0" xfId="0" applyNumberFormat="1" applyFont="1" applyFill="1"/>
    <xf numFmtId="49" fontId="39" fillId="0" borderId="0" xfId="0" applyNumberFormat="1" applyFont="1"/>
    <xf numFmtId="0" fontId="40" fillId="0" borderId="0" xfId="0" applyFont="1"/>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39" fillId="0" borderId="0" xfId="0" quotePrefix="1" applyNumberFormat="1" applyFont="1" applyAlignment="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xf numFmtId="0" fontId="3" fillId="0" borderId="0" xfId="43" applyFont="1"/>
    <xf numFmtId="0" fontId="59" fillId="0" borderId="0" xfId="43" applyFont="1" applyAlignment="1">
      <alignment horizontal="center" vertical="center"/>
    </xf>
    <xf numFmtId="0" fontId="59" fillId="0" borderId="0" xfId="43" applyFont="1" applyAlignment="1">
      <alignment horizontal="left" vertical="center"/>
    </xf>
    <xf numFmtId="0" fontId="69" fillId="0" borderId="0" xfId="43" applyFont="1"/>
    <xf numFmtId="0" fontId="61" fillId="43" borderId="0" xfId="43" applyFont="1" applyFill="1"/>
    <xf numFmtId="0" fontId="61"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xf numFmtId="0" fontId="1" fillId="43" borderId="0" xfId="43" applyFont="1" applyFill="1"/>
    <xf numFmtId="49" fontId="6" fillId="43" borderId="0" xfId="0" applyNumberFormat="1" applyFont="1" applyFill="1" applyProtection="1">
      <protection locked="0"/>
    </xf>
    <xf numFmtId="0" fontId="73" fillId="0" borderId="40" xfId="0" applyFont="1" applyBorder="1" applyAlignment="1" applyProtection="1">
      <alignment vertical="top" wrapText="1" readingOrder="1"/>
      <protection locked="0"/>
    </xf>
    <xf numFmtId="0" fontId="74" fillId="45" borderId="41" xfId="0" applyFont="1" applyFill="1" applyBorder="1" applyAlignment="1" applyProtection="1">
      <alignment horizontal="right" vertical="top" wrapText="1" readingOrder="1"/>
      <protection locked="0"/>
    </xf>
    <xf numFmtId="0" fontId="74" fillId="45" borderId="41" xfId="0" applyFont="1" applyFill="1" applyBorder="1" applyAlignment="1" applyProtection="1">
      <alignment vertical="top" wrapText="1" readingOrder="1"/>
      <protection locked="0"/>
    </xf>
    <xf numFmtId="0" fontId="75" fillId="0" borderId="41" xfId="0" applyFont="1" applyBorder="1" applyAlignment="1" applyProtection="1">
      <alignment vertical="top" wrapText="1" readingOrder="1"/>
      <protection locked="0"/>
    </xf>
    <xf numFmtId="0" fontId="74" fillId="45" borderId="0" xfId="0" applyFont="1" applyFill="1" applyAlignment="1" applyProtection="1">
      <alignment vertical="top" wrapText="1" readingOrder="1"/>
      <protection locked="0"/>
    </xf>
    <xf numFmtId="0" fontId="75" fillId="0" borderId="0" xfId="0" applyFont="1" applyAlignment="1" applyProtection="1">
      <alignment vertical="top" wrapText="1" readingOrder="1"/>
      <protection locked="0"/>
    </xf>
    <xf numFmtId="0" fontId="73" fillId="0" borderId="0" xfId="0" applyFont="1" applyAlignment="1" applyProtection="1">
      <alignment vertical="top" wrapText="1" readingOrder="1"/>
      <protection locked="0"/>
    </xf>
    <xf numFmtId="0" fontId="0" fillId="0" borderId="40" xfId="0" applyBorder="1"/>
    <xf numFmtId="0" fontId="72" fillId="43" borderId="0" xfId="0" applyFont="1" applyFill="1"/>
    <xf numFmtId="0" fontId="35" fillId="43" borderId="0" xfId="0" applyFont="1" applyFill="1"/>
    <xf numFmtId="0" fontId="0" fillId="43" borderId="0" xfId="0" applyFill="1"/>
    <xf numFmtId="0" fontId="72" fillId="46" borderId="0" xfId="0" applyFont="1" applyFill="1"/>
    <xf numFmtId="0" fontId="35" fillId="46" borderId="0" xfId="0" applyFont="1" applyFill="1"/>
    <xf numFmtId="0" fontId="0" fillId="46" borderId="0" xfId="0" applyFill="1"/>
    <xf numFmtId="0" fontId="72" fillId="47" borderId="0" xfId="0" applyFont="1" applyFill="1"/>
    <xf numFmtId="0" fontId="35" fillId="47" borderId="0" xfId="0" applyFont="1" applyFill="1"/>
    <xf numFmtId="0" fontId="0" fillId="47" borderId="0" xfId="0" applyFill="1"/>
    <xf numFmtId="0" fontId="76" fillId="0" borderId="0" xfId="43" applyFont="1" applyAlignment="1">
      <alignment horizontal="center" vertical="center"/>
    </xf>
    <xf numFmtId="0" fontId="14" fillId="40" borderId="42" xfId="0" applyFont="1" applyFill="1" applyBorder="1"/>
    <xf numFmtId="0" fontId="0" fillId="40" borderId="7" xfId="0" applyFill="1" applyBorder="1"/>
    <xf numFmtId="0" fontId="0" fillId="40" borderId="43" xfId="0" applyFill="1" applyBorder="1"/>
    <xf numFmtId="0" fontId="0" fillId="41" borderId="44" xfId="0" applyFill="1" applyBorder="1" applyProtection="1">
      <protection locked="0"/>
    </xf>
    <xf numFmtId="0" fontId="0" fillId="0" borderId="45" xfId="0" applyBorder="1"/>
    <xf numFmtId="0" fontId="0" fillId="0" borderId="44" xfId="0" applyBorder="1"/>
    <xf numFmtId="0" fontId="14" fillId="40" borderId="44" xfId="0" applyFont="1" applyFill="1" applyBorder="1"/>
    <xf numFmtId="0" fontId="0" fillId="40" borderId="0" xfId="0" applyFill="1"/>
    <xf numFmtId="0" fontId="0" fillId="0" borderId="46" xfId="0" applyBorder="1"/>
    <xf numFmtId="0" fontId="15" fillId="41" borderId="39" xfId="0" applyFont="1" applyFill="1" applyBorder="1" applyProtection="1">
      <protection locked="0"/>
    </xf>
    <xf numFmtId="0" fontId="40" fillId="0" borderId="2" xfId="0" applyFont="1" applyBorder="1"/>
    <xf numFmtId="0" fontId="40" fillId="7" borderId="47" xfId="0" applyFont="1" applyFill="1" applyBorder="1" applyAlignment="1">
      <alignment horizontal="center" wrapText="1"/>
    </xf>
    <xf numFmtId="0" fontId="14" fillId="8" borderId="0" xfId="0" applyFont="1" applyFill="1" applyAlignment="1">
      <alignment wrapText="1"/>
    </xf>
    <xf numFmtId="0" fontId="0" fillId="0" borderId="0" xfId="0" applyAlignment="1" applyProtection="1">
      <alignment wrapText="1"/>
      <protection locked="0"/>
    </xf>
    <xf numFmtId="40" fontId="14" fillId="0" borderId="0" xfId="0" applyNumberFormat="1" applyFont="1"/>
    <xf numFmtId="4" fontId="0" fillId="0" borderId="0" xfId="0" applyNumberFormat="1"/>
    <xf numFmtId="39" fontId="81" fillId="0" borderId="0" xfId="0" applyNumberFormat="1" applyFont="1"/>
    <xf numFmtId="40" fontId="8" fillId="0" borderId="6" xfId="0" applyNumberFormat="1" applyFont="1" applyBorder="1"/>
    <xf numFmtId="40" fontId="8" fillId="0" borderId="6" xfId="0" applyNumberFormat="1" applyFont="1" applyBorder="1" applyAlignment="1">
      <alignment horizontal="right"/>
    </xf>
    <xf numFmtId="0" fontId="47" fillId="0" borderId="0" xfId="0" applyFont="1" applyAlignment="1">
      <alignment wrapText="1"/>
    </xf>
    <xf numFmtId="0" fontId="82" fillId="40" borderId="0" xfId="0" applyFont="1" applyFill="1"/>
    <xf numFmtId="0" fontId="15" fillId="0" borderId="0" xfId="0" applyFont="1" applyProtection="1">
      <protection locked="0"/>
    </xf>
    <xf numFmtId="40" fontId="14" fillId="46" borderId="0" xfId="0" applyNumberFormat="1" applyFont="1" applyFill="1"/>
    <xf numFmtId="0" fontId="40" fillId="40" borderId="0" xfId="0" applyFont="1" applyFill="1"/>
    <xf numFmtId="49" fontId="14" fillId="0" borderId="0" xfId="0" applyNumberFormat="1" applyFont="1" applyAlignment="1">
      <alignment horizontal="center"/>
    </xf>
    <xf numFmtId="0" fontId="65" fillId="0" borderId="0" xfId="0" applyFont="1" applyAlignment="1">
      <alignment horizontal="center"/>
    </xf>
    <xf numFmtId="49" fontId="65" fillId="7" borderId="0" xfId="0" applyNumberFormat="1" applyFont="1" applyFill="1"/>
    <xf numFmtId="0" fontId="65" fillId="7" borderId="0" xfId="0" applyFont="1" applyFill="1"/>
    <xf numFmtId="0" fontId="31" fillId="0" borderId="0" xfId="0" applyFont="1" applyAlignment="1">
      <alignment horizontal="center"/>
    </xf>
    <xf numFmtId="0" fontId="31" fillId="0" borderId="0" xfId="0" applyFo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xf numFmtId="0" fontId="42" fillId="0" borderId="0" xfId="0" applyFont="1" applyAlignment="1">
      <alignment horizontal="left" vertical="top" wrapText="1"/>
    </xf>
    <xf numFmtId="0" fontId="72" fillId="46" borderId="0" xfId="0" applyFont="1" applyFill="1" applyAlignment="1">
      <alignment wrapText="1"/>
    </xf>
    <xf numFmtId="0" fontId="0" fillId="0" borderId="0" xfId="0" applyAlignment="1">
      <alignment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10" xfId="0" applyNumberFormat="1" applyFont="1" applyBorder="1" applyAlignment="1" applyProtection="1">
      <alignment horizontal="left"/>
      <protection locked="0"/>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lignment horizontal="center"/>
    </xf>
    <xf numFmtId="49" fontId="15" fillId="0" borderId="0" xfId="0" applyNumberFormat="1" applyFont="1" applyAlignment="1">
      <alignment horizontal="left"/>
    </xf>
    <xf numFmtId="49" fontId="15" fillId="0" borderId="10" xfId="0" applyNumberFormat="1" applyFont="1" applyBorder="1" applyAlignment="1">
      <alignment horizontal="left"/>
    </xf>
    <xf numFmtId="0" fontId="32" fillId="0" borderId="20" xfId="0" applyFont="1" applyBorder="1" applyAlignment="1">
      <alignment horizontal="center"/>
    </xf>
    <xf numFmtId="0" fontId="32" fillId="0" borderId="8" xfId="0" applyFont="1" applyBorder="1" applyAlignment="1">
      <alignment horizontal="center"/>
    </xf>
    <xf numFmtId="0" fontId="14" fillId="0" borderId="10" xfId="0" applyFont="1" applyBorder="1" applyAlignment="1">
      <alignment horizontal="center"/>
    </xf>
    <xf numFmtId="49" fontId="35" fillId="0" borderId="0" xfId="0" applyNumberFormat="1" applyFont="1"/>
    <xf numFmtId="0" fontId="35" fillId="0" borderId="0" xfId="0" applyFont="1"/>
    <xf numFmtId="0" fontId="34" fillId="0" borderId="11" xfId="0" applyFont="1" applyBorder="1" applyAlignment="1">
      <alignment horizontal="center"/>
    </xf>
    <xf numFmtId="0" fontId="34" fillId="0" borderId="0" xfId="0" applyFont="1" applyAlignment="1">
      <alignment horizontal="center"/>
    </xf>
  </cellXfs>
  <cellStyles count="45">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rmal 4" xfId="44" xr:uid="{00000000-0005-0000-0000-000027000000}"/>
    <cellStyle name="Note 2" xfId="42" xr:uid="{00000000-0005-0000-0000-000028000000}"/>
    <cellStyle name="Output" xfId="9" builtinId="21" customBuiltin="1"/>
    <cellStyle name="Title 2" xfId="41" xr:uid="{00000000-0005-0000-0000-00002A000000}"/>
    <cellStyle name="Total" xfId="15" builtinId="25" customBuiltin="1"/>
    <cellStyle name="Warning Text" xfId="13" builtinId="11" customBuiltin="1"/>
  </cellStyles>
  <dxfs count="32">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ill>
        <patternFill>
          <bgColor rgb="FFFFFF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33" zoomScaleNormal="100" workbookViewId="0">
      <selection activeCell="H672" sqref="H672"/>
    </sheetView>
  </sheetViews>
  <sheetFormatPr defaultRowHeight="12.2" customHeight="1" x14ac:dyDescent="0.2"/>
  <cols>
    <col min="1" max="1" width="48.83203125" customWidth="1"/>
    <col min="2" max="2" width="5.33203125" customWidth="1"/>
    <col min="3" max="3" width="5" customWidth="1"/>
    <col min="4" max="4" width="3.83203125" hidden="1" customWidth="1"/>
    <col min="5" max="5" width="6.83203125" bestFit="1" customWidth="1"/>
    <col min="6" max="6" width="17" style="19" customWidth="1"/>
    <col min="7" max="8" width="17.1640625" style="19" customWidth="1"/>
    <col min="9" max="9" width="18.83203125" style="19" customWidth="1"/>
    <col min="10" max="12" width="17.1640625" style="19" customWidth="1"/>
    <col min="13" max="13" width="8" customWidth="1"/>
  </cols>
  <sheetData>
    <row r="1" spans="1:14" s="3" customFormat="1" ht="12.2" customHeight="1" x14ac:dyDescent="0.15">
      <c r="A1" s="1" t="s">
        <v>261</v>
      </c>
      <c r="B1" s="2" t="s">
        <v>262</v>
      </c>
      <c r="C1" s="2" t="s">
        <v>263</v>
      </c>
      <c r="D1" s="2"/>
      <c r="E1" s="2"/>
      <c r="F1" s="13"/>
      <c r="G1" s="13"/>
      <c r="H1" s="15" t="s">
        <v>1783</v>
      </c>
      <c r="I1" s="13"/>
      <c r="J1" s="13"/>
      <c r="K1" s="13"/>
      <c r="L1" s="13"/>
    </row>
    <row r="2" spans="1:14" s="3" customFormat="1" ht="12.2" customHeight="1" x14ac:dyDescent="0.2">
      <c r="A2" s="275" t="s">
        <v>1329</v>
      </c>
      <c r="B2">
        <f>INDEX('School Tables'!$AH$3:$AH$213,MATCH('DOE25'!A2,'School Tables'!$AJ$3:$AJ$213,0))</f>
        <v>427</v>
      </c>
      <c r="C2">
        <f>INDEX('School Tables'!$AI$3:$AI$213,MATCH('DOE25'!A2,'School Tables'!$AJ$3:$AJ$213,0))</f>
        <v>427</v>
      </c>
      <c r="D2" s="20"/>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2" t="s">
        <v>402</v>
      </c>
    </row>
    <row r="4" spans="1:14" s="3" customFormat="1" ht="12.2" customHeight="1" x14ac:dyDescent="0.15">
      <c r="A4" s="1" t="s">
        <v>278</v>
      </c>
      <c r="K4" s="13"/>
      <c r="L4" s="13"/>
    </row>
    <row r="5" spans="1:14" s="3" customFormat="1" ht="12.2" customHeight="1" x14ac:dyDescent="0.15">
      <c r="A5" s="1" t="s">
        <v>279</v>
      </c>
      <c r="F5" s="22" t="s">
        <v>273</v>
      </c>
      <c r="G5" s="22" t="s">
        <v>274</v>
      </c>
      <c r="H5" s="22" t="s">
        <v>275</v>
      </c>
      <c r="I5" s="22" t="s">
        <v>276</v>
      </c>
      <c r="J5" s="22" t="s">
        <v>277</v>
      </c>
      <c r="K5" s="13"/>
      <c r="L5" s="13"/>
    </row>
    <row r="6" spans="1:14" s="3" customFormat="1" ht="12.2" customHeight="1" x14ac:dyDescent="0.15">
      <c r="B6" s="7"/>
      <c r="C6" s="7"/>
      <c r="D6" s="7"/>
      <c r="F6" s="163" t="s">
        <v>280</v>
      </c>
      <c r="G6" s="163" t="s">
        <v>281</v>
      </c>
      <c r="H6" s="163" t="s">
        <v>282</v>
      </c>
      <c r="I6" s="163" t="s">
        <v>283</v>
      </c>
      <c r="J6" s="163" t="s">
        <v>284</v>
      </c>
      <c r="K6" s="13"/>
      <c r="L6" s="13"/>
      <c r="M6" s="8"/>
    </row>
    <row r="7" spans="1:14" s="3" customFormat="1" ht="12.2" customHeight="1" x14ac:dyDescent="0.15">
      <c r="A7" s="1" t="s">
        <v>285</v>
      </c>
      <c r="B7" s="7"/>
      <c r="C7" s="7"/>
      <c r="D7" s="7"/>
      <c r="E7" s="7"/>
      <c r="F7" s="163"/>
      <c r="G7" s="142"/>
      <c r="H7" s="163" t="s">
        <v>765</v>
      </c>
      <c r="I7" s="142"/>
      <c r="J7" s="142"/>
      <c r="K7" s="13"/>
      <c r="L7" s="13"/>
      <c r="M7" s="8"/>
    </row>
    <row r="8" spans="1:14" s="3" customFormat="1" ht="12.2" customHeight="1" x14ac:dyDescent="0.15">
      <c r="A8" s="28" t="s">
        <v>403</v>
      </c>
      <c r="B8" s="7"/>
      <c r="C8" s="7"/>
      <c r="D8" s="7"/>
      <c r="E8" s="7"/>
      <c r="F8" s="23" t="s">
        <v>288</v>
      </c>
      <c r="G8" s="23" t="s">
        <v>288</v>
      </c>
      <c r="H8" s="23" t="s">
        <v>288</v>
      </c>
      <c r="I8" s="23" t="s">
        <v>288</v>
      </c>
      <c r="J8" s="23" t="s">
        <v>288</v>
      </c>
      <c r="K8" s="23" t="s">
        <v>288</v>
      </c>
      <c r="L8" s="23" t="s">
        <v>288</v>
      </c>
      <c r="M8" s="8"/>
    </row>
    <row r="9" spans="1:14" s="3" customFormat="1" ht="12.2" customHeight="1" x14ac:dyDescent="0.15">
      <c r="A9" s="1" t="s">
        <v>561</v>
      </c>
      <c r="B9" s="2" t="s">
        <v>289</v>
      </c>
      <c r="C9" s="6">
        <v>1</v>
      </c>
      <c r="D9" s="2" t="s">
        <v>428</v>
      </c>
      <c r="E9" s="6">
        <v>100</v>
      </c>
      <c r="F9" s="18">
        <f>839694.42+600</f>
        <v>840294.42</v>
      </c>
      <c r="G9" s="18">
        <v>14.79</v>
      </c>
      <c r="H9" s="18"/>
      <c r="I9" s="18"/>
      <c r="J9" s="13">
        <f>SUM(I440)</f>
        <v>1688749</v>
      </c>
      <c r="K9" s="23" t="s">
        <v>288</v>
      </c>
      <c r="L9" s="23" t="s">
        <v>288</v>
      </c>
      <c r="M9" s="8"/>
      <c r="N9" s="164"/>
    </row>
    <row r="10" spans="1:14" s="3" customFormat="1" ht="12.2" customHeight="1" x14ac:dyDescent="0.15">
      <c r="A10" s="1" t="s">
        <v>562</v>
      </c>
      <c r="B10" s="2" t="s">
        <v>289</v>
      </c>
      <c r="C10" s="6">
        <v>2</v>
      </c>
      <c r="D10" s="2" t="s">
        <v>428</v>
      </c>
      <c r="E10" s="6">
        <v>110</v>
      </c>
      <c r="F10" s="18"/>
      <c r="G10" s="18"/>
      <c r="H10" s="18"/>
      <c r="I10" s="18"/>
      <c r="J10" s="13">
        <f>SUM(I441)</f>
        <v>0</v>
      </c>
      <c r="K10" s="23" t="s">
        <v>288</v>
      </c>
      <c r="L10" s="23" t="s">
        <v>288</v>
      </c>
      <c r="M10" s="8"/>
      <c r="N10" s="164"/>
    </row>
    <row r="11" spans="1:14" s="3" customFormat="1" ht="12.2" customHeight="1" x14ac:dyDescent="0.15">
      <c r="A11" s="1" t="s">
        <v>563</v>
      </c>
      <c r="B11" s="2" t="s">
        <v>289</v>
      </c>
      <c r="C11" s="6">
        <v>3</v>
      </c>
      <c r="D11" s="2" t="s">
        <v>428</v>
      </c>
      <c r="E11" s="6">
        <v>120</v>
      </c>
      <c r="F11" s="18"/>
      <c r="G11" s="23" t="s">
        <v>288</v>
      </c>
      <c r="H11" s="23" t="s">
        <v>288</v>
      </c>
      <c r="I11" s="23" t="s">
        <v>288</v>
      </c>
      <c r="J11" s="23" t="s">
        <v>288</v>
      </c>
      <c r="K11" s="23" t="s">
        <v>288</v>
      </c>
      <c r="L11" s="23" t="s">
        <v>288</v>
      </c>
      <c r="M11" s="8"/>
      <c r="N11" s="164"/>
    </row>
    <row r="12" spans="1:14" s="3" customFormat="1" ht="12.2" customHeight="1" x14ac:dyDescent="0.15">
      <c r="A12" s="1" t="s">
        <v>564</v>
      </c>
      <c r="B12" s="2" t="s">
        <v>289</v>
      </c>
      <c r="C12" s="6">
        <v>4</v>
      </c>
      <c r="D12" s="2" t="s">
        <v>428</v>
      </c>
      <c r="E12" s="6">
        <v>130</v>
      </c>
      <c r="F12" s="18"/>
      <c r="G12" s="18"/>
      <c r="H12" s="18"/>
      <c r="I12" s="18"/>
      <c r="J12" s="13">
        <f>SUM(I442)</f>
        <v>0</v>
      </c>
      <c r="K12" s="23" t="s">
        <v>288</v>
      </c>
      <c r="L12" s="23" t="s">
        <v>288</v>
      </c>
      <c r="M12" s="8"/>
      <c r="N12" s="164"/>
    </row>
    <row r="13" spans="1:14" s="3" customFormat="1" ht="12.2" customHeight="1" x14ac:dyDescent="0.15">
      <c r="A13" s="1" t="s">
        <v>604</v>
      </c>
      <c r="B13" s="2" t="s">
        <v>289</v>
      </c>
      <c r="C13" s="6">
        <v>5</v>
      </c>
      <c r="D13" s="2" t="s">
        <v>428</v>
      </c>
      <c r="E13" s="6">
        <v>140</v>
      </c>
      <c r="F13" s="18">
        <v>-307868.27</v>
      </c>
      <c r="G13" s="18">
        <f>26838.74+60447.7</f>
        <v>87286.44</v>
      </c>
      <c r="H13" s="18">
        <v>90462.96</v>
      </c>
      <c r="I13" s="18"/>
      <c r="J13" s="13">
        <f>SUM(I443)</f>
        <v>0</v>
      </c>
      <c r="K13" s="23" t="s">
        <v>288</v>
      </c>
      <c r="L13" s="23" t="s">
        <v>288</v>
      </c>
      <c r="M13" s="8"/>
      <c r="N13" s="164"/>
    </row>
    <row r="14" spans="1:14" s="3" customFormat="1" ht="12.2" customHeight="1" x14ac:dyDescent="0.15">
      <c r="A14" s="1" t="s">
        <v>565</v>
      </c>
      <c r="B14" s="2" t="s">
        <v>289</v>
      </c>
      <c r="C14" s="6">
        <v>6</v>
      </c>
      <c r="D14" s="2" t="s">
        <v>428</v>
      </c>
      <c r="E14" s="6">
        <v>150</v>
      </c>
      <c r="F14" s="18">
        <f>156614.01+2347.12</f>
        <v>158961.13</v>
      </c>
      <c r="G14" s="18">
        <v>369958.62</v>
      </c>
      <c r="H14" s="18">
        <v>-3300.33</v>
      </c>
      <c r="I14" s="18"/>
      <c r="J14" s="13">
        <f>SUM(I444)</f>
        <v>0</v>
      </c>
      <c r="K14" s="23" t="s">
        <v>288</v>
      </c>
      <c r="L14" s="23" t="s">
        <v>288</v>
      </c>
      <c r="M14" s="8"/>
      <c r="N14" s="164"/>
    </row>
    <row r="15" spans="1:14" s="3" customFormat="1" ht="12.2" customHeight="1" x14ac:dyDescent="0.15">
      <c r="A15" s="1" t="s">
        <v>586</v>
      </c>
      <c r="B15" s="2" t="s">
        <v>289</v>
      </c>
      <c r="C15" s="6">
        <v>7</v>
      </c>
      <c r="D15" s="2" t="s">
        <v>428</v>
      </c>
      <c r="E15" s="6">
        <v>160</v>
      </c>
      <c r="F15" s="23" t="s">
        <v>288</v>
      </c>
      <c r="G15" s="23" t="s">
        <v>288</v>
      </c>
      <c r="H15" s="23" t="s">
        <v>288</v>
      </c>
      <c r="I15" s="18"/>
      <c r="J15" s="23" t="s">
        <v>288</v>
      </c>
      <c r="K15" s="23" t="s">
        <v>288</v>
      </c>
      <c r="L15" s="23" t="s">
        <v>288</v>
      </c>
      <c r="M15" s="8"/>
      <c r="N15" s="164"/>
    </row>
    <row r="16" spans="1:14" s="3" customFormat="1" ht="12.2" customHeight="1" x14ac:dyDescent="0.15">
      <c r="A16" s="1" t="s">
        <v>566</v>
      </c>
      <c r="B16" s="2" t="s">
        <v>289</v>
      </c>
      <c r="C16" s="6">
        <v>8</v>
      </c>
      <c r="D16" s="2" t="s">
        <v>428</v>
      </c>
      <c r="E16" s="6">
        <v>170</v>
      </c>
      <c r="F16" s="18"/>
      <c r="G16" s="18">
        <v>39804.879999999997</v>
      </c>
      <c r="H16" s="18"/>
      <c r="I16" s="18"/>
      <c r="J16" s="23" t="s">
        <v>288</v>
      </c>
      <c r="K16" s="23" t="s">
        <v>288</v>
      </c>
      <c r="L16" s="23" t="s">
        <v>288</v>
      </c>
      <c r="M16" s="8"/>
      <c r="N16" s="164"/>
    </row>
    <row r="17" spans="1:14" s="3" customFormat="1" ht="12.2" customHeight="1" x14ac:dyDescent="0.15">
      <c r="A17" s="1" t="s">
        <v>567</v>
      </c>
      <c r="B17" s="2" t="s">
        <v>289</v>
      </c>
      <c r="C17" s="6">
        <v>9</v>
      </c>
      <c r="D17" s="2" t="s">
        <v>428</v>
      </c>
      <c r="E17" s="6">
        <v>180</v>
      </c>
      <c r="F17" s="18">
        <v>411809</v>
      </c>
      <c r="G17" s="18">
        <v>0</v>
      </c>
      <c r="H17" s="18">
        <v>0</v>
      </c>
      <c r="I17" s="18"/>
      <c r="J17" s="13">
        <f>SUM(I445)</f>
        <v>0</v>
      </c>
      <c r="K17" s="23" t="s">
        <v>288</v>
      </c>
      <c r="L17" s="23" t="s">
        <v>288</v>
      </c>
      <c r="M17" s="8"/>
      <c r="N17" s="164"/>
    </row>
    <row r="18" spans="1:14" s="3" customFormat="1" ht="12.2" customHeight="1" thickBot="1" x14ac:dyDescent="0.2">
      <c r="A18" s="1" t="s">
        <v>568</v>
      </c>
      <c r="B18" s="2" t="s">
        <v>289</v>
      </c>
      <c r="C18" s="6">
        <v>10</v>
      </c>
      <c r="D18" s="2" t="s">
        <v>428</v>
      </c>
      <c r="E18" s="6">
        <v>190</v>
      </c>
      <c r="F18" s="18"/>
      <c r="G18" s="18"/>
      <c r="H18" s="102"/>
      <c r="I18" s="18"/>
      <c r="J18" s="13">
        <f>SUM(I446)</f>
        <v>0</v>
      </c>
      <c r="K18" s="23" t="s">
        <v>288</v>
      </c>
      <c r="L18" s="23" t="s">
        <v>288</v>
      </c>
      <c r="M18" s="8"/>
      <c r="N18" s="164"/>
    </row>
    <row r="19" spans="1:14" s="3" customFormat="1" ht="12.2" customHeight="1" thickTop="1" x14ac:dyDescent="0.15">
      <c r="A19" s="35" t="s">
        <v>404</v>
      </c>
      <c r="B19" s="36" t="s">
        <v>289</v>
      </c>
      <c r="C19" s="37">
        <v>11</v>
      </c>
      <c r="D19" s="36" t="s">
        <v>428</v>
      </c>
      <c r="E19" s="36"/>
      <c r="F19" s="38">
        <f>SUM(F9:F18)</f>
        <v>1103196.28</v>
      </c>
      <c r="G19" s="38">
        <f>SUM(G9:G18)</f>
        <v>497064.73</v>
      </c>
      <c r="H19" s="38">
        <f>SUM(H9:H18)</f>
        <v>87162.63</v>
      </c>
      <c r="I19" s="38">
        <f>SUM(I9:I18)</f>
        <v>0</v>
      </c>
      <c r="J19" s="38">
        <f>SUM(J9:J18)</f>
        <v>1688749</v>
      </c>
      <c r="K19" s="42" t="s">
        <v>288</v>
      </c>
      <c r="L19" s="42" t="s">
        <v>288</v>
      </c>
      <c r="M19" s="8"/>
      <c r="N19" s="164"/>
    </row>
    <row r="20" spans="1:14" s="3" customFormat="1" ht="12.2" customHeight="1" x14ac:dyDescent="0.15">
      <c r="A20" s="1" t="s">
        <v>454</v>
      </c>
      <c r="C20" s="95"/>
      <c r="F20" s="13"/>
      <c r="G20" s="13"/>
      <c r="H20" s="13"/>
      <c r="I20" s="13"/>
      <c r="J20" s="13"/>
      <c r="K20" s="13"/>
      <c r="L20" s="13"/>
      <c r="M20" s="8"/>
      <c r="N20" s="164"/>
    </row>
    <row r="21" spans="1:14" s="3" customFormat="1" ht="12.2" customHeight="1" x14ac:dyDescent="0.15">
      <c r="A21" s="28" t="s">
        <v>405</v>
      </c>
      <c r="B21" s="7"/>
      <c r="C21" s="2"/>
      <c r="D21" s="7"/>
      <c r="E21" s="7"/>
      <c r="F21" s="23" t="s">
        <v>288</v>
      </c>
      <c r="G21" s="23" t="s">
        <v>288</v>
      </c>
      <c r="H21" s="23" t="s">
        <v>288</v>
      </c>
      <c r="I21" s="23" t="s">
        <v>288</v>
      </c>
      <c r="J21" s="23" t="s">
        <v>288</v>
      </c>
      <c r="K21" s="23" t="s">
        <v>288</v>
      </c>
      <c r="L21" s="23" t="s">
        <v>288</v>
      </c>
      <c r="M21" s="8"/>
      <c r="N21" s="164"/>
    </row>
    <row r="22" spans="1:14" s="3" customFormat="1" ht="12.2" customHeight="1" x14ac:dyDescent="0.15">
      <c r="A22" s="1" t="s">
        <v>569</v>
      </c>
      <c r="B22" s="2" t="s">
        <v>289</v>
      </c>
      <c r="C22" s="6">
        <v>12</v>
      </c>
      <c r="D22" s="2" t="s">
        <v>429</v>
      </c>
      <c r="E22" s="6">
        <v>400</v>
      </c>
      <c r="F22" s="18">
        <v>0</v>
      </c>
      <c r="G22" s="18">
        <v>0</v>
      </c>
      <c r="H22" s="18">
        <v>56634.63</v>
      </c>
      <c r="I22" s="18"/>
      <c r="J22" s="13">
        <f>SUM(I449)</f>
        <v>0</v>
      </c>
      <c r="K22" s="23" t="s">
        <v>288</v>
      </c>
      <c r="L22" s="23" t="s">
        <v>288</v>
      </c>
      <c r="M22" s="8"/>
      <c r="N22" s="164"/>
    </row>
    <row r="23" spans="1:14" s="3" customFormat="1" ht="12.2" customHeight="1" x14ac:dyDescent="0.15">
      <c r="A23" s="1" t="s">
        <v>607</v>
      </c>
      <c r="B23" s="2" t="s">
        <v>289</v>
      </c>
      <c r="C23" s="6">
        <v>13</v>
      </c>
      <c r="D23" s="2" t="s">
        <v>429</v>
      </c>
      <c r="E23" s="6">
        <v>410</v>
      </c>
      <c r="F23" s="18">
        <v>397021.1</v>
      </c>
      <c r="G23" s="18">
        <v>42387.97</v>
      </c>
      <c r="H23" s="18">
        <v>1675.95</v>
      </c>
      <c r="I23" s="18"/>
      <c r="J23" s="13">
        <f>SUM(I450)</f>
        <v>0</v>
      </c>
      <c r="K23" s="23" t="s">
        <v>288</v>
      </c>
      <c r="L23" s="23" t="s">
        <v>288</v>
      </c>
      <c r="M23" s="8"/>
      <c r="N23" s="164"/>
    </row>
    <row r="24" spans="1:14" s="3" customFormat="1" ht="12.2" customHeight="1" x14ac:dyDescent="0.15">
      <c r="A24" s="1" t="s">
        <v>570</v>
      </c>
      <c r="B24" s="2" t="s">
        <v>289</v>
      </c>
      <c r="C24" s="6">
        <v>14</v>
      </c>
      <c r="D24" s="2" t="s">
        <v>429</v>
      </c>
      <c r="E24" s="6">
        <v>420</v>
      </c>
      <c r="F24" s="18">
        <v>519560.25</v>
      </c>
      <c r="G24" s="18">
        <v>8796</v>
      </c>
      <c r="H24" s="18">
        <v>0</v>
      </c>
      <c r="I24" s="18"/>
      <c r="J24" s="13">
        <f>SUM(I451)</f>
        <v>0</v>
      </c>
      <c r="K24" s="23" t="s">
        <v>288</v>
      </c>
      <c r="L24" s="23" t="s">
        <v>288</v>
      </c>
      <c r="M24" s="8"/>
      <c r="N24" s="164"/>
    </row>
    <row r="25" spans="1:14" s="3" customFormat="1" ht="12.2" customHeight="1" x14ac:dyDescent="0.15">
      <c r="A25" s="1" t="s">
        <v>574</v>
      </c>
      <c r="B25" s="2" t="s">
        <v>289</v>
      </c>
      <c r="C25" s="6">
        <v>15</v>
      </c>
      <c r="D25" s="2" t="s">
        <v>429</v>
      </c>
      <c r="E25" s="6">
        <v>430</v>
      </c>
      <c r="F25" s="18"/>
      <c r="G25" s="102"/>
      <c r="H25" s="18"/>
      <c r="I25" s="18"/>
      <c r="J25" s="23" t="s">
        <v>288</v>
      </c>
      <c r="K25" s="23" t="s">
        <v>288</v>
      </c>
      <c r="L25" s="23" t="s">
        <v>288</v>
      </c>
      <c r="M25" s="8"/>
      <c r="N25" s="164"/>
    </row>
    <row r="26" spans="1:14" s="3" customFormat="1" ht="12.2" customHeight="1" x14ac:dyDescent="0.15">
      <c r="A26" s="1" t="s">
        <v>571</v>
      </c>
      <c r="B26" s="2" t="s">
        <v>289</v>
      </c>
      <c r="C26" s="6">
        <v>16</v>
      </c>
      <c r="D26" s="2" t="s">
        <v>429</v>
      </c>
      <c r="E26" s="6">
        <v>440</v>
      </c>
      <c r="F26" s="18"/>
      <c r="G26" s="23" t="s">
        <v>288</v>
      </c>
      <c r="H26" s="23" t="s">
        <v>288</v>
      </c>
      <c r="I26" s="18"/>
      <c r="J26" s="23" t="s">
        <v>288</v>
      </c>
      <c r="K26" s="23" t="s">
        <v>288</v>
      </c>
      <c r="L26" s="23" t="s">
        <v>288</v>
      </c>
      <c r="M26" s="8"/>
      <c r="N26" s="164"/>
    </row>
    <row r="27" spans="1:14" s="3" customFormat="1" ht="12.2" customHeight="1" x14ac:dyDescent="0.15">
      <c r="A27" s="1" t="s">
        <v>572</v>
      </c>
      <c r="B27" s="2" t="s">
        <v>289</v>
      </c>
      <c r="C27" s="6">
        <v>17</v>
      </c>
      <c r="D27" s="2" t="s">
        <v>429</v>
      </c>
      <c r="E27" s="6">
        <v>450</v>
      </c>
      <c r="F27" s="18"/>
      <c r="G27" s="23" t="s">
        <v>288</v>
      </c>
      <c r="H27" s="23" t="s">
        <v>288</v>
      </c>
      <c r="I27" s="18"/>
      <c r="J27" s="23" t="s">
        <v>288</v>
      </c>
      <c r="K27" s="23" t="s">
        <v>288</v>
      </c>
      <c r="L27" s="23" t="s">
        <v>288</v>
      </c>
      <c r="M27" s="8"/>
      <c r="N27" s="164"/>
    </row>
    <row r="28" spans="1:14" s="3" customFormat="1" ht="12.2" customHeight="1" x14ac:dyDescent="0.15">
      <c r="A28" s="1" t="s">
        <v>573</v>
      </c>
      <c r="B28" s="2" t="s">
        <v>289</v>
      </c>
      <c r="C28" s="6">
        <v>18</v>
      </c>
      <c r="D28" s="2" t="s">
        <v>429</v>
      </c>
      <c r="E28" s="6">
        <v>460</v>
      </c>
      <c r="F28" s="18">
        <v>0</v>
      </c>
      <c r="G28" s="18"/>
      <c r="H28" s="18"/>
      <c r="I28" s="18"/>
      <c r="J28" s="23" t="s">
        <v>288</v>
      </c>
      <c r="K28" s="23" t="s">
        <v>288</v>
      </c>
      <c r="L28" s="23" t="s">
        <v>288</v>
      </c>
      <c r="M28" s="8"/>
      <c r="N28" s="164"/>
    </row>
    <row r="29" spans="1:14" s="3" customFormat="1" ht="12.2" customHeight="1" x14ac:dyDescent="0.15">
      <c r="A29" s="1" t="s">
        <v>575</v>
      </c>
      <c r="B29" s="2" t="s">
        <v>289</v>
      </c>
      <c r="C29" s="6">
        <v>19</v>
      </c>
      <c r="D29" s="2" t="s">
        <v>429</v>
      </c>
      <c r="E29" s="6">
        <v>470</v>
      </c>
      <c r="F29" s="18">
        <v>0</v>
      </c>
      <c r="G29" s="18"/>
      <c r="H29" s="18"/>
      <c r="I29" s="18"/>
      <c r="J29" s="23" t="s">
        <v>288</v>
      </c>
      <c r="K29" s="23" t="s">
        <v>288</v>
      </c>
      <c r="L29" s="23" t="s">
        <v>288</v>
      </c>
      <c r="M29" s="8"/>
      <c r="N29" s="164"/>
    </row>
    <row r="30" spans="1:14" s="3" customFormat="1" ht="12.2" customHeight="1" x14ac:dyDescent="0.15">
      <c r="A30" s="1" t="s">
        <v>576</v>
      </c>
      <c r="B30" s="2" t="s">
        <v>289</v>
      </c>
      <c r="C30" s="6">
        <v>20</v>
      </c>
      <c r="D30" s="2" t="s">
        <v>429</v>
      </c>
      <c r="E30" s="6">
        <v>480</v>
      </c>
      <c r="F30" s="18">
        <v>0</v>
      </c>
      <c r="G30" s="18"/>
      <c r="H30" s="18">
        <v>0</v>
      </c>
      <c r="I30" s="18"/>
      <c r="J30" s="23" t="s">
        <v>288</v>
      </c>
      <c r="K30" s="23" t="s">
        <v>288</v>
      </c>
      <c r="L30" s="23" t="s">
        <v>288</v>
      </c>
      <c r="M30" s="8"/>
      <c r="N30" s="164"/>
    </row>
    <row r="31" spans="1:14" s="3" customFormat="1" ht="12.2" customHeight="1" thickBot="1" x14ac:dyDescent="0.2">
      <c r="A31" s="1" t="s">
        <v>585</v>
      </c>
      <c r="B31" s="2" t="s">
        <v>289</v>
      </c>
      <c r="C31" s="6">
        <v>21</v>
      </c>
      <c r="D31" s="2" t="s">
        <v>429</v>
      </c>
      <c r="E31" s="6">
        <v>490</v>
      </c>
      <c r="F31" s="18"/>
      <c r="G31" s="18"/>
      <c r="H31" s="18">
        <v>2275.58</v>
      </c>
      <c r="I31" s="18"/>
      <c r="J31" s="13">
        <f>SUM(I452)</f>
        <v>0</v>
      </c>
      <c r="K31" s="23" t="s">
        <v>288</v>
      </c>
      <c r="L31" s="23" t="s">
        <v>288</v>
      </c>
      <c r="M31" s="8"/>
      <c r="N31" s="164"/>
    </row>
    <row r="32" spans="1:14" s="3" customFormat="1" ht="12.2" customHeight="1" thickTop="1" x14ac:dyDescent="0.15">
      <c r="A32" s="35" t="s">
        <v>406</v>
      </c>
      <c r="B32" s="36" t="s">
        <v>289</v>
      </c>
      <c r="C32" s="37">
        <v>22</v>
      </c>
      <c r="D32" s="36" t="s">
        <v>429</v>
      </c>
      <c r="E32" s="36"/>
      <c r="F32" s="38">
        <f>SUM(F22:F31)</f>
        <v>916581.35</v>
      </c>
      <c r="G32" s="38">
        <f>SUM(G22:G31)</f>
        <v>51183.97</v>
      </c>
      <c r="H32" s="38">
        <f>SUM(H22:H31)</f>
        <v>60586.159999999996</v>
      </c>
      <c r="I32" s="38">
        <f>SUM(I22:I31)</f>
        <v>0</v>
      </c>
      <c r="J32" s="38">
        <f>SUM(J22:J31)</f>
        <v>0</v>
      </c>
      <c r="K32" s="42" t="s">
        <v>288</v>
      </c>
      <c r="L32" s="42" t="s">
        <v>288</v>
      </c>
      <c r="M32" s="8"/>
      <c r="N32" s="164"/>
    </row>
    <row r="33" spans="1:14" s="3" customFormat="1" ht="12.2" customHeight="1" x14ac:dyDescent="0.15">
      <c r="A33" s="28" t="s">
        <v>304</v>
      </c>
      <c r="B33" s="1" t="s">
        <v>301</v>
      </c>
      <c r="C33" s="2" t="s">
        <v>286</v>
      </c>
      <c r="D33" s="2"/>
      <c r="E33" s="2"/>
      <c r="F33" s="23" t="s">
        <v>288</v>
      </c>
      <c r="G33" s="23" t="s">
        <v>288</v>
      </c>
      <c r="H33" s="23" t="s">
        <v>288</v>
      </c>
      <c r="I33" s="23" t="s">
        <v>288</v>
      </c>
      <c r="J33" s="23" t="s">
        <v>288</v>
      </c>
      <c r="K33" s="23" t="s">
        <v>288</v>
      </c>
      <c r="L33" s="23" t="s">
        <v>288</v>
      </c>
      <c r="M33" s="8"/>
      <c r="N33" s="164"/>
    </row>
    <row r="34" spans="1:14" s="3" customFormat="1" ht="12.2" customHeight="1" x14ac:dyDescent="0.15">
      <c r="A34" s="28" t="s">
        <v>842</v>
      </c>
      <c r="B34" s="1"/>
      <c r="C34" s="2"/>
      <c r="D34" s="2"/>
      <c r="E34" s="2"/>
      <c r="F34" s="23" t="s">
        <v>288</v>
      </c>
      <c r="G34" s="23" t="s">
        <v>288</v>
      </c>
      <c r="H34" s="23" t="s">
        <v>288</v>
      </c>
      <c r="I34" s="23" t="s">
        <v>288</v>
      </c>
      <c r="J34" s="23" t="s">
        <v>288</v>
      </c>
      <c r="K34" s="23" t="s">
        <v>288</v>
      </c>
      <c r="L34" s="23" t="s">
        <v>288</v>
      </c>
      <c r="M34" s="8"/>
      <c r="N34" s="164"/>
    </row>
    <row r="35" spans="1:14" s="3" customFormat="1" ht="12.2" customHeight="1" x14ac:dyDescent="0.15">
      <c r="A35" s="1" t="s">
        <v>577</v>
      </c>
      <c r="B35" s="6">
        <v>1</v>
      </c>
      <c r="C35" s="6">
        <v>23</v>
      </c>
      <c r="D35" s="2" t="s">
        <v>653</v>
      </c>
      <c r="E35" s="6">
        <v>751</v>
      </c>
      <c r="F35" s="18"/>
      <c r="G35" s="18"/>
      <c r="H35" s="18"/>
      <c r="I35" s="18"/>
      <c r="J35" s="23" t="s">
        <v>288</v>
      </c>
      <c r="K35" s="23" t="s">
        <v>288</v>
      </c>
      <c r="L35" s="23" t="s">
        <v>288</v>
      </c>
      <c r="M35" s="8"/>
      <c r="N35" s="164"/>
    </row>
    <row r="36" spans="1:14" s="3" customFormat="1" ht="12.2" customHeight="1" x14ac:dyDescent="0.15">
      <c r="A36" s="1" t="s">
        <v>578</v>
      </c>
      <c r="B36" s="6">
        <v>1</v>
      </c>
      <c r="C36" s="6">
        <v>24</v>
      </c>
      <c r="D36" s="2" t="s">
        <v>653</v>
      </c>
      <c r="E36" s="6">
        <v>752</v>
      </c>
      <c r="F36" s="18"/>
      <c r="G36" s="18"/>
      <c r="H36" s="18"/>
      <c r="I36" s="18"/>
      <c r="J36" s="23" t="s">
        <v>288</v>
      </c>
      <c r="K36" s="23" t="s">
        <v>288</v>
      </c>
      <c r="L36" s="23" t="s">
        <v>288</v>
      </c>
      <c r="M36" s="8"/>
      <c r="N36" s="164"/>
    </row>
    <row r="37" spans="1:14" s="3" customFormat="1" ht="12.2" customHeight="1" x14ac:dyDescent="0.15">
      <c r="A37" s="1" t="s">
        <v>848</v>
      </c>
      <c r="B37" s="6">
        <v>1</v>
      </c>
      <c r="C37" s="6">
        <v>25</v>
      </c>
      <c r="D37" s="2" t="s">
        <v>653</v>
      </c>
      <c r="E37" s="6">
        <v>756</v>
      </c>
      <c r="F37" s="18"/>
      <c r="G37" s="18"/>
      <c r="H37" s="18"/>
      <c r="I37" s="18"/>
      <c r="J37" s="13">
        <f>I458</f>
        <v>0</v>
      </c>
      <c r="K37" s="23" t="s">
        <v>288</v>
      </c>
      <c r="L37" s="23" t="s">
        <v>288</v>
      </c>
      <c r="M37" s="8"/>
      <c r="N37" s="164"/>
    </row>
    <row r="38" spans="1:14" s="3" customFormat="1" ht="12.2" customHeight="1" x14ac:dyDescent="0.15">
      <c r="A38" s="28" t="s">
        <v>841</v>
      </c>
      <c r="B38" s="6"/>
      <c r="C38" s="6"/>
      <c r="D38" s="2"/>
      <c r="E38" s="6"/>
      <c r="F38" s="23" t="s">
        <v>288</v>
      </c>
      <c r="G38" s="23" t="s">
        <v>288</v>
      </c>
      <c r="H38" s="23" t="s">
        <v>288</v>
      </c>
      <c r="I38" s="23" t="s">
        <v>288</v>
      </c>
      <c r="J38" s="23" t="s">
        <v>288</v>
      </c>
      <c r="K38" s="23" t="s">
        <v>288</v>
      </c>
      <c r="L38" s="23" t="s">
        <v>288</v>
      </c>
      <c r="M38" s="8"/>
      <c r="N38" s="164"/>
    </row>
    <row r="39" spans="1:14" s="3" customFormat="1" ht="12.2" customHeight="1" x14ac:dyDescent="0.15">
      <c r="A39" s="1" t="s">
        <v>849</v>
      </c>
      <c r="B39" s="6">
        <v>1</v>
      </c>
      <c r="C39" s="6">
        <v>26</v>
      </c>
      <c r="D39" s="2"/>
      <c r="E39" s="6">
        <v>756</v>
      </c>
      <c r="F39" s="18"/>
      <c r="G39" s="18"/>
      <c r="H39" s="18"/>
      <c r="I39" s="18"/>
      <c r="J39" s="13">
        <f>I459</f>
        <v>0</v>
      </c>
      <c r="K39" s="23" t="s">
        <v>288</v>
      </c>
      <c r="L39" s="23" t="s">
        <v>288</v>
      </c>
      <c r="M39" s="8"/>
      <c r="N39" s="164"/>
    </row>
    <row r="40" spans="1:14" s="3" customFormat="1" ht="12.2" customHeight="1" x14ac:dyDescent="0.15">
      <c r="A40" s="1" t="s">
        <v>856</v>
      </c>
      <c r="B40" s="6">
        <v>1</v>
      </c>
      <c r="C40" s="6">
        <v>27</v>
      </c>
      <c r="D40" s="2"/>
      <c r="E40" s="6"/>
      <c r="F40" s="23" t="s">
        <v>288</v>
      </c>
      <c r="G40" s="18"/>
      <c r="H40" s="23" t="s">
        <v>288</v>
      </c>
      <c r="I40" s="23" t="s">
        <v>288</v>
      </c>
      <c r="J40" s="23" t="s">
        <v>288</v>
      </c>
      <c r="K40" s="23" t="s">
        <v>288</v>
      </c>
      <c r="L40" s="23" t="s">
        <v>288</v>
      </c>
      <c r="M40" s="8"/>
      <c r="N40" s="164"/>
    </row>
    <row r="41" spans="1:14" s="3" customFormat="1" ht="12.2" customHeight="1" x14ac:dyDescent="0.15">
      <c r="A41" s="1" t="s">
        <v>866</v>
      </c>
      <c r="B41" s="6">
        <v>1</v>
      </c>
      <c r="C41" s="6">
        <v>28</v>
      </c>
      <c r="D41" s="2"/>
      <c r="E41" s="6"/>
      <c r="F41" s="23" t="s">
        <v>288</v>
      </c>
      <c r="G41" s="23" t="s">
        <v>288</v>
      </c>
      <c r="H41" s="23" t="s">
        <v>288</v>
      </c>
      <c r="I41" s="18"/>
      <c r="J41" s="23" t="s">
        <v>288</v>
      </c>
      <c r="K41" s="23" t="s">
        <v>288</v>
      </c>
      <c r="L41" s="23" t="s">
        <v>288</v>
      </c>
      <c r="M41" s="8"/>
      <c r="N41" s="164"/>
    </row>
    <row r="42" spans="1:14" s="3" customFormat="1" ht="12.2" customHeight="1" x14ac:dyDescent="0.15">
      <c r="A42" s="28" t="s">
        <v>843</v>
      </c>
      <c r="B42" s="6"/>
      <c r="C42" s="6"/>
      <c r="D42" s="2"/>
      <c r="E42" s="6"/>
      <c r="F42" s="23" t="s">
        <v>288</v>
      </c>
      <c r="G42" s="23" t="s">
        <v>288</v>
      </c>
      <c r="H42" s="23" t="s">
        <v>288</v>
      </c>
      <c r="I42" s="23" t="s">
        <v>288</v>
      </c>
      <c r="J42" s="23" t="s">
        <v>288</v>
      </c>
      <c r="K42" s="23" t="s">
        <v>288</v>
      </c>
      <c r="L42" s="23" t="s">
        <v>288</v>
      </c>
      <c r="M42" s="8"/>
      <c r="N42" s="164"/>
    </row>
    <row r="43" spans="1:14" s="3" customFormat="1" ht="12.2" customHeight="1" x14ac:dyDescent="0.15">
      <c r="A43" s="1" t="s">
        <v>832</v>
      </c>
      <c r="B43" s="6">
        <v>1</v>
      </c>
      <c r="C43" s="6">
        <v>29</v>
      </c>
      <c r="D43" s="2" t="s">
        <v>653</v>
      </c>
      <c r="E43" s="6">
        <v>754</v>
      </c>
      <c r="F43" s="18"/>
      <c r="G43" s="18"/>
      <c r="H43" s="18"/>
      <c r="I43" s="18"/>
      <c r="J43" s="13">
        <f>SUM(I457)</f>
        <v>0</v>
      </c>
      <c r="K43" s="23" t="s">
        <v>288</v>
      </c>
      <c r="L43" s="23" t="s">
        <v>288</v>
      </c>
      <c r="M43" s="8"/>
      <c r="N43" s="164"/>
    </row>
    <row r="44" spans="1:14" s="3" customFormat="1" ht="12.2" customHeight="1" x14ac:dyDescent="0.15">
      <c r="A44" s="1" t="s">
        <v>833</v>
      </c>
      <c r="B44" s="6">
        <v>1</v>
      </c>
      <c r="C44" s="6">
        <v>30</v>
      </c>
      <c r="D44" s="2" t="s">
        <v>653</v>
      </c>
      <c r="E44" s="6">
        <v>755</v>
      </c>
      <c r="F44" s="18">
        <v>186614.93</v>
      </c>
      <c r="G44" s="18"/>
      <c r="H44" s="18"/>
      <c r="I44" s="18"/>
      <c r="J44" s="23" t="s">
        <v>288</v>
      </c>
      <c r="K44" s="23" t="s">
        <v>288</v>
      </c>
      <c r="L44" s="23" t="s">
        <v>288</v>
      </c>
      <c r="M44" s="8"/>
      <c r="N44" s="164"/>
    </row>
    <row r="45" spans="1:14" s="3" customFormat="1" ht="12.2" customHeight="1" x14ac:dyDescent="0.15">
      <c r="A45" s="1" t="s">
        <v>834</v>
      </c>
      <c r="B45" s="6">
        <v>1</v>
      </c>
      <c r="C45" s="6">
        <v>31</v>
      </c>
      <c r="D45" s="2"/>
      <c r="E45" s="6">
        <v>753</v>
      </c>
      <c r="F45" s="18"/>
      <c r="G45" s="18"/>
      <c r="H45" s="18"/>
      <c r="I45" s="18"/>
      <c r="J45" s="13">
        <f>I456</f>
        <v>0</v>
      </c>
      <c r="K45" s="23" t="s">
        <v>288</v>
      </c>
      <c r="L45" s="23" t="s">
        <v>288</v>
      </c>
      <c r="M45" s="8"/>
      <c r="N45" s="164"/>
    </row>
    <row r="46" spans="1:14" s="3" customFormat="1" ht="12.2" customHeight="1" x14ac:dyDescent="0.15">
      <c r="A46" s="1" t="s">
        <v>870</v>
      </c>
      <c r="B46" s="6">
        <v>1</v>
      </c>
      <c r="C46" s="6">
        <v>32</v>
      </c>
      <c r="D46" s="2"/>
      <c r="E46" s="6"/>
      <c r="F46" s="18"/>
      <c r="G46" s="23" t="s">
        <v>288</v>
      </c>
      <c r="H46" s="23" t="s">
        <v>288</v>
      </c>
      <c r="I46" s="23" t="s">
        <v>288</v>
      </c>
      <c r="J46" s="23" t="s">
        <v>288</v>
      </c>
      <c r="K46" s="23"/>
      <c r="L46" s="23"/>
      <c r="M46" s="8"/>
      <c r="N46" s="164"/>
    </row>
    <row r="47" spans="1:14" s="3" customFormat="1" ht="12.2" customHeight="1" x14ac:dyDescent="0.15">
      <c r="A47" s="28" t="s">
        <v>844</v>
      </c>
      <c r="B47" s="6"/>
      <c r="C47" s="6"/>
      <c r="D47" s="2"/>
      <c r="E47" s="6"/>
      <c r="F47" s="23" t="s">
        <v>288</v>
      </c>
      <c r="G47" s="23" t="s">
        <v>288</v>
      </c>
      <c r="H47" s="23" t="s">
        <v>288</v>
      </c>
      <c r="I47" s="23" t="s">
        <v>288</v>
      </c>
      <c r="J47" s="23" t="s">
        <v>288</v>
      </c>
      <c r="K47" s="23" t="s">
        <v>288</v>
      </c>
      <c r="L47" s="23" t="s">
        <v>288</v>
      </c>
      <c r="M47" s="8"/>
      <c r="N47" s="164"/>
    </row>
    <row r="48" spans="1:14" s="3" customFormat="1" ht="12.2" customHeight="1" x14ac:dyDescent="0.15">
      <c r="A48" s="1" t="s">
        <v>835</v>
      </c>
      <c r="B48" s="2" t="s">
        <v>289</v>
      </c>
      <c r="C48" s="6">
        <v>33</v>
      </c>
      <c r="D48" s="2" t="s">
        <v>653</v>
      </c>
      <c r="E48" s="6">
        <v>760</v>
      </c>
      <c r="F48" s="18"/>
      <c r="G48" s="18">
        <v>445880.76</v>
      </c>
      <c r="H48" s="18">
        <v>26576.47</v>
      </c>
      <c r="I48" s="18"/>
      <c r="J48" s="13">
        <f>SUM(I460)</f>
        <v>1688749</v>
      </c>
      <c r="K48" s="23" t="s">
        <v>288</v>
      </c>
      <c r="L48" s="23" t="s">
        <v>288</v>
      </c>
      <c r="M48" s="8"/>
      <c r="N48" s="164"/>
    </row>
    <row r="49" spans="1:14" s="3" customFormat="1" ht="12.2" customHeight="1" x14ac:dyDescent="0.15">
      <c r="A49" s="1" t="s">
        <v>855</v>
      </c>
      <c r="B49" s="2" t="s">
        <v>289</v>
      </c>
      <c r="C49" s="6">
        <v>34</v>
      </c>
      <c r="D49" s="2"/>
      <c r="E49" s="6">
        <v>753</v>
      </c>
      <c r="F49" s="18"/>
      <c r="G49" s="18"/>
      <c r="H49" s="18"/>
      <c r="I49" s="18"/>
      <c r="J49" s="13">
        <f>I455</f>
        <v>0</v>
      </c>
      <c r="K49" s="23"/>
      <c r="L49" s="23"/>
      <c r="M49" s="8"/>
      <c r="N49" s="164"/>
    </row>
    <row r="50" spans="1:14" s="3" customFormat="1" ht="12.2" customHeight="1" thickBot="1" x14ac:dyDescent="0.2">
      <c r="A50" s="28" t="s">
        <v>836</v>
      </c>
      <c r="B50" s="2" t="s">
        <v>289</v>
      </c>
      <c r="C50" s="56">
        <v>35</v>
      </c>
      <c r="D50" s="2" t="s">
        <v>653</v>
      </c>
      <c r="E50" s="6">
        <v>770</v>
      </c>
      <c r="F50" s="18"/>
      <c r="G50" s="23" t="s">
        <v>288</v>
      </c>
      <c r="H50" s="23" t="s">
        <v>288</v>
      </c>
      <c r="I50" s="23" t="s">
        <v>288</v>
      </c>
      <c r="J50" s="23" t="s">
        <v>288</v>
      </c>
      <c r="K50" s="23" t="s">
        <v>288</v>
      </c>
      <c r="L50" s="23" t="s">
        <v>288</v>
      </c>
      <c r="M50" s="8"/>
      <c r="N50" s="164"/>
    </row>
    <row r="51" spans="1:14" ht="12.2" customHeight="1" thickTop="1" thickBot="1" x14ac:dyDescent="0.25">
      <c r="A51" s="35" t="s">
        <v>407</v>
      </c>
      <c r="B51" s="36" t="s">
        <v>289</v>
      </c>
      <c r="C51" s="47">
        <v>36</v>
      </c>
      <c r="D51" s="36" t="s">
        <v>653</v>
      </c>
      <c r="E51" s="36"/>
      <c r="F51" s="38">
        <f>SUM(F35:F50)</f>
        <v>186614.93</v>
      </c>
      <c r="G51" s="38">
        <f>SUM(G35:G50)</f>
        <v>445880.76</v>
      </c>
      <c r="H51" s="38">
        <f>SUM(H35:H50)</f>
        <v>26576.47</v>
      </c>
      <c r="I51" s="38">
        <f>SUM(I35:I50)</f>
        <v>0</v>
      </c>
      <c r="J51" s="38">
        <f>SUM(J35:J50)</f>
        <v>1688749</v>
      </c>
      <c r="K51" s="42" t="s">
        <v>288</v>
      </c>
      <c r="L51" s="42" t="s">
        <v>288</v>
      </c>
      <c r="N51" s="130"/>
    </row>
    <row r="52" spans="1:14" s="3" customFormat="1" ht="12.2" customHeight="1" thickTop="1" x14ac:dyDescent="0.15">
      <c r="A52" s="35" t="s">
        <v>455</v>
      </c>
      <c r="B52" s="36" t="s">
        <v>289</v>
      </c>
      <c r="C52" s="6">
        <v>37</v>
      </c>
      <c r="D52" s="36" t="s">
        <v>653</v>
      </c>
      <c r="E52" s="36"/>
      <c r="F52" s="38">
        <f>F51+F32</f>
        <v>1103196.28</v>
      </c>
      <c r="G52" s="38">
        <f>G51+G32</f>
        <v>497064.73</v>
      </c>
      <c r="H52" s="38">
        <f>H51+H32</f>
        <v>87162.63</v>
      </c>
      <c r="I52" s="38">
        <f>I51+I32</f>
        <v>0</v>
      </c>
      <c r="J52" s="38">
        <f>J51+J32</f>
        <v>1688749</v>
      </c>
      <c r="K52" s="42" t="s">
        <v>288</v>
      </c>
      <c r="L52" s="42" t="s">
        <v>288</v>
      </c>
      <c r="M52" s="8"/>
      <c r="N52" s="164"/>
    </row>
    <row r="53" spans="1:14" s="3" customFormat="1" ht="12.2" customHeight="1" x14ac:dyDescent="0.2">
      <c r="A53"/>
      <c r="B53"/>
      <c r="C53"/>
      <c r="D53"/>
      <c r="E53"/>
      <c r="F53" s="22" t="s">
        <v>273</v>
      </c>
      <c r="G53" s="22" t="s">
        <v>274</v>
      </c>
      <c r="H53" s="22" t="s">
        <v>275</v>
      </c>
      <c r="I53" s="22" t="s">
        <v>276</v>
      </c>
      <c r="J53" s="22" t="s">
        <v>277</v>
      </c>
      <c r="K53" s="19"/>
      <c r="L53" s="19"/>
      <c r="M53" s="8"/>
      <c r="N53" s="164"/>
    </row>
    <row r="54" spans="1:14" s="3" customFormat="1" ht="12.2" customHeight="1" x14ac:dyDescent="0.2">
      <c r="A54" s="1" t="s">
        <v>305</v>
      </c>
      <c r="F54" s="22"/>
      <c r="G54" s="22"/>
      <c r="H54" s="22" t="s">
        <v>282</v>
      </c>
      <c r="I54" s="22"/>
      <c r="J54" s="22"/>
      <c r="K54" s="19"/>
      <c r="L54" s="19"/>
      <c r="M54" s="8"/>
      <c r="N54" s="164"/>
    </row>
    <row r="55" spans="1:14" s="3" customFormat="1" ht="12.2" customHeight="1" x14ac:dyDescent="0.2">
      <c r="A55" s="27" t="s">
        <v>307</v>
      </c>
      <c r="E55" s="6"/>
      <c r="F55" s="16" t="s">
        <v>280</v>
      </c>
      <c r="G55" s="16" t="s">
        <v>281</v>
      </c>
      <c r="H55" s="16" t="s">
        <v>765</v>
      </c>
      <c r="I55" s="16" t="s">
        <v>283</v>
      </c>
      <c r="J55" s="16" t="s">
        <v>284</v>
      </c>
      <c r="K55" s="19"/>
      <c r="L55" s="19"/>
      <c r="M55" s="8"/>
      <c r="N55" s="164"/>
    </row>
    <row r="56" spans="1:14" s="3" customFormat="1" ht="12.2" customHeight="1" x14ac:dyDescent="0.15">
      <c r="A56" s="26" t="s">
        <v>308</v>
      </c>
      <c r="E56" s="6"/>
      <c r="F56" s="23" t="s">
        <v>288</v>
      </c>
      <c r="G56" s="23" t="s">
        <v>288</v>
      </c>
      <c r="H56" s="23" t="s">
        <v>288</v>
      </c>
      <c r="I56" s="23" t="s">
        <v>288</v>
      </c>
      <c r="J56" s="23" t="s">
        <v>288</v>
      </c>
      <c r="K56" s="23" t="s">
        <v>288</v>
      </c>
      <c r="L56" s="23" t="s">
        <v>288</v>
      </c>
      <c r="M56" s="8"/>
      <c r="N56" s="164"/>
    </row>
    <row r="57" spans="1:14" s="3" customFormat="1" ht="12.2" customHeight="1" x14ac:dyDescent="0.15">
      <c r="A57" s="1" t="s">
        <v>511</v>
      </c>
      <c r="B57" s="2" t="s">
        <v>309</v>
      </c>
      <c r="C57" s="6">
        <v>1</v>
      </c>
      <c r="D57" s="2" t="s">
        <v>430</v>
      </c>
      <c r="E57" s="6">
        <v>1111</v>
      </c>
      <c r="F57" s="18">
        <v>13963592</v>
      </c>
      <c r="G57" s="18"/>
      <c r="H57" s="18"/>
      <c r="I57" s="18"/>
      <c r="J57" s="18"/>
      <c r="K57" s="23" t="s">
        <v>288</v>
      </c>
      <c r="L57" s="23" t="s">
        <v>288</v>
      </c>
      <c r="M57" s="8"/>
      <c r="N57" s="164"/>
    </row>
    <row r="58" spans="1:14" s="3" customFormat="1" ht="12.2" customHeight="1" x14ac:dyDescent="0.15">
      <c r="A58" s="1" t="s">
        <v>512</v>
      </c>
      <c r="B58" s="2" t="s">
        <v>309</v>
      </c>
      <c r="C58" s="6">
        <v>2</v>
      </c>
      <c r="D58" s="2" t="s">
        <v>430</v>
      </c>
      <c r="E58" s="6">
        <v>1112</v>
      </c>
      <c r="F58" s="18"/>
      <c r="G58" s="18"/>
      <c r="H58" s="23" t="s">
        <v>288</v>
      </c>
      <c r="I58" s="18"/>
      <c r="J58" s="23" t="s">
        <v>288</v>
      </c>
      <c r="K58" s="23" t="s">
        <v>288</v>
      </c>
      <c r="L58" s="23" t="s">
        <v>288</v>
      </c>
      <c r="M58" s="8"/>
      <c r="N58" s="164"/>
    </row>
    <row r="59" spans="1:14" s="26" customFormat="1" ht="12.2" customHeight="1" thickBot="1" x14ac:dyDescent="0.2">
      <c r="A59" s="1" t="s">
        <v>510</v>
      </c>
      <c r="B59" s="2" t="s">
        <v>309</v>
      </c>
      <c r="C59" s="6">
        <v>3</v>
      </c>
      <c r="D59" s="2" t="s">
        <v>430</v>
      </c>
      <c r="E59" s="6">
        <v>1119</v>
      </c>
      <c r="F59" s="18"/>
      <c r="G59" s="18"/>
      <c r="H59" s="18"/>
      <c r="I59" s="18"/>
      <c r="J59" s="18"/>
      <c r="K59" s="23" t="s">
        <v>288</v>
      </c>
      <c r="L59" s="23" t="s">
        <v>288</v>
      </c>
      <c r="M59" s="30"/>
      <c r="N59" s="199"/>
    </row>
    <row r="60" spans="1:14" s="26" customFormat="1" ht="12.2" customHeight="1" thickTop="1" x14ac:dyDescent="0.15">
      <c r="A60" s="35" t="s">
        <v>408</v>
      </c>
      <c r="B60" s="36" t="s">
        <v>309</v>
      </c>
      <c r="C60" s="37">
        <v>4</v>
      </c>
      <c r="D60" s="36" t="s">
        <v>430</v>
      </c>
      <c r="E60" s="37">
        <v>1100</v>
      </c>
      <c r="F60" s="38">
        <f>SUM(F57:F59)</f>
        <v>13963592</v>
      </c>
      <c r="G60" s="38">
        <f>SUM(G57:G59)</f>
        <v>0</v>
      </c>
      <c r="H60" s="38">
        <f>SUM(H57:H59)</f>
        <v>0</v>
      </c>
      <c r="I60" s="38">
        <f>SUM(I57:I59)</f>
        <v>0</v>
      </c>
      <c r="J60" s="38">
        <f>SUM(J57:J59)</f>
        <v>0</v>
      </c>
      <c r="K60" s="42" t="s">
        <v>288</v>
      </c>
      <c r="L60" s="42" t="s">
        <v>288</v>
      </c>
      <c r="M60" s="30"/>
      <c r="N60" s="199"/>
    </row>
    <row r="61" spans="1:14" s="3" customFormat="1" ht="12.2" customHeight="1" x14ac:dyDescent="0.15">
      <c r="A61" s="29" t="s">
        <v>517</v>
      </c>
      <c r="B61" s="26"/>
      <c r="C61" s="29" t="s">
        <v>301</v>
      </c>
      <c r="D61" s="29"/>
      <c r="E61" s="6"/>
      <c r="F61" s="23" t="s">
        <v>288</v>
      </c>
      <c r="G61" s="23" t="s">
        <v>288</v>
      </c>
      <c r="H61" s="23" t="s">
        <v>288</v>
      </c>
      <c r="I61" s="23" t="s">
        <v>288</v>
      </c>
      <c r="J61" s="23" t="s">
        <v>288</v>
      </c>
      <c r="K61" s="23" t="s">
        <v>288</v>
      </c>
      <c r="L61" s="23" t="s">
        <v>288</v>
      </c>
      <c r="M61" s="8"/>
      <c r="N61" s="164"/>
    </row>
    <row r="62" spans="1:14" s="3" customFormat="1" ht="12.2" customHeight="1" x14ac:dyDescent="0.15">
      <c r="A62" s="29" t="s">
        <v>311</v>
      </c>
      <c r="B62" s="26"/>
      <c r="C62" s="29"/>
      <c r="D62" s="29"/>
      <c r="E62" s="6">
        <v>1310</v>
      </c>
      <c r="F62" s="23" t="s">
        <v>288</v>
      </c>
      <c r="G62" s="23" t="s">
        <v>288</v>
      </c>
      <c r="H62" s="23" t="s">
        <v>288</v>
      </c>
      <c r="I62" s="23" t="s">
        <v>288</v>
      </c>
      <c r="J62" s="23" t="s">
        <v>288</v>
      </c>
      <c r="K62" s="23" t="s">
        <v>288</v>
      </c>
      <c r="L62" s="23" t="s">
        <v>288</v>
      </c>
      <c r="M62" s="8"/>
      <c r="N62" s="164"/>
    </row>
    <row r="63" spans="1:14" s="3" customFormat="1" ht="12.2" customHeight="1" x14ac:dyDescent="0.15">
      <c r="A63" s="1" t="s">
        <v>513</v>
      </c>
      <c r="B63" s="2" t="s">
        <v>309</v>
      </c>
      <c r="C63" s="6">
        <v>5</v>
      </c>
      <c r="D63" s="2" t="s">
        <v>430</v>
      </c>
      <c r="E63" s="6">
        <v>1311</v>
      </c>
      <c r="F63" s="18">
        <v>4009.51</v>
      </c>
      <c r="G63" s="23" t="s">
        <v>288</v>
      </c>
      <c r="H63" s="18"/>
      <c r="I63" s="23" t="s">
        <v>288</v>
      </c>
      <c r="J63" s="23" t="s">
        <v>288</v>
      </c>
      <c r="K63" s="23" t="s">
        <v>288</v>
      </c>
      <c r="L63" s="23" t="s">
        <v>288</v>
      </c>
      <c r="M63" s="8"/>
      <c r="N63" s="164"/>
    </row>
    <row r="64" spans="1:14" s="3" customFormat="1" ht="12.2" customHeight="1" x14ac:dyDescent="0.15">
      <c r="A64" s="1" t="s">
        <v>514</v>
      </c>
      <c r="B64" s="2" t="s">
        <v>309</v>
      </c>
      <c r="C64" s="6">
        <v>6</v>
      </c>
      <c r="D64" s="2" t="s">
        <v>430</v>
      </c>
      <c r="E64" s="6">
        <v>1314</v>
      </c>
      <c r="F64" s="18"/>
      <c r="G64" s="23" t="s">
        <v>288</v>
      </c>
      <c r="H64" s="18"/>
      <c r="I64" s="23" t="s">
        <v>288</v>
      </c>
      <c r="J64" s="23" t="s">
        <v>288</v>
      </c>
      <c r="K64" s="23" t="s">
        <v>288</v>
      </c>
      <c r="L64" s="23" t="s">
        <v>288</v>
      </c>
      <c r="M64" s="8"/>
      <c r="N64" s="164"/>
    </row>
    <row r="65" spans="1:14" s="26" customFormat="1" ht="12.2" customHeight="1" x14ac:dyDescent="0.15">
      <c r="A65" s="1" t="s">
        <v>499</v>
      </c>
      <c r="B65" s="2" t="s">
        <v>309</v>
      </c>
      <c r="C65" s="6">
        <v>7</v>
      </c>
      <c r="D65" s="2" t="s">
        <v>430</v>
      </c>
      <c r="E65" s="6">
        <v>1315</v>
      </c>
      <c r="F65" s="18"/>
      <c r="G65" s="23" t="s">
        <v>288</v>
      </c>
      <c r="H65" s="18"/>
      <c r="I65" s="23" t="s">
        <v>288</v>
      </c>
      <c r="J65" s="23" t="s">
        <v>288</v>
      </c>
      <c r="K65" s="23" t="s">
        <v>288</v>
      </c>
      <c r="L65" s="23" t="s">
        <v>288</v>
      </c>
      <c r="M65" s="30"/>
      <c r="N65" s="199"/>
    </row>
    <row r="66" spans="1:14" s="3" customFormat="1" ht="12.2" customHeight="1" x14ac:dyDescent="0.15">
      <c r="A66" s="1" t="s">
        <v>327</v>
      </c>
      <c r="B66" s="2" t="s">
        <v>309</v>
      </c>
      <c r="C66" s="6">
        <v>8</v>
      </c>
      <c r="D66" s="2" t="s">
        <v>430</v>
      </c>
      <c r="E66" s="6">
        <v>1316</v>
      </c>
      <c r="F66" s="18">
        <v>0</v>
      </c>
      <c r="G66" s="23" t="s">
        <v>288</v>
      </c>
      <c r="H66" s="18"/>
      <c r="I66" s="23" t="s">
        <v>288</v>
      </c>
      <c r="J66" s="23" t="s">
        <v>288</v>
      </c>
      <c r="K66" s="23" t="s">
        <v>288</v>
      </c>
      <c r="L66" s="23" t="s">
        <v>288</v>
      </c>
      <c r="M66" s="8"/>
      <c r="N66" s="164"/>
    </row>
    <row r="67" spans="1:14" s="3" customFormat="1" ht="12.2" customHeight="1" x14ac:dyDescent="0.15">
      <c r="A67" s="29" t="s">
        <v>410</v>
      </c>
      <c r="B67" s="2"/>
      <c r="C67" s="6"/>
      <c r="D67" s="6"/>
      <c r="E67" s="6">
        <v>1320</v>
      </c>
      <c r="F67" s="23" t="s">
        <v>288</v>
      </c>
      <c r="G67" s="23" t="s">
        <v>288</v>
      </c>
      <c r="H67" s="23" t="s">
        <v>288</v>
      </c>
      <c r="I67" s="23" t="s">
        <v>288</v>
      </c>
      <c r="J67" s="23" t="s">
        <v>288</v>
      </c>
      <c r="K67" s="23" t="s">
        <v>288</v>
      </c>
      <c r="L67" s="23" t="s">
        <v>288</v>
      </c>
      <c r="M67" s="8"/>
      <c r="N67" s="164"/>
    </row>
    <row r="68" spans="1:14" s="3" customFormat="1" ht="12.2" customHeight="1" x14ac:dyDescent="0.15">
      <c r="A68" s="1" t="s">
        <v>513</v>
      </c>
      <c r="B68" s="2" t="s">
        <v>309</v>
      </c>
      <c r="C68" s="6">
        <v>9</v>
      </c>
      <c r="D68" s="2" t="s">
        <v>430</v>
      </c>
      <c r="E68" s="6">
        <v>1321</v>
      </c>
      <c r="F68" s="18">
        <v>5796344.8099999996</v>
      </c>
      <c r="G68" s="23" t="s">
        <v>288</v>
      </c>
      <c r="H68" s="18"/>
      <c r="I68" s="23" t="s">
        <v>288</v>
      </c>
      <c r="J68" s="23" t="s">
        <v>288</v>
      </c>
      <c r="K68" s="23" t="s">
        <v>288</v>
      </c>
      <c r="L68" s="23" t="s">
        <v>288</v>
      </c>
      <c r="M68" s="8"/>
      <c r="N68" s="164"/>
    </row>
    <row r="69" spans="1:14" s="3" customFormat="1" ht="12.2" customHeight="1" x14ac:dyDescent="0.15">
      <c r="A69" s="1" t="s">
        <v>515</v>
      </c>
      <c r="B69" s="2" t="s">
        <v>309</v>
      </c>
      <c r="C69" s="6">
        <v>10</v>
      </c>
      <c r="D69" s="2" t="s">
        <v>430</v>
      </c>
      <c r="E69" s="6">
        <v>1322</v>
      </c>
      <c r="F69" s="18">
        <v>641177.75</v>
      </c>
      <c r="G69" s="23" t="s">
        <v>288</v>
      </c>
      <c r="H69" s="18"/>
      <c r="I69" s="23" t="s">
        <v>288</v>
      </c>
      <c r="J69" s="23" t="s">
        <v>288</v>
      </c>
      <c r="K69" s="23" t="s">
        <v>288</v>
      </c>
      <c r="L69" s="23" t="s">
        <v>288</v>
      </c>
      <c r="M69" s="8"/>
      <c r="N69" s="164"/>
    </row>
    <row r="70" spans="1:14" s="3" customFormat="1" ht="12.2" customHeight="1" x14ac:dyDescent="0.15">
      <c r="A70" s="1" t="s">
        <v>516</v>
      </c>
      <c r="B70" s="2" t="s">
        <v>309</v>
      </c>
      <c r="C70" s="6">
        <v>11</v>
      </c>
      <c r="D70" s="2" t="s">
        <v>430</v>
      </c>
      <c r="E70" s="6">
        <v>1323</v>
      </c>
      <c r="F70" s="18">
        <v>0</v>
      </c>
      <c r="G70" s="23" t="s">
        <v>288</v>
      </c>
      <c r="H70" s="18"/>
      <c r="I70" s="23" t="s">
        <v>288</v>
      </c>
      <c r="J70" s="23" t="s">
        <v>288</v>
      </c>
      <c r="K70" s="23" t="s">
        <v>288</v>
      </c>
      <c r="L70" s="23" t="s">
        <v>288</v>
      </c>
      <c r="M70" s="8"/>
      <c r="N70" s="164"/>
    </row>
    <row r="71" spans="1:14" s="3" customFormat="1" ht="12.2" customHeight="1" x14ac:dyDescent="0.15">
      <c r="A71" s="29" t="s">
        <v>411</v>
      </c>
      <c r="B71" s="1" t="s">
        <v>301</v>
      </c>
      <c r="E71" s="6">
        <v>1330</v>
      </c>
      <c r="F71" s="23" t="s">
        <v>288</v>
      </c>
      <c r="G71" s="23" t="s">
        <v>288</v>
      </c>
      <c r="H71" s="23" t="s">
        <v>288</v>
      </c>
      <c r="I71" s="23" t="s">
        <v>288</v>
      </c>
      <c r="J71" s="23" t="s">
        <v>288</v>
      </c>
      <c r="K71" s="23" t="s">
        <v>288</v>
      </c>
      <c r="L71" s="23" t="s">
        <v>288</v>
      </c>
      <c r="M71" s="8"/>
      <c r="N71" s="164"/>
    </row>
    <row r="72" spans="1:14" s="3" customFormat="1" ht="12.2" customHeight="1" x14ac:dyDescent="0.15">
      <c r="A72" s="1" t="s">
        <v>513</v>
      </c>
      <c r="B72" s="2" t="s">
        <v>309</v>
      </c>
      <c r="C72" s="6">
        <v>12</v>
      </c>
      <c r="D72" s="2" t="s">
        <v>430</v>
      </c>
      <c r="E72" s="6">
        <v>1331</v>
      </c>
      <c r="F72" s="18"/>
      <c r="G72" s="23" t="s">
        <v>288</v>
      </c>
      <c r="H72" s="18"/>
      <c r="I72" s="23" t="s">
        <v>288</v>
      </c>
      <c r="J72" s="23" t="s">
        <v>288</v>
      </c>
      <c r="K72" s="23" t="s">
        <v>288</v>
      </c>
      <c r="L72" s="23" t="s">
        <v>288</v>
      </c>
      <c r="M72" s="8"/>
      <c r="N72" s="164"/>
    </row>
    <row r="73" spans="1:14" s="3" customFormat="1" ht="12.2" customHeight="1" x14ac:dyDescent="0.15">
      <c r="A73" s="1" t="s">
        <v>515</v>
      </c>
      <c r="B73" s="2" t="s">
        <v>309</v>
      </c>
      <c r="C73" s="6">
        <v>13</v>
      </c>
      <c r="D73" s="2" t="s">
        <v>430</v>
      </c>
      <c r="E73" s="6">
        <v>1332</v>
      </c>
      <c r="F73" s="18"/>
      <c r="G73" s="23" t="s">
        <v>288</v>
      </c>
      <c r="H73" s="18"/>
      <c r="I73" s="23" t="s">
        <v>288</v>
      </c>
      <c r="J73" s="23" t="s">
        <v>288</v>
      </c>
      <c r="K73" s="23" t="s">
        <v>288</v>
      </c>
      <c r="L73" s="23" t="s">
        <v>288</v>
      </c>
      <c r="M73" s="8"/>
      <c r="N73" s="164"/>
    </row>
    <row r="74" spans="1:14" s="3" customFormat="1" ht="12.2" customHeight="1" x14ac:dyDescent="0.15">
      <c r="A74" s="1" t="s">
        <v>516</v>
      </c>
      <c r="B74" s="2" t="s">
        <v>309</v>
      </c>
      <c r="C74" s="6">
        <v>14</v>
      </c>
      <c r="D74" s="2" t="s">
        <v>430</v>
      </c>
      <c r="E74" s="6">
        <v>1333</v>
      </c>
      <c r="F74" s="18"/>
      <c r="G74" s="23" t="s">
        <v>288</v>
      </c>
      <c r="H74" s="18"/>
      <c r="I74" s="23" t="s">
        <v>288</v>
      </c>
      <c r="J74" s="23" t="s">
        <v>288</v>
      </c>
      <c r="K74" s="23" t="s">
        <v>288</v>
      </c>
      <c r="L74" s="23" t="s">
        <v>288</v>
      </c>
      <c r="M74" s="8"/>
      <c r="N74" s="164"/>
    </row>
    <row r="75" spans="1:14" s="3" customFormat="1" ht="12.2" customHeight="1" x14ac:dyDescent="0.15">
      <c r="A75" s="29" t="s">
        <v>313</v>
      </c>
      <c r="E75" s="6">
        <v>1340</v>
      </c>
      <c r="F75" s="23" t="s">
        <v>288</v>
      </c>
      <c r="G75" s="23" t="s">
        <v>288</v>
      </c>
      <c r="H75" s="23" t="s">
        <v>288</v>
      </c>
      <c r="I75" s="23" t="s">
        <v>288</v>
      </c>
      <c r="J75" s="23" t="s">
        <v>288</v>
      </c>
      <c r="K75" s="23" t="s">
        <v>288</v>
      </c>
      <c r="L75" s="23" t="s">
        <v>288</v>
      </c>
      <c r="M75" s="8"/>
      <c r="N75" s="164"/>
    </row>
    <row r="76" spans="1:14" s="3" customFormat="1" ht="12.2" customHeight="1" x14ac:dyDescent="0.15">
      <c r="A76" s="1" t="s">
        <v>513</v>
      </c>
      <c r="B76" s="2" t="s">
        <v>309</v>
      </c>
      <c r="C76" s="6">
        <v>15</v>
      </c>
      <c r="D76" s="2" t="s">
        <v>430</v>
      </c>
      <c r="E76" s="6">
        <v>1341</v>
      </c>
      <c r="F76" s="18"/>
      <c r="G76" s="23" t="s">
        <v>288</v>
      </c>
      <c r="H76" s="18"/>
      <c r="I76" s="23" t="s">
        <v>288</v>
      </c>
      <c r="J76" s="23" t="s">
        <v>288</v>
      </c>
      <c r="K76" s="23" t="s">
        <v>288</v>
      </c>
      <c r="L76" s="23" t="s">
        <v>288</v>
      </c>
      <c r="M76" s="8"/>
      <c r="N76" s="164"/>
    </row>
    <row r="77" spans="1:14" s="3" customFormat="1" ht="12.2" customHeight="1" x14ac:dyDescent="0.15">
      <c r="A77" s="1" t="s">
        <v>515</v>
      </c>
      <c r="B77" s="2" t="s">
        <v>309</v>
      </c>
      <c r="C77" s="6">
        <v>16</v>
      </c>
      <c r="D77" s="2" t="s">
        <v>430</v>
      </c>
      <c r="E77" s="6">
        <v>1342</v>
      </c>
      <c r="F77" s="18"/>
      <c r="G77" s="23" t="s">
        <v>288</v>
      </c>
      <c r="H77" s="18"/>
      <c r="I77" s="23" t="s">
        <v>288</v>
      </c>
      <c r="J77" s="23" t="s">
        <v>288</v>
      </c>
      <c r="K77" s="23" t="s">
        <v>288</v>
      </c>
      <c r="L77" s="23" t="s">
        <v>288</v>
      </c>
      <c r="M77" s="8"/>
      <c r="N77" s="164"/>
    </row>
    <row r="78" spans="1:14" ht="12.2" customHeight="1" thickBot="1" x14ac:dyDescent="0.25">
      <c r="A78" s="1" t="s">
        <v>510</v>
      </c>
      <c r="B78" s="2" t="s">
        <v>309</v>
      </c>
      <c r="C78" s="6">
        <v>17</v>
      </c>
      <c r="D78" s="2" t="s">
        <v>430</v>
      </c>
      <c r="E78" s="6">
        <v>1349</v>
      </c>
      <c r="F78" s="18"/>
      <c r="G78" s="23" t="s">
        <v>288</v>
      </c>
      <c r="H78" s="18"/>
      <c r="I78" s="23" t="s">
        <v>288</v>
      </c>
      <c r="J78" s="23" t="s">
        <v>288</v>
      </c>
      <c r="K78" s="23" t="s">
        <v>288</v>
      </c>
      <c r="L78" s="23" t="s">
        <v>288</v>
      </c>
      <c r="N78" s="130"/>
    </row>
    <row r="79" spans="1:14" s="3" customFormat="1" ht="12.2" customHeight="1" thickTop="1" x14ac:dyDescent="0.15">
      <c r="A79" s="35" t="s">
        <v>409</v>
      </c>
      <c r="B79" s="36" t="s">
        <v>309</v>
      </c>
      <c r="C79" s="36" t="s">
        <v>314</v>
      </c>
      <c r="D79" s="36" t="s">
        <v>430</v>
      </c>
      <c r="E79" s="37">
        <v>1300</v>
      </c>
      <c r="F79" s="38">
        <f>SUM(F63:F78)</f>
        <v>6441532.0699999994</v>
      </c>
      <c r="G79" s="42" t="s">
        <v>288</v>
      </c>
      <c r="H79" s="38">
        <f>SUM(H63:H78)</f>
        <v>0</v>
      </c>
      <c r="I79" s="42" t="s">
        <v>288</v>
      </c>
      <c r="J79" s="42" t="s">
        <v>288</v>
      </c>
      <c r="K79" s="42" t="s">
        <v>288</v>
      </c>
      <c r="L79" s="42" t="s">
        <v>288</v>
      </c>
      <c r="M79" s="8"/>
      <c r="N79" s="164"/>
    </row>
    <row r="80" spans="1:14" s="3" customFormat="1" ht="12.2" customHeight="1" x14ac:dyDescent="0.2">
      <c r="A80"/>
      <c r="B80"/>
      <c r="C80" s="31"/>
      <c r="D80" s="31"/>
      <c r="E80" s="31"/>
      <c r="F80" s="22" t="s">
        <v>273</v>
      </c>
      <c r="G80" s="22" t="s">
        <v>274</v>
      </c>
      <c r="H80" s="22" t="s">
        <v>275</v>
      </c>
      <c r="I80" s="22" t="s">
        <v>276</v>
      </c>
      <c r="J80" s="22" t="s">
        <v>277</v>
      </c>
      <c r="K80" s="19"/>
      <c r="L80" s="19"/>
      <c r="M80" s="8"/>
      <c r="N80" s="164"/>
    </row>
    <row r="81" spans="1:14" s="3" customFormat="1" ht="12.2" customHeight="1" x14ac:dyDescent="0.2">
      <c r="A81" s="125" t="s">
        <v>518</v>
      </c>
      <c r="C81" s="22"/>
      <c r="D81" s="22"/>
      <c r="E81" s="22"/>
      <c r="F81" s="22"/>
      <c r="G81" s="22"/>
      <c r="H81" s="22" t="s">
        <v>282</v>
      </c>
      <c r="I81" s="22"/>
      <c r="J81" s="22"/>
      <c r="K81" s="19"/>
      <c r="L81" s="19"/>
      <c r="M81" s="8"/>
      <c r="N81" s="164"/>
    </row>
    <row r="82" spans="1:14" s="3" customFormat="1" ht="12.2" customHeight="1" x14ac:dyDescent="0.2">
      <c r="A82" s="29" t="s">
        <v>412</v>
      </c>
      <c r="C82" s="22"/>
      <c r="D82" s="22"/>
      <c r="E82" s="6">
        <v>1410</v>
      </c>
      <c r="F82" s="16" t="s">
        <v>280</v>
      </c>
      <c r="G82" s="16" t="s">
        <v>281</v>
      </c>
      <c r="H82" s="16" t="s">
        <v>765</v>
      </c>
      <c r="I82" s="16" t="s">
        <v>283</v>
      </c>
      <c r="J82" s="16" t="s">
        <v>284</v>
      </c>
      <c r="K82" s="19"/>
      <c r="L82" s="19"/>
      <c r="M82" s="8"/>
      <c r="N82" s="164"/>
    </row>
    <row r="83" spans="1:14" s="3" customFormat="1" ht="12.2" customHeight="1" x14ac:dyDescent="0.15">
      <c r="A83" s="1" t="s">
        <v>513</v>
      </c>
      <c r="B83" s="2" t="s">
        <v>315</v>
      </c>
      <c r="C83" s="6">
        <v>1</v>
      </c>
      <c r="D83" s="2" t="s">
        <v>430</v>
      </c>
      <c r="E83" s="6">
        <v>1411</v>
      </c>
      <c r="F83" s="18"/>
      <c r="G83" s="23" t="s">
        <v>288</v>
      </c>
      <c r="H83" s="18"/>
      <c r="I83" s="23" t="s">
        <v>288</v>
      </c>
      <c r="J83" s="23" t="s">
        <v>288</v>
      </c>
      <c r="K83" s="23" t="s">
        <v>288</v>
      </c>
      <c r="L83" s="23" t="s">
        <v>288</v>
      </c>
      <c r="M83" s="8"/>
      <c r="N83" s="164"/>
    </row>
    <row r="84" spans="1:14" s="3" customFormat="1" ht="12.2" customHeight="1" x14ac:dyDescent="0.15">
      <c r="A84" s="1" t="s">
        <v>514</v>
      </c>
      <c r="B84" s="2" t="s">
        <v>315</v>
      </c>
      <c r="C84" s="6">
        <v>2</v>
      </c>
      <c r="D84" s="2" t="s">
        <v>430</v>
      </c>
      <c r="E84" s="6">
        <v>1414</v>
      </c>
      <c r="F84" s="18"/>
      <c r="G84" s="23" t="s">
        <v>288</v>
      </c>
      <c r="H84" s="18"/>
      <c r="I84" s="23" t="s">
        <v>288</v>
      </c>
      <c r="J84" s="23" t="s">
        <v>288</v>
      </c>
      <c r="K84" s="23" t="s">
        <v>288</v>
      </c>
      <c r="L84" s="23" t="s">
        <v>288</v>
      </c>
      <c r="M84" s="8"/>
      <c r="N84" s="164"/>
    </row>
    <row r="85" spans="1:14" s="3" customFormat="1" ht="12.2" customHeight="1" x14ac:dyDescent="0.15">
      <c r="A85" s="29" t="s">
        <v>312</v>
      </c>
      <c r="C85" s="22"/>
      <c r="D85" s="22"/>
      <c r="E85" s="6">
        <v>1420</v>
      </c>
      <c r="F85" s="23" t="s">
        <v>288</v>
      </c>
      <c r="G85" s="23" t="s">
        <v>288</v>
      </c>
      <c r="H85" s="23" t="s">
        <v>288</v>
      </c>
      <c r="I85" s="23" t="s">
        <v>288</v>
      </c>
      <c r="J85" s="23" t="s">
        <v>288</v>
      </c>
      <c r="K85" s="23" t="s">
        <v>288</v>
      </c>
      <c r="L85" s="23" t="s">
        <v>288</v>
      </c>
      <c r="M85" s="8"/>
      <c r="N85" s="164"/>
    </row>
    <row r="86" spans="1:14" s="3" customFormat="1" ht="12.2" customHeight="1" x14ac:dyDescent="0.15">
      <c r="A86" s="1" t="s">
        <v>513</v>
      </c>
      <c r="B86" s="1" t="s">
        <v>315</v>
      </c>
      <c r="C86" s="6">
        <v>3</v>
      </c>
      <c r="D86" s="2" t="s">
        <v>430</v>
      </c>
      <c r="E86" s="6">
        <v>1421</v>
      </c>
      <c r="F86" s="18">
        <v>17100</v>
      </c>
      <c r="G86" s="23" t="s">
        <v>288</v>
      </c>
      <c r="H86" s="18"/>
      <c r="I86" s="23" t="s">
        <v>288</v>
      </c>
      <c r="J86" s="23" t="s">
        <v>288</v>
      </c>
      <c r="K86" s="23" t="s">
        <v>288</v>
      </c>
      <c r="L86" s="23" t="s">
        <v>288</v>
      </c>
      <c r="M86" s="8"/>
      <c r="N86" s="164"/>
    </row>
    <row r="87" spans="1:14" s="3" customFormat="1" ht="12.2" customHeight="1" x14ac:dyDescent="0.15">
      <c r="A87" s="1" t="s">
        <v>515</v>
      </c>
      <c r="B87" s="2" t="s">
        <v>315</v>
      </c>
      <c r="C87" s="6">
        <v>4</v>
      </c>
      <c r="D87" s="2" t="s">
        <v>430</v>
      </c>
      <c r="E87" s="6">
        <v>1422</v>
      </c>
      <c r="F87" s="18">
        <v>0</v>
      </c>
      <c r="G87" s="23" t="s">
        <v>288</v>
      </c>
      <c r="H87" s="18"/>
      <c r="I87" s="23" t="s">
        <v>288</v>
      </c>
      <c r="J87" s="23" t="s">
        <v>288</v>
      </c>
      <c r="K87" s="23" t="s">
        <v>288</v>
      </c>
      <c r="L87" s="23" t="s">
        <v>288</v>
      </c>
      <c r="M87" s="8"/>
      <c r="N87" s="164"/>
    </row>
    <row r="88" spans="1:14" s="3" customFormat="1" ht="12.2" customHeight="1" x14ac:dyDescent="0.15">
      <c r="A88" s="1" t="s">
        <v>516</v>
      </c>
      <c r="B88" s="2" t="s">
        <v>315</v>
      </c>
      <c r="C88" s="6">
        <v>5</v>
      </c>
      <c r="D88" s="2" t="s">
        <v>430</v>
      </c>
      <c r="E88" s="6">
        <v>1423</v>
      </c>
      <c r="F88" s="18"/>
      <c r="G88" s="23" t="s">
        <v>288</v>
      </c>
      <c r="H88" s="18"/>
      <c r="I88" s="23" t="s">
        <v>288</v>
      </c>
      <c r="J88" s="23" t="s">
        <v>288</v>
      </c>
      <c r="K88" s="23" t="s">
        <v>288</v>
      </c>
      <c r="L88" s="23" t="s">
        <v>288</v>
      </c>
      <c r="M88" s="8"/>
      <c r="N88" s="164"/>
    </row>
    <row r="89" spans="1:14" s="3" customFormat="1" ht="12.2" customHeight="1" x14ac:dyDescent="0.15">
      <c r="A89" s="29" t="s">
        <v>316</v>
      </c>
      <c r="C89" s="22"/>
      <c r="D89" s="22"/>
      <c r="E89" s="6">
        <v>1430</v>
      </c>
      <c r="F89" s="23" t="s">
        <v>288</v>
      </c>
      <c r="G89" s="23" t="s">
        <v>288</v>
      </c>
      <c r="H89" s="23" t="s">
        <v>288</v>
      </c>
      <c r="I89" s="23" t="s">
        <v>288</v>
      </c>
      <c r="J89" s="23" t="s">
        <v>288</v>
      </c>
      <c r="K89" s="23" t="s">
        <v>288</v>
      </c>
      <c r="L89" s="23" t="s">
        <v>288</v>
      </c>
      <c r="M89" s="8"/>
      <c r="N89" s="164"/>
    </row>
    <row r="90" spans="1:14" s="3" customFormat="1" ht="12.2" customHeight="1" x14ac:dyDescent="0.15">
      <c r="A90" s="1" t="s">
        <v>513</v>
      </c>
      <c r="B90" s="2" t="s">
        <v>315</v>
      </c>
      <c r="C90" s="6">
        <v>6</v>
      </c>
      <c r="D90" s="2" t="s">
        <v>430</v>
      </c>
      <c r="E90" s="6">
        <v>1431</v>
      </c>
      <c r="F90" s="18"/>
      <c r="G90" s="23" t="s">
        <v>288</v>
      </c>
      <c r="H90" s="18"/>
      <c r="I90" s="23" t="s">
        <v>288</v>
      </c>
      <c r="J90" s="23" t="s">
        <v>288</v>
      </c>
      <c r="K90" s="23" t="s">
        <v>288</v>
      </c>
      <c r="L90" s="23" t="s">
        <v>288</v>
      </c>
      <c r="M90" s="8"/>
      <c r="N90" s="164"/>
    </row>
    <row r="91" spans="1:14" s="3" customFormat="1" ht="12.2" customHeight="1" x14ac:dyDescent="0.15">
      <c r="A91" s="1" t="s">
        <v>515</v>
      </c>
      <c r="B91" s="2" t="s">
        <v>315</v>
      </c>
      <c r="C91" s="6">
        <v>7</v>
      </c>
      <c r="D91" s="2" t="s">
        <v>430</v>
      </c>
      <c r="E91" s="6">
        <v>1432</v>
      </c>
      <c r="F91" s="18"/>
      <c r="G91" s="23" t="s">
        <v>288</v>
      </c>
      <c r="H91" s="18"/>
      <c r="I91" s="23" t="s">
        <v>288</v>
      </c>
      <c r="J91" s="23" t="s">
        <v>288</v>
      </c>
      <c r="K91" s="23" t="s">
        <v>288</v>
      </c>
      <c r="L91" s="23" t="s">
        <v>288</v>
      </c>
      <c r="M91" s="8"/>
      <c r="N91" s="164"/>
    </row>
    <row r="92" spans="1:14" s="3" customFormat="1" ht="12.2" customHeight="1" x14ac:dyDescent="0.15">
      <c r="A92" s="1" t="s">
        <v>516</v>
      </c>
      <c r="B92" s="2" t="s">
        <v>315</v>
      </c>
      <c r="C92" s="6">
        <v>8</v>
      </c>
      <c r="D92" s="2" t="s">
        <v>430</v>
      </c>
      <c r="E92" s="6">
        <v>1433</v>
      </c>
      <c r="F92" s="18"/>
      <c r="G92" s="23" t="s">
        <v>288</v>
      </c>
      <c r="H92" s="18"/>
      <c r="I92" s="23" t="s">
        <v>288</v>
      </c>
      <c r="J92" s="23" t="s">
        <v>288</v>
      </c>
      <c r="K92" s="23" t="s">
        <v>288</v>
      </c>
      <c r="L92" s="23" t="s">
        <v>288</v>
      </c>
      <c r="M92" s="8"/>
      <c r="N92" s="164"/>
    </row>
    <row r="93" spans="1:14" s="3" customFormat="1" ht="12.2" customHeight="1" thickBot="1" x14ac:dyDescent="0.2">
      <c r="A93" s="1" t="s">
        <v>519</v>
      </c>
      <c r="B93" s="2" t="s">
        <v>315</v>
      </c>
      <c r="C93" s="6">
        <v>9</v>
      </c>
      <c r="D93" s="2" t="s">
        <v>430</v>
      </c>
      <c r="E93" s="6">
        <v>1440</v>
      </c>
      <c r="F93" s="18"/>
      <c r="G93" s="23" t="s">
        <v>288</v>
      </c>
      <c r="H93" s="18"/>
      <c r="I93" s="23" t="s">
        <v>288</v>
      </c>
      <c r="J93" s="23" t="s">
        <v>288</v>
      </c>
      <c r="K93" s="23" t="s">
        <v>288</v>
      </c>
      <c r="L93" s="23" t="s">
        <v>288</v>
      </c>
      <c r="M93" s="8"/>
      <c r="N93" s="164"/>
    </row>
    <row r="94" spans="1:14" s="3" customFormat="1" ht="12.2" customHeight="1" thickTop="1" x14ac:dyDescent="0.15">
      <c r="A94" s="35" t="s">
        <v>413</v>
      </c>
      <c r="B94" s="36" t="s">
        <v>315</v>
      </c>
      <c r="C94" s="37">
        <v>10</v>
      </c>
      <c r="D94" s="36" t="s">
        <v>430</v>
      </c>
      <c r="E94" s="37">
        <v>1400</v>
      </c>
      <c r="F94" s="38">
        <f>SUM(F83:F93)</f>
        <v>17100</v>
      </c>
      <c r="G94" s="42" t="s">
        <v>288</v>
      </c>
      <c r="H94" s="38">
        <f>SUM(H83:H93)</f>
        <v>0</v>
      </c>
      <c r="I94" s="42" t="s">
        <v>288</v>
      </c>
      <c r="J94" s="42" t="s">
        <v>288</v>
      </c>
      <c r="K94" s="42" t="s">
        <v>288</v>
      </c>
      <c r="L94" s="42" t="s">
        <v>288</v>
      </c>
      <c r="M94" s="8"/>
      <c r="N94" s="164"/>
    </row>
    <row r="95" spans="1:14" s="3" customFormat="1" ht="12.2" customHeight="1" x14ac:dyDescent="0.15">
      <c r="A95" s="29" t="s">
        <v>317</v>
      </c>
      <c r="B95" s="2" t="s">
        <v>286</v>
      </c>
      <c r="C95" s="6" t="s">
        <v>286</v>
      </c>
      <c r="D95" s="6"/>
      <c r="E95" s="6"/>
      <c r="F95" s="23" t="s">
        <v>288</v>
      </c>
      <c r="G95" s="23" t="s">
        <v>288</v>
      </c>
      <c r="H95" s="23" t="s">
        <v>288</v>
      </c>
      <c r="I95" s="23" t="s">
        <v>288</v>
      </c>
      <c r="J95" s="23" t="s">
        <v>288</v>
      </c>
      <c r="K95" s="23" t="s">
        <v>288</v>
      </c>
      <c r="L95" s="23" t="s">
        <v>288</v>
      </c>
      <c r="M95" s="8"/>
      <c r="N95" s="164"/>
    </row>
    <row r="96" spans="1:14" s="3" customFormat="1" ht="12.2" customHeight="1" x14ac:dyDescent="0.15">
      <c r="A96" s="1" t="s">
        <v>592</v>
      </c>
      <c r="B96" s="2" t="s">
        <v>315</v>
      </c>
      <c r="C96" s="6">
        <v>11</v>
      </c>
      <c r="D96" s="2" t="s">
        <v>430</v>
      </c>
      <c r="E96" s="6">
        <v>1500</v>
      </c>
      <c r="F96" s="18">
        <v>54855.28</v>
      </c>
      <c r="G96" s="18">
        <v>14.79</v>
      </c>
      <c r="H96" s="18"/>
      <c r="I96" s="18"/>
      <c r="J96" s="18">
        <f>140986-41993.62</f>
        <v>98992.38</v>
      </c>
      <c r="K96" s="23" t="s">
        <v>288</v>
      </c>
      <c r="L96" s="23" t="s">
        <v>288</v>
      </c>
      <c r="M96" s="8"/>
      <c r="N96" s="164"/>
    </row>
    <row r="97" spans="1:14" s="3" customFormat="1" ht="12.2" customHeight="1" x14ac:dyDescent="0.15">
      <c r="A97" s="1" t="s">
        <v>503</v>
      </c>
      <c r="B97" s="2" t="s">
        <v>315</v>
      </c>
      <c r="C97" s="6">
        <v>12</v>
      </c>
      <c r="D97" s="2" t="s">
        <v>430</v>
      </c>
      <c r="E97" s="6">
        <v>1600</v>
      </c>
      <c r="F97" s="23" t="s">
        <v>288</v>
      </c>
      <c r="G97" s="18">
        <v>416894.62</v>
      </c>
      <c r="H97" s="23" t="s">
        <v>288</v>
      </c>
      <c r="I97" s="23" t="s">
        <v>288</v>
      </c>
      <c r="J97" s="23" t="s">
        <v>288</v>
      </c>
      <c r="K97" s="23" t="s">
        <v>288</v>
      </c>
      <c r="L97" s="23" t="s">
        <v>288</v>
      </c>
      <c r="M97" s="8"/>
      <c r="N97" s="164"/>
    </row>
    <row r="98" spans="1:14" s="3" customFormat="1" ht="12.2" customHeight="1" x14ac:dyDescent="0.15">
      <c r="A98" s="1" t="s">
        <v>504</v>
      </c>
      <c r="B98" s="2" t="s">
        <v>315</v>
      </c>
      <c r="C98" s="6">
        <v>13</v>
      </c>
      <c r="D98" s="2" t="s">
        <v>430</v>
      </c>
      <c r="E98" s="6">
        <v>1700</v>
      </c>
      <c r="F98" s="18">
        <v>6786</v>
      </c>
      <c r="G98" s="23" t="s">
        <v>288</v>
      </c>
      <c r="H98" s="18"/>
      <c r="I98" s="23" t="s">
        <v>288</v>
      </c>
      <c r="J98" s="23" t="s">
        <v>288</v>
      </c>
      <c r="K98" s="23" t="s">
        <v>288</v>
      </c>
      <c r="L98" s="23" t="s">
        <v>288</v>
      </c>
      <c r="M98" s="8"/>
      <c r="N98" s="164"/>
    </row>
    <row r="99" spans="1:14" s="3" customFormat="1" ht="12.2" customHeight="1" x14ac:dyDescent="0.15">
      <c r="A99" s="1" t="s">
        <v>587</v>
      </c>
      <c r="B99" s="2" t="s">
        <v>315</v>
      </c>
      <c r="C99" s="6">
        <v>14</v>
      </c>
      <c r="D99" s="2" t="s">
        <v>430</v>
      </c>
      <c r="E99" s="6">
        <v>1800</v>
      </c>
      <c r="F99" s="18"/>
      <c r="G99" s="18"/>
      <c r="H99" s="18"/>
      <c r="I99" s="23" t="s">
        <v>288</v>
      </c>
      <c r="J99" s="23" t="s">
        <v>288</v>
      </c>
      <c r="K99" s="23" t="s">
        <v>288</v>
      </c>
      <c r="L99" s="23" t="s">
        <v>288</v>
      </c>
      <c r="M99" s="8"/>
      <c r="N99" s="164"/>
    </row>
    <row r="100" spans="1:14" s="3" customFormat="1" ht="12.2" customHeight="1" x14ac:dyDescent="0.15">
      <c r="A100" s="29" t="s">
        <v>318</v>
      </c>
      <c r="B100" s="2"/>
      <c r="C100" s="6"/>
      <c r="D100" s="6"/>
      <c r="E100" s="6"/>
      <c r="F100" s="23" t="s">
        <v>288</v>
      </c>
      <c r="G100" s="23" t="s">
        <v>288</v>
      </c>
      <c r="H100" s="23" t="s">
        <v>288</v>
      </c>
      <c r="I100" s="23" t="s">
        <v>288</v>
      </c>
      <c r="J100" s="23" t="s">
        <v>288</v>
      </c>
      <c r="K100" s="23" t="s">
        <v>288</v>
      </c>
      <c r="L100" s="23" t="s">
        <v>288</v>
      </c>
      <c r="M100" s="8"/>
      <c r="N100" s="164"/>
    </row>
    <row r="101" spans="1:14" s="3" customFormat="1" ht="12.2" customHeight="1" x14ac:dyDescent="0.15">
      <c r="A101" s="1" t="s">
        <v>505</v>
      </c>
      <c r="B101" s="2" t="s">
        <v>315</v>
      </c>
      <c r="C101" s="6">
        <v>15</v>
      </c>
      <c r="D101" s="2" t="s">
        <v>430</v>
      </c>
      <c r="E101" s="6">
        <v>1910</v>
      </c>
      <c r="F101" s="18">
        <v>36560.49</v>
      </c>
      <c r="G101" s="18"/>
      <c r="H101" s="18"/>
      <c r="I101" s="18"/>
      <c r="J101" s="23" t="s">
        <v>288</v>
      </c>
      <c r="K101" s="23" t="s">
        <v>288</v>
      </c>
      <c r="L101" s="23" t="s">
        <v>288</v>
      </c>
      <c r="M101" s="8"/>
      <c r="N101" s="164"/>
    </row>
    <row r="102" spans="1:14" s="3" customFormat="1" ht="12.2" customHeight="1" x14ac:dyDescent="0.15">
      <c r="A102" s="1" t="s">
        <v>506</v>
      </c>
      <c r="B102" s="2" t="s">
        <v>315</v>
      </c>
      <c r="C102" s="6">
        <v>16</v>
      </c>
      <c r="D102" s="2" t="s">
        <v>430</v>
      </c>
      <c r="E102" s="6">
        <v>1920</v>
      </c>
      <c r="F102" s="18">
        <v>0</v>
      </c>
      <c r="G102" s="18"/>
      <c r="H102" s="18">
        <v>14050</v>
      </c>
      <c r="I102" s="18"/>
      <c r="J102" s="18"/>
      <c r="K102" s="23" t="s">
        <v>288</v>
      </c>
      <c r="L102" s="23" t="s">
        <v>288</v>
      </c>
      <c r="M102" s="8"/>
      <c r="N102" s="164"/>
    </row>
    <row r="103" spans="1:14" s="3" customFormat="1" ht="12.2" customHeight="1" x14ac:dyDescent="0.15">
      <c r="A103" s="1" t="s">
        <v>507</v>
      </c>
      <c r="B103" s="2" t="s">
        <v>315</v>
      </c>
      <c r="C103" s="6">
        <v>17</v>
      </c>
      <c r="D103" s="2" t="s">
        <v>430</v>
      </c>
      <c r="E103" s="6">
        <v>1930</v>
      </c>
      <c r="F103" s="18"/>
      <c r="G103" s="18"/>
      <c r="H103" s="18"/>
      <c r="I103" s="23" t="s">
        <v>288</v>
      </c>
      <c r="J103" s="23" t="s">
        <v>288</v>
      </c>
      <c r="K103" s="23" t="s">
        <v>288</v>
      </c>
      <c r="L103" s="23" t="s">
        <v>288</v>
      </c>
      <c r="M103" s="8"/>
      <c r="N103" s="164"/>
    </row>
    <row r="104" spans="1:14" s="3" customFormat="1" ht="12.2" customHeight="1" x14ac:dyDescent="0.15">
      <c r="A104" s="1" t="s">
        <v>588</v>
      </c>
      <c r="B104" s="2" t="s">
        <v>315</v>
      </c>
      <c r="C104" s="6">
        <v>18</v>
      </c>
      <c r="D104" s="2" t="s">
        <v>430</v>
      </c>
      <c r="E104" s="6">
        <v>1940</v>
      </c>
      <c r="F104" s="18"/>
      <c r="G104" s="23" t="s">
        <v>288</v>
      </c>
      <c r="H104" s="18"/>
      <c r="I104" s="23" t="s">
        <v>288</v>
      </c>
      <c r="J104" s="23" t="s">
        <v>288</v>
      </c>
      <c r="K104" s="23" t="s">
        <v>288</v>
      </c>
      <c r="L104" s="23" t="s">
        <v>288</v>
      </c>
      <c r="M104" s="8"/>
      <c r="N104" s="164"/>
    </row>
    <row r="105" spans="1:14" s="3" customFormat="1" ht="12.2" customHeight="1" x14ac:dyDescent="0.15">
      <c r="A105" s="1" t="s">
        <v>589</v>
      </c>
      <c r="B105" s="2" t="s">
        <v>315</v>
      </c>
      <c r="C105" s="6">
        <v>19</v>
      </c>
      <c r="D105" s="2" t="s">
        <v>430</v>
      </c>
      <c r="E105" s="6">
        <v>1951</v>
      </c>
      <c r="F105" s="18"/>
      <c r="G105" s="18"/>
      <c r="H105" s="18"/>
      <c r="I105" s="23" t="s">
        <v>288</v>
      </c>
      <c r="J105" s="23" t="s">
        <v>288</v>
      </c>
      <c r="K105" s="23" t="s">
        <v>288</v>
      </c>
      <c r="L105" s="23" t="s">
        <v>288</v>
      </c>
      <c r="M105" s="8"/>
      <c r="N105" s="164"/>
    </row>
    <row r="106" spans="1:14" s="3" customFormat="1" ht="12.2" customHeight="1" x14ac:dyDescent="0.15">
      <c r="A106" s="1" t="s">
        <v>590</v>
      </c>
      <c r="B106" s="2" t="s">
        <v>315</v>
      </c>
      <c r="C106" s="6">
        <v>20</v>
      </c>
      <c r="D106" s="2" t="s">
        <v>430</v>
      </c>
      <c r="E106" s="6">
        <v>1952</v>
      </c>
      <c r="F106" s="18"/>
      <c r="G106" s="18"/>
      <c r="H106" s="18"/>
      <c r="I106" s="23" t="s">
        <v>288</v>
      </c>
      <c r="J106" s="23" t="s">
        <v>288</v>
      </c>
      <c r="K106" s="23" t="s">
        <v>288</v>
      </c>
      <c r="L106" s="23" t="s">
        <v>288</v>
      </c>
      <c r="M106" s="8"/>
      <c r="N106" s="164"/>
    </row>
    <row r="107" spans="1:14" s="3" customFormat="1" ht="12.2" customHeight="1" x14ac:dyDescent="0.15">
      <c r="A107" s="1" t="s">
        <v>508</v>
      </c>
      <c r="B107" s="2" t="s">
        <v>315</v>
      </c>
      <c r="C107" s="6">
        <v>21</v>
      </c>
      <c r="D107" s="2" t="s">
        <v>430</v>
      </c>
      <c r="E107" s="6">
        <v>1953</v>
      </c>
      <c r="F107" s="18"/>
      <c r="G107" s="18"/>
      <c r="H107" s="18"/>
      <c r="I107" s="18"/>
      <c r="J107" s="23" t="s">
        <v>288</v>
      </c>
      <c r="K107" s="23" t="s">
        <v>288</v>
      </c>
      <c r="L107" s="23" t="s">
        <v>288</v>
      </c>
      <c r="M107" s="8"/>
      <c r="N107" s="164"/>
    </row>
    <row r="108" spans="1:14" s="3" customFormat="1" ht="12.2" customHeight="1" x14ac:dyDescent="0.15">
      <c r="A108" s="1" t="s">
        <v>591</v>
      </c>
      <c r="B108" s="2" t="s">
        <v>315</v>
      </c>
      <c r="C108" s="6">
        <v>22</v>
      </c>
      <c r="D108" s="2" t="s">
        <v>430</v>
      </c>
      <c r="E108" s="6">
        <v>1960</v>
      </c>
      <c r="F108" s="18"/>
      <c r="G108" s="18"/>
      <c r="H108" s="18"/>
      <c r="I108" s="18"/>
      <c r="J108" s="23" t="s">
        <v>288</v>
      </c>
      <c r="K108" s="23" t="s">
        <v>288</v>
      </c>
      <c r="L108" s="23" t="s">
        <v>288</v>
      </c>
      <c r="M108" s="8"/>
      <c r="N108" s="164"/>
    </row>
    <row r="109" spans="1:14" s="3" customFormat="1" ht="12.2" customHeight="1" x14ac:dyDescent="0.15">
      <c r="A109" s="1" t="s">
        <v>509</v>
      </c>
      <c r="B109" s="2" t="s">
        <v>315</v>
      </c>
      <c r="C109" s="6">
        <v>23</v>
      </c>
      <c r="D109" s="2" t="s">
        <v>430</v>
      </c>
      <c r="E109" s="6">
        <v>1980</v>
      </c>
      <c r="F109" s="18">
        <v>0</v>
      </c>
      <c r="G109" s="18"/>
      <c r="H109" s="18"/>
      <c r="I109" s="18"/>
      <c r="J109" s="23" t="s">
        <v>288</v>
      </c>
      <c r="K109" s="23" t="s">
        <v>288</v>
      </c>
      <c r="L109" s="23" t="s">
        <v>288</v>
      </c>
      <c r="M109" s="8"/>
      <c r="N109" s="164"/>
    </row>
    <row r="110" spans="1:14" s="3" customFormat="1" ht="12.2" customHeight="1" thickBot="1" x14ac:dyDescent="0.2">
      <c r="A110" s="1" t="s">
        <v>510</v>
      </c>
      <c r="B110" s="2" t="s">
        <v>315</v>
      </c>
      <c r="C110" s="6">
        <v>24</v>
      </c>
      <c r="D110" s="2" t="s">
        <v>430</v>
      </c>
      <c r="E110" s="6">
        <v>1990</v>
      </c>
      <c r="F110" s="18">
        <v>295647.65999999997</v>
      </c>
      <c r="G110" s="18">
        <v>6703</v>
      </c>
      <c r="H110" s="18">
        <v>503.12</v>
      </c>
      <c r="I110" s="18"/>
      <c r="J110" s="18"/>
      <c r="K110" s="23" t="s">
        <v>288</v>
      </c>
      <c r="L110" s="23" t="s">
        <v>288</v>
      </c>
      <c r="M110" s="8"/>
      <c r="N110" s="164"/>
    </row>
    <row r="111" spans="1:14" ht="12.2" customHeight="1" thickTop="1" thickBot="1" x14ac:dyDescent="0.25">
      <c r="A111" s="35" t="s">
        <v>433</v>
      </c>
      <c r="B111" s="36" t="s">
        <v>315</v>
      </c>
      <c r="C111" s="37">
        <v>25</v>
      </c>
      <c r="D111" s="36" t="s">
        <v>430</v>
      </c>
      <c r="E111" s="37"/>
      <c r="F111" s="38">
        <f>SUM(F96:F110)</f>
        <v>393849.42999999993</v>
      </c>
      <c r="G111" s="38">
        <f>SUM(G96:G110)</f>
        <v>423612.41</v>
      </c>
      <c r="H111" s="38">
        <f>SUM(H96:H110)</f>
        <v>14553.12</v>
      </c>
      <c r="I111" s="38">
        <f>SUM(I96:I110)</f>
        <v>0</v>
      </c>
      <c r="J111" s="38">
        <f>SUM(J96:J110)</f>
        <v>98992.38</v>
      </c>
      <c r="K111" s="42" t="s">
        <v>288</v>
      </c>
      <c r="L111" s="42" t="s">
        <v>288</v>
      </c>
      <c r="N111" s="130"/>
    </row>
    <row r="112" spans="1:14" s="3" customFormat="1" ht="12.2" customHeight="1" thickTop="1" x14ac:dyDescent="0.15">
      <c r="A112" s="35" t="s">
        <v>414</v>
      </c>
      <c r="B112" s="36" t="s">
        <v>315</v>
      </c>
      <c r="C112" s="37">
        <v>26</v>
      </c>
      <c r="D112" s="36" t="s">
        <v>430</v>
      </c>
      <c r="E112" s="37">
        <v>1000</v>
      </c>
      <c r="F112" s="38">
        <f>F60+F79+F94+F111</f>
        <v>20816073.5</v>
      </c>
      <c r="G112" s="38">
        <f>G60+G111</f>
        <v>423612.41</v>
      </c>
      <c r="H112" s="38">
        <f>H60+H79+H94+H111</f>
        <v>14553.12</v>
      </c>
      <c r="I112" s="38">
        <f>I60+I111</f>
        <v>0</v>
      </c>
      <c r="J112" s="38">
        <f>J60+J111</f>
        <v>98992.38</v>
      </c>
      <c r="K112" s="42" t="s">
        <v>288</v>
      </c>
      <c r="L112" s="42" t="s">
        <v>288</v>
      </c>
      <c r="M112" s="8"/>
      <c r="N112" s="164"/>
    </row>
    <row r="113" spans="1:14" s="3" customFormat="1" ht="12.2" customHeight="1" x14ac:dyDescent="0.2">
      <c r="A113"/>
      <c r="B113"/>
      <c r="C113"/>
      <c r="D113"/>
      <c r="E113"/>
      <c r="F113" s="22" t="s">
        <v>273</v>
      </c>
      <c r="G113" s="22" t="s">
        <v>274</v>
      </c>
      <c r="H113" s="22" t="s">
        <v>275</v>
      </c>
      <c r="I113" s="22" t="s">
        <v>276</v>
      </c>
      <c r="J113" s="22" t="s">
        <v>277</v>
      </c>
      <c r="K113" s="19"/>
      <c r="L113" s="19"/>
      <c r="M113" s="8"/>
      <c r="N113" s="164"/>
    </row>
    <row r="114" spans="1:14" s="3" customFormat="1" ht="12.2" customHeight="1" x14ac:dyDescent="0.2">
      <c r="A114" s="28" t="s">
        <v>319</v>
      </c>
      <c r="H114" s="22" t="s">
        <v>282</v>
      </c>
      <c r="K114" s="19"/>
      <c r="L114" s="19"/>
      <c r="M114" s="8"/>
      <c r="N114" s="164"/>
    </row>
    <row r="115" spans="1:14" s="3" customFormat="1" ht="12.2" customHeight="1" x14ac:dyDescent="0.2">
      <c r="A115" s="27" t="s">
        <v>320</v>
      </c>
      <c r="F115" s="16" t="s">
        <v>280</v>
      </c>
      <c r="G115" s="14" t="s">
        <v>281</v>
      </c>
      <c r="H115" s="16" t="s">
        <v>765</v>
      </c>
      <c r="I115" s="16" t="s">
        <v>283</v>
      </c>
      <c r="J115" s="16" t="s">
        <v>284</v>
      </c>
      <c r="K115" s="19"/>
      <c r="L115" s="19"/>
      <c r="M115" s="8"/>
      <c r="N115" s="164"/>
    </row>
    <row r="116" spans="1:14" s="3" customFormat="1" ht="12.2" customHeight="1" x14ac:dyDescent="0.15">
      <c r="A116" s="29" t="s">
        <v>323</v>
      </c>
      <c r="B116" s="7"/>
      <c r="C116" s="7"/>
      <c r="D116" s="7"/>
      <c r="E116" s="7"/>
      <c r="F116" s="23" t="s">
        <v>288</v>
      </c>
      <c r="G116" s="23" t="s">
        <v>288</v>
      </c>
      <c r="H116" s="23" t="s">
        <v>288</v>
      </c>
      <c r="I116" s="23" t="s">
        <v>288</v>
      </c>
      <c r="J116" s="23" t="s">
        <v>288</v>
      </c>
      <c r="K116" s="23" t="s">
        <v>288</v>
      </c>
      <c r="L116" s="23" t="s">
        <v>288</v>
      </c>
      <c r="M116" s="8"/>
      <c r="N116" s="164"/>
    </row>
    <row r="117" spans="1:14" s="3" customFormat="1" ht="12.2" customHeight="1" x14ac:dyDescent="0.15">
      <c r="A117" s="1" t="s">
        <v>829</v>
      </c>
      <c r="B117" s="2" t="s">
        <v>321</v>
      </c>
      <c r="C117" s="6">
        <v>1</v>
      </c>
      <c r="D117" s="2" t="s">
        <v>430</v>
      </c>
      <c r="E117" s="6">
        <v>3111</v>
      </c>
      <c r="F117" s="18">
        <v>5996631.7999999998</v>
      </c>
      <c r="G117" s="23" t="s">
        <v>288</v>
      </c>
      <c r="H117" s="23" t="s">
        <v>288</v>
      </c>
      <c r="I117" s="23" t="s">
        <v>288</v>
      </c>
      <c r="J117" s="23" t="s">
        <v>288</v>
      </c>
      <c r="K117" s="23" t="s">
        <v>288</v>
      </c>
      <c r="L117" s="23" t="s">
        <v>288</v>
      </c>
      <c r="M117" s="8"/>
      <c r="N117" s="164"/>
    </row>
    <row r="118" spans="1:14" s="3" customFormat="1" ht="12.2" customHeight="1" x14ac:dyDescent="0.15">
      <c r="A118" s="1" t="s">
        <v>766</v>
      </c>
      <c r="B118" s="2" t="s">
        <v>321</v>
      </c>
      <c r="C118" s="6">
        <v>2</v>
      </c>
      <c r="D118" s="2" t="s">
        <v>430</v>
      </c>
      <c r="E118" s="6">
        <v>3112</v>
      </c>
      <c r="F118" s="18">
        <v>1413042</v>
      </c>
      <c r="G118" s="23" t="s">
        <v>288</v>
      </c>
      <c r="H118" s="23" t="s">
        <v>288</v>
      </c>
      <c r="I118" s="23" t="s">
        <v>288</v>
      </c>
      <c r="J118" s="23" t="s">
        <v>288</v>
      </c>
      <c r="K118" s="23" t="s">
        <v>288</v>
      </c>
      <c r="L118" s="23" t="s">
        <v>288</v>
      </c>
      <c r="M118" s="8"/>
      <c r="N118" s="164"/>
    </row>
    <row r="119" spans="1:14" s="3" customFormat="1" ht="12.2" customHeight="1" x14ac:dyDescent="0.15">
      <c r="A119" s="3" t="s">
        <v>868</v>
      </c>
      <c r="B119" s="2" t="s">
        <v>321</v>
      </c>
      <c r="C119" s="6">
        <v>3</v>
      </c>
      <c r="D119" s="2" t="s">
        <v>430</v>
      </c>
      <c r="E119" s="6">
        <v>3119</v>
      </c>
      <c r="F119" s="23" t="s">
        <v>288</v>
      </c>
      <c r="G119" s="23" t="s">
        <v>288</v>
      </c>
      <c r="H119" s="23" t="s">
        <v>288</v>
      </c>
      <c r="I119" s="23" t="s">
        <v>288</v>
      </c>
      <c r="J119" s="23" t="s">
        <v>288</v>
      </c>
      <c r="K119" s="23" t="s">
        <v>288</v>
      </c>
      <c r="L119" s="23" t="s">
        <v>288</v>
      </c>
      <c r="M119" s="8"/>
      <c r="N119" s="164"/>
    </row>
    <row r="120" spans="1:14" s="3" customFormat="1" ht="12.2" customHeight="1" thickBot="1" x14ac:dyDescent="0.2">
      <c r="A120" s="3" t="s">
        <v>502</v>
      </c>
      <c r="B120" s="2" t="s">
        <v>321</v>
      </c>
      <c r="C120" s="6">
        <v>4</v>
      </c>
      <c r="D120" s="2" t="s">
        <v>430</v>
      </c>
      <c r="E120" s="6">
        <v>3190</v>
      </c>
      <c r="F120" s="18">
        <f>2181.59+23391.52</f>
        <v>25573.11</v>
      </c>
      <c r="G120" s="18"/>
      <c r="H120" s="18">
        <f>13400+1000</f>
        <v>14400</v>
      </c>
      <c r="I120" s="18"/>
      <c r="J120" s="18"/>
      <c r="K120" s="23" t="s">
        <v>288</v>
      </c>
      <c r="L120" s="23" t="s">
        <v>288</v>
      </c>
      <c r="M120" s="8"/>
      <c r="N120" s="164"/>
    </row>
    <row r="121" spans="1:14" s="3" customFormat="1" ht="12.2" customHeight="1" thickTop="1" x14ac:dyDescent="0.15">
      <c r="A121" s="35" t="s">
        <v>648</v>
      </c>
      <c r="B121" s="36" t="s">
        <v>321</v>
      </c>
      <c r="C121" s="37">
        <v>5</v>
      </c>
      <c r="D121" s="36" t="s">
        <v>430</v>
      </c>
      <c r="E121" s="37">
        <v>3100</v>
      </c>
      <c r="F121" s="38">
        <f>SUM(F117:F120)</f>
        <v>7435246.9100000001</v>
      </c>
      <c r="G121" s="38">
        <f>SUM(G117:G120)</f>
        <v>0</v>
      </c>
      <c r="H121" s="38">
        <f>SUM(H117:H120)</f>
        <v>14400</v>
      </c>
      <c r="I121" s="38">
        <f>SUM(I117:I120)</f>
        <v>0</v>
      </c>
      <c r="J121" s="38">
        <f>SUM(J117:J120)</f>
        <v>0</v>
      </c>
      <c r="K121" s="42" t="s">
        <v>288</v>
      </c>
      <c r="L121" s="42" t="s">
        <v>288</v>
      </c>
      <c r="M121" s="8"/>
      <c r="N121" s="164"/>
    </row>
    <row r="122" spans="1:14" s="3" customFormat="1" ht="12.2" customHeight="1" x14ac:dyDescent="0.15">
      <c r="A122" s="29" t="s">
        <v>325</v>
      </c>
      <c r="F122" s="23" t="s">
        <v>288</v>
      </c>
      <c r="G122" s="23" t="s">
        <v>288</v>
      </c>
      <c r="H122" s="23" t="s">
        <v>288</v>
      </c>
      <c r="I122" s="23" t="s">
        <v>288</v>
      </c>
      <c r="J122" s="23" t="s">
        <v>288</v>
      </c>
      <c r="K122" s="23" t="s">
        <v>288</v>
      </c>
      <c r="L122" s="23" t="s">
        <v>288</v>
      </c>
      <c r="M122" s="8"/>
      <c r="N122" s="164"/>
    </row>
    <row r="123" spans="1:14" s="3" customFormat="1" ht="12.2" customHeight="1" x14ac:dyDescent="0.15">
      <c r="A123" s="1" t="s">
        <v>496</v>
      </c>
      <c r="B123" s="2" t="s">
        <v>321</v>
      </c>
      <c r="C123" s="6">
        <v>6</v>
      </c>
      <c r="D123" s="2" t="s">
        <v>430</v>
      </c>
      <c r="E123" s="6">
        <v>3210</v>
      </c>
      <c r="F123" s="18">
        <v>115585.18</v>
      </c>
      <c r="G123" s="23" t="s">
        <v>288</v>
      </c>
      <c r="H123" s="23" t="s">
        <v>288</v>
      </c>
      <c r="I123" s="18"/>
      <c r="J123" s="23" t="s">
        <v>288</v>
      </c>
      <c r="K123" s="23" t="s">
        <v>288</v>
      </c>
      <c r="L123" s="23" t="s">
        <v>288</v>
      </c>
      <c r="M123" s="8"/>
      <c r="N123" s="164"/>
    </row>
    <row r="124" spans="1:14" s="3" customFormat="1" ht="12.2" customHeight="1" x14ac:dyDescent="0.15">
      <c r="A124" s="1" t="s">
        <v>497</v>
      </c>
      <c r="B124" s="2" t="s">
        <v>321</v>
      </c>
      <c r="C124" s="6">
        <v>7</v>
      </c>
      <c r="D124" s="2" t="s">
        <v>430</v>
      </c>
      <c r="E124" s="6">
        <v>3215</v>
      </c>
      <c r="F124" s="18"/>
      <c r="G124" s="23" t="s">
        <v>288</v>
      </c>
      <c r="H124" s="23" t="s">
        <v>288</v>
      </c>
      <c r="I124" s="18"/>
      <c r="J124" s="23"/>
      <c r="K124" s="23"/>
      <c r="L124" s="23"/>
      <c r="M124" s="8"/>
      <c r="N124" s="164"/>
    </row>
    <row r="125" spans="1:14" s="3" customFormat="1" ht="12.2" customHeight="1" x14ac:dyDescent="0.15">
      <c r="A125" s="1" t="s">
        <v>892</v>
      </c>
      <c r="B125" s="2" t="s">
        <v>321</v>
      </c>
      <c r="C125" s="6">
        <v>8</v>
      </c>
      <c r="D125" s="2" t="s">
        <v>430</v>
      </c>
      <c r="E125" s="6">
        <v>3220</v>
      </c>
      <c r="F125" s="18"/>
      <c r="G125" s="23" t="s">
        <v>288</v>
      </c>
      <c r="H125" s="23" t="s">
        <v>288</v>
      </c>
      <c r="I125" s="23" t="s">
        <v>288</v>
      </c>
      <c r="J125" s="23" t="s">
        <v>288</v>
      </c>
      <c r="K125" s="23" t="s">
        <v>288</v>
      </c>
      <c r="L125" s="23" t="s">
        <v>288</v>
      </c>
      <c r="M125" s="8"/>
      <c r="N125" s="164"/>
    </row>
    <row r="126" spans="1:14" s="3" customFormat="1" ht="12.2" customHeight="1" x14ac:dyDescent="0.15">
      <c r="A126" s="1" t="s">
        <v>890</v>
      </c>
      <c r="B126" s="2" t="s">
        <v>321</v>
      </c>
      <c r="C126" s="6">
        <v>9</v>
      </c>
      <c r="D126" s="2" t="s">
        <v>430</v>
      </c>
      <c r="E126" s="6">
        <v>3230</v>
      </c>
      <c r="F126" s="18">
        <v>312756.08</v>
      </c>
      <c r="G126" s="23" t="s">
        <v>288</v>
      </c>
      <c r="H126" s="23" t="s">
        <v>288</v>
      </c>
      <c r="I126" s="23" t="s">
        <v>288</v>
      </c>
      <c r="J126" s="23" t="s">
        <v>288</v>
      </c>
      <c r="K126" s="23" t="s">
        <v>288</v>
      </c>
      <c r="L126" s="23" t="s">
        <v>288</v>
      </c>
      <c r="M126" s="8"/>
      <c r="N126" s="164"/>
    </row>
    <row r="127" spans="1:14" s="3" customFormat="1" ht="12.2" customHeight="1" x14ac:dyDescent="0.15">
      <c r="A127" s="1" t="s">
        <v>593</v>
      </c>
      <c r="B127" s="2" t="s">
        <v>321</v>
      </c>
      <c r="C127" s="6">
        <v>10</v>
      </c>
      <c r="D127" s="2" t="s">
        <v>430</v>
      </c>
      <c r="E127" s="6">
        <v>3241</v>
      </c>
      <c r="F127" s="18"/>
      <c r="G127" s="23" t="s">
        <v>288</v>
      </c>
      <c r="H127" s="18"/>
      <c r="I127" s="23" t="s">
        <v>288</v>
      </c>
      <c r="J127" s="23" t="s">
        <v>288</v>
      </c>
      <c r="K127" s="23" t="s">
        <v>288</v>
      </c>
      <c r="L127" s="23" t="s">
        <v>288</v>
      </c>
      <c r="M127" s="8"/>
      <c r="N127" s="164"/>
    </row>
    <row r="128" spans="1:14" s="3" customFormat="1" ht="12.2" customHeight="1" x14ac:dyDescent="0.15">
      <c r="A128" s="1" t="s">
        <v>594</v>
      </c>
      <c r="B128" s="2" t="s">
        <v>321</v>
      </c>
      <c r="C128" s="6">
        <v>11</v>
      </c>
      <c r="D128" s="2" t="s">
        <v>430</v>
      </c>
      <c r="E128" s="6">
        <v>3242</v>
      </c>
      <c r="F128" s="18">
        <v>21946.799999999999</v>
      </c>
      <c r="G128" s="23" t="s">
        <v>288</v>
      </c>
      <c r="H128" s="18"/>
      <c r="I128" s="23" t="s">
        <v>288</v>
      </c>
      <c r="J128" s="23" t="s">
        <v>288</v>
      </c>
      <c r="K128" s="23" t="s">
        <v>288</v>
      </c>
      <c r="L128" s="23" t="s">
        <v>288</v>
      </c>
      <c r="M128" s="8"/>
      <c r="N128" s="164"/>
    </row>
    <row r="129" spans="1:14" s="3" customFormat="1" ht="12.2" customHeight="1" x14ac:dyDescent="0.15">
      <c r="A129" s="1" t="s">
        <v>595</v>
      </c>
      <c r="B129" s="2" t="s">
        <v>321</v>
      </c>
      <c r="C129" s="6">
        <v>12</v>
      </c>
      <c r="D129" s="2" t="s">
        <v>430</v>
      </c>
      <c r="E129" s="6">
        <v>3243</v>
      </c>
      <c r="F129" s="18"/>
      <c r="G129" s="23" t="s">
        <v>288</v>
      </c>
      <c r="H129" s="18"/>
      <c r="I129" s="18"/>
      <c r="J129" s="23" t="s">
        <v>288</v>
      </c>
      <c r="K129" s="23" t="s">
        <v>288</v>
      </c>
      <c r="L129" s="23" t="s">
        <v>288</v>
      </c>
      <c r="M129" s="8"/>
      <c r="N129" s="164"/>
    </row>
    <row r="130" spans="1:14" s="3" customFormat="1" ht="12.2" customHeight="1" x14ac:dyDescent="0.15">
      <c r="A130" s="1" t="s">
        <v>891</v>
      </c>
      <c r="B130" s="2" t="s">
        <v>321</v>
      </c>
      <c r="C130" s="6">
        <v>13</v>
      </c>
      <c r="D130" s="2" t="s">
        <v>430</v>
      </c>
      <c r="E130" s="6">
        <v>3249</v>
      </c>
      <c r="F130" s="18"/>
      <c r="G130" s="23" t="s">
        <v>288</v>
      </c>
      <c r="H130" s="18"/>
      <c r="I130" s="23" t="s">
        <v>288</v>
      </c>
      <c r="J130" s="23" t="s">
        <v>288</v>
      </c>
      <c r="K130" s="23" t="s">
        <v>288</v>
      </c>
      <c r="L130" s="23" t="s">
        <v>288</v>
      </c>
      <c r="M130" s="8"/>
      <c r="N130" s="164"/>
    </row>
    <row r="131" spans="1:14" s="3" customFormat="1" ht="12.2" customHeight="1" x14ac:dyDescent="0.15">
      <c r="A131" s="1" t="s">
        <v>327</v>
      </c>
      <c r="B131" s="2" t="s">
        <v>321</v>
      </c>
      <c r="C131" s="6">
        <v>14</v>
      </c>
      <c r="D131" s="2" t="s">
        <v>430</v>
      </c>
      <c r="E131" s="6">
        <v>3250</v>
      </c>
      <c r="F131" s="18"/>
      <c r="G131" s="23" t="s">
        <v>288</v>
      </c>
      <c r="H131" s="18"/>
      <c r="I131" s="23" t="s">
        <v>288</v>
      </c>
      <c r="J131" s="23" t="s">
        <v>288</v>
      </c>
      <c r="K131" s="23" t="s">
        <v>288</v>
      </c>
      <c r="L131" s="23" t="s">
        <v>288</v>
      </c>
      <c r="M131" s="8"/>
      <c r="N131" s="164"/>
    </row>
    <row r="132" spans="1:14" s="3" customFormat="1" ht="12.2" customHeight="1" x14ac:dyDescent="0.15">
      <c r="A132" s="1" t="s">
        <v>498</v>
      </c>
      <c r="B132" s="2" t="s">
        <v>321</v>
      </c>
      <c r="C132" s="6">
        <v>15</v>
      </c>
      <c r="D132" s="2" t="s">
        <v>430</v>
      </c>
      <c r="E132" s="6">
        <v>3260</v>
      </c>
      <c r="F132" s="23" t="s">
        <v>288</v>
      </c>
      <c r="G132" s="18">
        <v>9686.0400000000009</v>
      </c>
      <c r="H132" s="23" t="s">
        <v>288</v>
      </c>
      <c r="I132" s="23" t="s">
        <v>288</v>
      </c>
      <c r="J132" s="23" t="s">
        <v>288</v>
      </c>
      <c r="K132" s="23" t="s">
        <v>288</v>
      </c>
      <c r="L132" s="23" t="s">
        <v>288</v>
      </c>
      <c r="M132" s="8"/>
      <c r="N132" s="164"/>
    </row>
    <row r="133" spans="1:14" s="3" customFormat="1" ht="12.2" customHeight="1" x14ac:dyDescent="0.15">
      <c r="A133" s="1" t="s">
        <v>499</v>
      </c>
      <c r="B133" s="2" t="s">
        <v>321</v>
      </c>
      <c r="C133" s="6">
        <v>16</v>
      </c>
      <c r="D133" s="2" t="s">
        <v>430</v>
      </c>
      <c r="E133" s="6">
        <v>3270</v>
      </c>
      <c r="F133" s="18"/>
      <c r="G133" s="23" t="s">
        <v>288</v>
      </c>
      <c r="H133" s="18"/>
      <c r="I133" s="23" t="s">
        <v>288</v>
      </c>
      <c r="J133" s="23" t="s">
        <v>288</v>
      </c>
      <c r="K133" s="23" t="s">
        <v>288</v>
      </c>
      <c r="L133" s="23" t="s">
        <v>288</v>
      </c>
      <c r="M133" s="8"/>
      <c r="N133" s="164"/>
    </row>
    <row r="134" spans="1:14" s="3" customFormat="1" ht="12.2" customHeight="1" x14ac:dyDescent="0.15">
      <c r="A134" s="1" t="s">
        <v>500</v>
      </c>
      <c r="B134" s="6">
        <v>4</v>
      </c>
      <c r="C134" s="6">
        <v>17</v>
      </c>
      <c r="D134" s="2"/>
      <c r="E134" s="6">
        <v>3280</v>
      </c>
      <c r="F134" s="23" t="s">
        <v>288</v>
      </c>
      <c r="G134" s="23"/>
      <c r="H134" s="18"/>
      <c r="I134" s="23"/>
      <c r="J134" s="23"/>
      <c r="K134" s="23"/>
      <c r="L134" s="23"/>
      <c r="M134" s="8"/>
      <c r="N134" s="164"/>
    </row>
    <row r="135" spans="1:14" s="3" customFormat="1" ht="12.2" customHeight="1" thickBot="1" x14ac:dyDescent="0.2">
      <c r="A135" s="1" t="s">
        <v>501</v>
      </c>
      <c r="B135" s="2" t="s">
        <v>321</v>
      </c>
      <c r="C135" s="6">
        <v>18</v>
      </c>
      <c r="D135" s="2" t="s">
        <v>430</v>
      </c>
      <c r="E135" s="6">
        <v>3290</v>
      </c>
      <c r="F135" s="18">
        <v>0</v>
      </c>
      <c r="G135" s="18"/>
      <c r="H135" s="18">
        <v>0</v>
      </c>
      <c r="I135" s="18"/>
      <c r="J135" s="18"/>
      <c r="K135" s="23" t="s">
        <v>288</v>
      </c>
      <c r="L135" s="23" t="s">
        <v>288</v>
      </c>
      <c r="M135" s="8"/>
      <c r="N135" s="164"/>
    </row>
    <row r="136" spans="1:14" s="3" customFormat="1" ht="12.2" customHeight="1" thickTop="1" x14ac:dyDescent="0.15">
      <c r="A136" s="35" t="s">
        <v>434</v>
      </c>
      <c r="B136" s="36" t="s">
        <v>321</v>
      </c>
      <c r="C136" s="37">
        <v>19</v>
      </c>
      <c r="D136" s="36" t="s">
        <v>430</v>
      </c>
      <c r="E136" s="37">
        <v>3200</v>
      </c>
      <c r="F136" s="38">
        <f>SUM(F123:F135)</f>
        <v>450288.06</v>
      </c>
      <c r="G136" s="38">
        <f>SUM(G123:G135)</f>
        <v>9686.0400000000009</v>
      </c>
      <c r="H136" s="38">
        <f>SUM(H123:H135)</f>
        <v>0</v>
      </c>
      <c r="I136" s="38">
        <f>SUM(I123:I135)</f>
        <v>0</v>
      </c>
      <c r="J136" s="38">
        <f>SUM(J123:J135)</f>
        <v>0</v>
      </c>
      <c r="K136" s="42" t="s">
        <v>288</v>
      </c>
      <c r="L136" s="42" t="s">
        <v>288</v>
      </c>
      <c r="M136" s="8"/>
      <c r="N136" s="164"/>
    </row>
    <row r="137" spans="1:14" s="3" customFormat="1" ht="12.2" customHeight="1" x14ac:dyDescent="0.15">
      <c r="A137" s="3" t="s">
        <v>322</v>
      </c>
      <c r="B137" s="1" t="s">
        <v>321</v>
      </c>
      <c r="C137" s="6">
        <v>20</v>
      </c>
      <c r="D137" s="2" t="s">
        <v>430</v>
      </c>
      <c r="E137" s="6">
        <v>3700</v>
      </c>
      <c r="F137" s="18"/>
      <c r="G137" s="18"/>
      <c r="H137" s="18"/>
      <c r="I137" s="23" t="s">
        <v>288</v>
      </c>
      <c r="J137" s="23" t="s">
        <v>288</v>
      </c>
      <c r="K137" s="23" t="s">
        <v>288</v>
      </c>
      <c r="L137" s="23" t="s">
        <v>288</v>
      </c>
      <c r="M137" s="8"/>
      <c r="N137" s="164"/>
    </row>
    <row r="138" spans="1:14" s="3" customFormat="1" ht="12.2" customHeight="1" x14ac:dyDescent="0.15">
      <c r="A138" s="1" t="s">
        <v>596</v>
      </c>
      <c r="B138" s="1" t="s">
        <v>321</v>
      </c>
      <c r="C138" s="6">
        <v>21</v>
      </c>
      <c r="D138" s="2" t="s">
        <v>430</v>
      </c>
      <c r="E138" s="6">
        <v>3800</v>
      </c>
      <c r="F138" s="18"/>
      <c r="G138" s="23" t="s">
        <v>288</v>
      </c>
      <c r="H138" s="18"/>
      <c r="I138" s="23" t="s">
        <v>288</v>
      </c>
      <c r="J138" s="23" t="s">
        <v>288</v>
      </c>
      <c r="K138" s="23" t="s">
        <v>288</v>
      </c>
      <c r="L138" s="23" t="s">
        <v>288</v>
      </c>
      <c r="M138" s="8"/>
      <c r="N138" s="164"/>
    </row>
    <row r="139" spans="1:14" s="3" customFormat="1" ht="12.2" customHeight="1" thickBot="1" x14ac:dyDescent="0.2">
      <c r="A139" s="1" t="s">
        <v>597</v>
      </c>
      <c r="B139" s="1" t="s">
        <v>321</v>
      </c>
      <c r="C139" s="6">
        <v>22</v>
      </c>
      <c r="D139" s="2" t="s">
        <v>430</v>
      </c>
      <c r="E139" s="6">
        <v>3900</v>
      </c>
      <c r="F139" s="23" t="s">
        <v>288</v>
      </c>
      <c r="G139" s="23" t="s">
        <v>288</v>
      </c>
      <c r="H139" s="23" t="s">
        <v>288</v>
      </c>
      <c r="I139" s="23" t="s">
        <v>288</v>
      </c>
      <c r="J139" s="23" t="s">
        <v>288</v>
      </c>
      <c r="K139" s="23" t="s">
        <v>288</v>
      </c>
      <c r="L139" s="23" t="s">
        <v>288</v>
      </c>
      <c r="M139" s="8"/>
      <c r="N139" s="164"/>
    </row>
    <row r="140" spans="1:14" s="3" customFormat="1" ht="12.2" customHeight="1" thickTop="1" x14ac:dyDescent="0.15">
      <c r="A140" s="35" t="s">
        <v>415</v>
      </c>
      <c r="B140" s="36" t="s">
        <v>321</v>
      </c>
      <c r="C140" s="37">
        <v>23</v>
      </c>
      <c r="D140" s="36" t="s">
        <v>430</v>
      </c>
      <c r="E140" s="37">
        <v>3000</v>
      </c>
      <c r="F140" s="38">
        <f>F121+SUM(F136:F139)</f>
        <v>7885534.9699999997</v>
      </c>
      <c r="G140" s="38">
        <f>G121+SUM(G136:G137)</f>
        <v>9686.0400000000009</v>
      </c>
      <c r="H140" s="38">
        <f>H121+SUM(H136:H139)</f>
        <v>14400</v>
      </c>
      <c r="I140" s="38">
        <f>I121+I136</f>
        <v>0</v>
      </c>
      <c r="J140" s="38">
        <f>J121+J136</f>
        <v>0</v>
      </c>
      <c r="K140" s="42" t="s">
        <v>288</v>
      </c>
      <c r="L140" s="42" t="s">
        <v>288</v>
      </c>
      <c r="M140" s="8"/>
      <c r="N140" s="164"/>
    </row>
    <row r="141" spans="1:14" s="3" customFormat="1" ht="12.2" customHeight="1" x14ac:dyDescent="0.2">
      <c r="A141" s="28"/>
      <c r="B141" s="2"/>
      <c r="C141" s="6"/>
      <c r="D141" s="6"/>
      <c r="E141" s="6"/>
      <c r="F141" s="22" t="s">
        <v>273</v>
      </c>
      <c r="G141" s="22" t="s">
        <v>274</v>
      </c>
      <c r="H141" s="22" t="s">
        <v>275</v>
      </c>
      <c r="I141" s="22" t="s">
        <v>276</v>
      </c>
      <c r="J141" s="22" t="s">
        <v>277</v>
      </c>
      <c r="K141" s="19"/>
      <c r="L141" s="19"/>
      <c r="M141" s="8"/>
      <c r="N141" s="164"/>
    </row>
    <row r="142" spans="1:14" s="3" customFormat="1" ht="12.2" customHeight="1" x14ac:dyDescent="0.2">
      <c r="A142" s="28" t="s">
        <v>319</v>
      </c>
      <c r="F142" s="22"/>
      <c r="G142" s="22"/>
      <c r="H142" s="16" t="s">
        <v>282</v>
      </c>
      <c r="I142" s="22"/>
      <c r="J142" s="22"/>
      <c r="K142" s="19"/>
      <c r="L142" s="19"/>
      <c r="M142" s="8"/>
      <c r="N142" s="164"/>
    </row>
    <row r="143" spans="1:14" s="3" customFormat="1" ht="12.2" customHeight="1" x14ac:dyDescent="0.2">
      <c r="A143" s="27" t="s">
        <v>456</v>
      </c>
      <c r="F143" s="16" t="s">
        <v>280</v>
      </c>
      <c r="G143" s="16" t="s">
        <v>281</v>
      </c>
      <c r="H143" s="162" t="s">
        <v>765</v>
      </c>
      <c r="I143" s="16" t="s">
        <v>283</v>
      </c>
      <c r="J143" s="16" t="s">
        <v>284</v>
      </c>
      <c r="K143" s="19"/>
      <c r="L143" s="19"/>
      <c r="M143" s="8"/>
      <c r="N143" s="164"/>
    </row>
    <row r="144" spans="1:14" s="3" customFormat="1" ht="12.2" customHeight="1" x14ac:dyDescent="0.15">
      <c r="A144" s="29" t="s">
        <v>323</v>
      </c>
      <c r="F144" s="23" t="s">
        <v>288</v>
      </c>
      <c r="G144" s="23" t="s">
        <v>288</v>
      </c>
      <c r="H144" s="23" t="s">
        <v>288</v>
      </c>
      <c r="I144" s="23" t="s">
        <v>288</v>
      </c>
      <c r="J144" s="23" t="s">
        <v>288</v>
      </c>
      <c r="K144" s="23" t="s">
        <v>288</v>
      </c>
      <c r="L144" s="23" t="s">
        <v>288</v>
      </c>
      <c r="M144" s="8"/>
      <c r="N144" s="164"/>
    </row>
    <row r="145" spans="1:14" s="3" customFormat="1" ht="12.2" customHeight="1" x14ac:dyDescent="0.15">
      <c r="A145" s="1" t="s">
        <v>599</v>
      </c>
      <c r="B145" s="2" t="s">
        <v>324</v>
      </c>
      <c r="C145" s="6">
        <v>1</v>
      </c>
      <c r="D145" s="2" t="s">
        <v>430</v>
      </c>
      <c r="E145" s="6">
        <v>4100</v>
      </c>
      <c r="F145" s="18"/>
      <c r="G145" s="18"/>
      <c r="H145" s="18"/>
      <c r="I145" s="18"/>
      <c r="J145" s="23" t="s">
        <v>288</v>
      </c>
      <c r="K145" s="23" t="s">
        <v>288</v>
      </c>
      <c r="L145" s="23" t="s">
        <v>288</v>
      </c>
      <c r="M145" s="8"/>
      <c r="N145" s="164"/>
    </row>
    <row r="146" spans="1:14" s="3" customFormat="1" ht="12.2" customHeight="1" thickBot="1" x14ac:dyDescent="0.2">
      <c r="A146" s="1" t="s">
        <v>598</v>
      </c>
      <c r="B146" s="2" t="s">
        <v>324</v>
      </c>
      <c r="C146" s="6">
        <v>2</v>
      </c>
      <c r="D146" s="2" t="s">
        <v>430</v>
      </c>
      <c r="E146" s="6">
        <v>4200</v>
      </c>
      <c r="F146" s="18"/>
      <c r="G146" s="18"/>
      <c r="H146" s="18"/>
      <c r="I146" s="18"/>
      <c r="J146" s="23" t="s">
        <v>288</v>
      </c>
      <c r="K146" s="23" t="s">
        <v>288</v>
      </c>
      <c r="L146" s="23" t="s">
        <v>288</v>
      </c>
      <c r="M146" s="8"/>
      <c r="N146" s="164"/>
    </row>
    <row r="147" spans="1:14" s="3" customFormat="1" ht="12.2" customHeight="1" thickTop="1" x14ac:dyDescent="0.15">
      <c r="A147" s="35" t="s">
        <v>435</v>
      </c>
      <c r="B147" s="36" t="s">
        <v>324</v>
      </c>
      <c r="C147" s="37">
        <v>3</v>
      </c>
      <c r="D147" s="36" t="s">
        <v>430</v>
      </c>
      <c r="E147" s="37"/>
      <c r="F147" s="38">
        <f>SUM(F145:F146)</f>
        <v>0</v>
      </c>
      <c r="G147" s="38">
        <f>SUM(G145:G146)</f>
        <v>0</v>
      </c>
      <c r="H147" s="38">
        <f>SUM(H145:H146)</f>
        <v>0</v>
      </c>
      <c r="I147" s="38">
        <f>SUM(I145:I146)</f>
        <v>0</v>
      </c>
      <c r="J147" s="42" t="s">
        <v>288</v>
      </c>
      <c r="K147" s="42" t="s">
        <v>288</v>
      </c>
      <c r="L147" s="42" t="s">
        <v>288</v>
      </c>
      <c r="M147" s="8"/>
      <c r="N147" s="164"/>
    </row>
    <row r="148" spans="1:14" s="3" customFormat="1" ht="12.2" customHeight="1" x14ac:dyDescent="0.15">
      <c r="A148" s="29" t="s">
        <v>325</v>
      </c>
      <c r="B148" s="2"/>
      <c r="C148" s="2"/>
      <c r="D148" s="2"/>
      <c r="E148" s="2"/>
      <c r="F148" s="23" t="s">
        <v>288</v>
      </c>
      <c r="G148" s="23" t="s">
        <v>288</v>
      </c>
      <c r="H148" s="23" t="s">
        <v>288</v>
      </c>
      <c r="I148" s="23" t="s">
        <v>288</v>
      </c>
      <c r="J148" s="23" t="s">
        <v>288</v>
      </c>
      <c r="K148" s="23" t="s">
        <v>288</v>
      </c>
      <c r="L148" s="23" t="s">
        <v>288</v>
      </c>
      <c r="M148" s="8"/>
      <c r="N148" s="164"/>
    </row>
    <row r="149" spans="1:14" s="3" customFormat="1" ht="12.2" customHeight="1" x14ac:dyDescent="0.15">
      <c r="A149" s="1" t="s">
        <v>600</v>
      </c>
      <c r="C149" s="1" t="s">
        <v>326</v>
      </c>
      <c r="D149" s="1"/>
      <c r="E149" s="6">
        <v>4300</v>
      </c>
      <c r="F149" s="23" t="s">
        <v>288</v>
      </c>
      <c r="G149" s="23" t="s">
        <v>288</v>
      </c>
      <c r="H149" s="23" t="s">
        <v>288</v>
      </c>
      <c r="I149" s="23" t="s">
        <v>288</v>
      </c>
      <c r="J149" s="23" t="s">
        <v>288</v>
      </c>
      <c r="K149" s="23" t="s">
        <v>288</v>
      </c>
      <c r="L149" s="23" t="s">
        <v>288</v>
      </c>
      <c r="M149" s="8"/>
      <c r="N149" s="164"/>
    </row>
    <row r="150" spans="1:14" s="3" customFormat="1" ht="12.2" customHeight="1" x14ac:dyDescent="0.15">
      <c r="A150" s="3" t="s">
        <v>649</v>
      </c>
      <c r="B150" s="2" t="s">
        <v>324</v>
      </c>
      <c r="C150" s="6">
        <v>4</v>
      </c>
      <c r="D150" s="2" t="s">
        <v>430</v>
      </c>
      <c r="E150" s="6">
        <v>4310</v>
      </c>
      <c r="F150" s="18"/>
      <c r="G150" s="23" t="s">
        <v>288</v>
      </c>
      <c r="H150" s="18"/>
      <c r="I150" s="18"/>
      <c r="J150" s="23" t="s">
        <v>288</v>
      </c>
      <c r="K150" s="23" t="s">
        <v>288</v>
      </c>
      <c r="L150" s="23" t="s">
        <v>288</v>
      </c>
      <c r="M150" s="8"/>
      <c r="N150" s="164"/>
    </row>
    <row r="151" spans="1:14" s="3" customFormat="1" ht="12.2" customHeight="1" x14ac:dyDescent="0.15">
      <c r="A151" s="1" t="s">
        <v>485</v>
      </c>
      <c r="B151" s="2" t="s">
        <v>324</v>
      </c>
      <c r="C151" s="6">
        <v>5</v>
      </c>
      <c r="D151" s="2" t="s">
        <v>430</v>
      </c>
      <c r="E151" s="6">
        <v>4330</v>
      </c>
      <c r="F151" s="18"/>
      <c r="G151" s="23" t="s">
        <v>288</v>
      </c>
      <c r="H151" s="18"/>
      <c r="I151" s="18"/>
      <c r="J151" s="23" t="s">
        <v>288</v>
      </c>
      <c r="K151" s="23" t="s">
        <v>288</v>
      </c>
      <c r="L151" s="23" t="s">
        <v>288</v>
      </c>
      <c r="M151" s="8"/>
      <c r="N151" s="164"/>
    </row>
    <row r="152" spans="1:14" s="3" customFormat="1" ht="12.2" customHeight="1" x14ac:dyDescent="0.15">
      <c r="A152" s="1" t="s">
        <v>486</v>
      </c>
      <c r="B152" s="2" t="s">
        <v>324</v>
      </c>
      <c r="C152" s="6">
        <v>6</v>
      </c>
      <c r="D152" s="2" t="s">
        <v>430</v>
      </c>
      <c r="E152" s="6">
        <v>4350</v>
      </c>
      <c r="F152" s="18"/>
      <c r="G152" s="23" t="s">
        <v>288</v>
      </c>
      <c r="H152" s="18"/>
      <c r="I152" s="18"/>
      <c r="J152" s="23" t="s">
        <v>288</v>
      </c>
      <c r="K152" s="23" t="s">
        <v>288</v>
      </c>
      <c r="L152" s="23" t="s">
        <v>288</v>
      </c>
      <c r="M152" s="8"/>
      <c r="N152" s="164"/>
    </row>
    <row r="153" spans="1:14" s="3" customFormat="1" ht="12.2" customHeight="1" x14ac:dyDescent="0.15">
      <c r="A153" s="1" t="s">
        <v>487</v>
      </c>
      <c r="B153" s="2"/>
      <c r="C153" s="6"/>
      <c r="D153" s="6"/>
      <c r="E153" s="6">
        <v>4500</v>
      </c>
      <c r="F153" s="23" t="s">
        <v>288</v>
      </c>
      <c r="G153" s="23" t="s">
        <v>288</v>
      </c>
      <c r="H153" s="23" t="s">
        <v>288</v>
      </c>
      <c r="I153" s="23" t="s">
        <v>288</v>
      </c>
      <c r="J153" s="23" t="s">
        <v>288</v>
      </c>
      <c r="K153" s="23" t="s">
        <v>288</v>
      </c>
      <c r="L153" s="23" t="s">
        <v>288</v>
      </c>
      <c r="M153" s="8"/>
      <c r="N153" s="164"/>
    </row>
    <row r="154" spans="1:14" s="3" customFormat="1" ht="12.2" customHeight="1" x14ac:dyDescent="0.15">
      <c r="A154" s="1" t="s">
        <v>646</v>
      </c>
      <c r="B154" s="2" t="s">
        <v>324</v>
      </c>
      <c r="C154" s="6">
        <v>7</v>
      </c>
      <c r="D154" s="2" t="s">
        <v>430</v>
      </c>
      <c r="E154" s="6">
        <v>4520</v>
      </c>
      <c r="F154" s="23" t="s">
        <v>288</v>
      </c>
      <c r="G154" s="23" t="s">
        <v>288</v>
      </c>
      <c r="H154" s="18">
        <v>311663.48</v>
      </c>
      <c r="I154" s="23" t="s">
        <v>288</v>
      </c>
      <c r="J154" s="23" t="s">
        <v>288</v>
      </c>
      <c r="K154" s="23" t="s">
        <v>288</v>
      </c>
      <c r="L154" s="23" t="s">
        <v>288</v>
      </c>
      <c r="M154" s="8"/>
      <c r="N154" s="164"/>
    </row>
    <row r="155" spans="1:14" s="3" customFormat="1" ht="12.2" customHeight="1" x14ac:dyDescent="0.15">
      <c r="A155" s="1" t="s">
        <v>647</v>
      </c>
      <c r="B155" s="2" t="s">
        <v>324</v>
      </c>
      <c r="C155" s="6">
        <v>8</v>
      </c>
      <c r="D155" s="2" t="s">
        <v>430</v>
      </c>
      <c r="E155" s="6">
        <v>4530</v>
      </c>
      <c r="F155" s="23" t="s">
        <v>288</v>
      </c>
      <c r="G155" s="23" t="s">
        <v>288</v>
      </c>
      <c r="H155" s="18">
        <v>40284.26</v>
      </c>
      <c r="I155" s="23" t="s">
        <v>288</v>
      </c>
      <c r="J155" s="23" t="s">
        <v>288</v>
      </c>
      <c r="K155" s="23" t="s">
        <v>288</v>
      </c>
      <c r="L155" s="23" t="s">
        <v>288</v>
      </c>
      <c r="M155" s="8"/>
      <c r="N155" s="164"/>
    </row>
    <row r="156" spans="1:14" s="3" customFormat="1" ht="12.2" customHeight="1" x14ac:dyDescent="0.15">
      <c r="A156" s="1" t="s">
        <v>488</v>
      </c>
      <c r="B156" s="2" t="s">
        <v>324</v>
      </c>
      <c r="C156" s="6">
        <v>9</v>
      </c>
      <c r="D156" s="2" t="s">
        <v>430</v>
      </c>
      <c r="E156" s="6">
        <v>4540</v>
      </c>
      <c r="F156" s="23" t="s">
        <v>288</v>
      </c>
      <c r="G156" s="23" t="s">
        <v>288</v>
      </c>
      <c r="H156" s="18"/>
      <c r="I156" s="23" t="s">
        <v>288</v>
      </c>
      <c r="J156" s="23" t="s">
        <v>288</v>
      </c>
      <c r="K156" s="23" t="s">
        <v>288</v>
      </c>
      <c r="L156" s="23" t="s">
        <v>288</v>
      </c>
      <c r="M156" s="8"/>
      <c r="N156" s="164"/>
    </row>
    <row r="157" spans="1:14" s="3" customFormat="1" ht="12.2" customHeight="1" x14ac:dyDescent="0.15">
      <c r="A157" s="1" t="s">
        <v>489</v>
      </c>
      <c r="B157" s="2" t="s">
        <v>324</v>
      </c>
      <c r="C157" s="6">
        <v>10</v>
      </c>
      <c r="D157" s="2" t="s">
        <v>430</v>
      </c>
      <c r="E157" s="6">
        <v>4550</v>
      </c>
      <c r="F157" s="18"/>
      <c r="G157" s="23" t="s">
        <v>288</v>
      </c>
      <c r="H157" s="18">
        <v>0</v>
      </c>
      <c r="I157" s="23" t="s">
        <v>288</v>
      </c>
      <c r="J157" s="23" t="s">
        <v>288</v>
      </c>
      <c r="K157" s="23" t="s">
        <v>288</v>
      </c>
      <c r="L157" s="23" t="s">
        <v>288</v>
      </c>
      <c r="M157" s="8"/>
      <c r="N157" s="164"/>
    </row>
    <row r="158" spans="1:14" s="3" customFormat="1" ht="12.2" customHeight="1" x14ac:dyDescent="0.15">
      <c r="A158" s="1" t="s">
        <v>490</v>
      </c>
      <c r="B158" s="2" t="s">
        <v>324</v>
      </c>
      <c r="C158" s="6">
        <v>11</v>
      </c>
      <c r="D158" s="2" t="s">
        <v>430</v>
      </c>
      <c r="E158" s="6">
        <v>4560</v>
      </c>
      <c r="F158" s="23" t="s">
        <v>288</v>
      </c>
      <c r="G158" s="18">
        <v>317316.8</v>
      </c>
      <c r="H158" s="23" t="s">
        <v>288</v>
      </c>
      <c r="I158" s="23" t="s">
        <v>288</v>
      </c>
      <c r="J158" s="23" t="s">
        <v>288</v>
      </c>
      <c r="K158" s="23" t="s">
        <v>288</v>
      </c>
      <c r="L158" s="23" t="s">
        <v>288</v>
      </c>
      <c r="M158" s="8"/>
      <c r="N158" s="164"/>
    </row>
    <row r="159" spans="1:14" s="3" customFormat="1" ht="12.2" customHeight="1" x14ac:dyDescent="0.15">
      <c r="A159" s="1" t="s">
        <v>486</v>
      </c>
      <c r="B159" s="2" t="s">
        <v>324</v>
      </c>
      <c r="C159" s="6">
        <v>12</v>
      </c>
      <c r="D159" s="2" t="s">
        <v>430</v>
      </c>
      <c r="E159" s="6">
        <v>4570</v>
      </c>
      <c r="F159" s="23" t="s">
        <v>288</v>
      </c>
      <c r="G159" s="23" t="s">
        <v>288</v>
      </c>
      <c r="H159" s="18">
        <f>328407.54+72211.07</f>
        <v>400618.61</v>
      </c>
      <c r="I159" s="23" t="s">
        <v>288</v>
      </c>
      <c r="J159" s="23" t="s">
        <v>288</v>
      </c>
      <c r="K159" s="23" t="s">
        <v>288</v>
      </c>
      <c r="L159" s="23" t="s">
        <v>288</v>
      </c>
      <c r="M159" s="8"/>
      <c r="N159" s="164"/>
    </row>
    <row r="160" spans="1:14" s="3" customFormat="1" ht="12.2" customHeight="1" x14ac:dyDescent="0.15">
      <c r="A160" s="1" t="s">
        <v>491</v>
      </c>
      <c r="B160" s="2" t="s">
        <v>324</v>
      </c>
      <c r="C160" s="6">
        <v>13</v>
      </c>
      <c r="D160" s="2" t="s">
        <v>430</v>
      </c>
      <c r="E160" s="6">
        <v>4580</v>
      </c>
      <c r="F160" s="18">
        <v>49197.59</v>
      </c>
      <c r="G160" s="23" t="s">
        <v>288</v>
      </c>
      <c r="H160" s="18"/>
      <c r="I160" s="23" t="s">
        <v>288</v>
      </c>
      <c r="J160" s="23" t="s">
        <v>288</v>
      </c>
      <c r="K160" s="23" t="s">
        <v>288</v>
      </c>
      <c r="L160" s="23" t="s">
        <v>288</v>
      </c>
      <c r="M160" s="8"/>
      <c r="N160" s="164"/>
    </row>
    <row r="161" spans="1:14" s="3" customFormat="1" ht="12.2" customHeight="1" x14ac:dyDescent="0.15">
      <c r="A161" s="1" t="s">
        <v>492</v>
      </c>
      <c r="B161" s="2" t="s">
        <v>324</v>
      </c>
      <c r="C161" s="6">
        <v>14</v>
      </c>
      <c r="D161" s="2" t="s">
        <v>430</v>
      </c>
      <c r="E161" s="6">
        <v>4590</v>
      </c>
      <c r="F161" s="18"/>
      <c r="G161" s="18">
        <v>23678.17</v>
      </c>
      <c r="H161" s="18">
        <f>4474.29+18570.95</f>
        <v>23045.24</v>
      </c>
      <c r="I161" s="18"/>
      <c r="J161" s="23" t="s">
        <v>288</v>
      </c>
      <c r="K161" s="23" t="s">
        <v>288</v>
      </c>
      <c r="L161" s="23" t="s">
        <v>288</v>
      </c>
      <c r="M161" s="8"/>
      <c r="N161" s="164"/>
    </row>
    <row r="162" spans="1:14" s="3" customFormat="1" ht="12.2" customHeight="1" thickBot="1" x14ac:dyDescent="0.2">
      <c r="A162" s="249" t="s">
        <v>1576</v>
      </c>
      <c r="B162" s="247">
        <v>5</v>
      </c>
      <c r="C162" s="247">
        <v>15</v>
      </c>
      <c r="D162" s="248"/>
      <c r="E162" s="247">
        <v>4595</v>
      </c>
      <c r="F162" s="18"/>
      <c r="G162" s="18"/>
      <c r="H162" s="18">
        <v>451419.88</v>
      </c>
      <c r="I162" s="23" t="s">
        <v>288</v>
      </c>
      <c r="J162" s="23"/>
      <c r="K162" s="23"/>
      <c r="L162" s="23"/>
      <c r="M162" s="8"/>
      <c r="N162" s="164"/>
    </row>
    <row r="163" spans="1:14" s="3" customFormat="1" ht="12.2" customHeight="1" thickTop="1" x14ac:dyDescent="0.15">
      <c r="A163" s="35" t="s">
        <v>436</v>
      </c>
      <c r="B163" s="36" t="s">
        <v>324</v>
      </c>
      <c r="C163" s="37">
        <v>16</v>
      </c>
      <c r="D163" s="36" t="s">
        <v>430</v>
      </c>
      <c r="E163" s="37"/>
      <c r="F163" s="38">
        <f>SUM(F150:F162)</f>
        <v>49197.59</v>
      </c>
      <c r="G163" s="38">
        <f>SUM(G150:G162)</f>
        <v>340994.97</v>
      </c>
      <c r="H163" s="38">
        <f>SUM(H150:H162)</f>
        <v>1227031.47</v>
      </c>
      <c r="I163" s="38">
        <f>SUM(I150:I162)</f>
        <v>0</v>
      </c>
      <c r="J163" s="42" t="s">
        <v>288</v>
      </c>
      <c r="K163" s="42" t="s">
        <v>288</v>
      </c>
      <c r="L163" s="42" t="s">
        <v>288</v>
      </c>
      <c r="M163" s="8"/>
      <c r="N163" s="164"/>
    </row>
    <row r="164" spans="1:14" s="3" customFormat="1" ht="12.2" customHeight="1" x14ac:dyDescent="0.15">
      <c r="A164" s="3" t="s">
        <v>679</v>
      </c>
      <c r="B164" s="2" t="s">
        <v>324</v>
      </c>
      <c r="C164" s="6">
        <v>17</v>
      </c>
      <c r="D164" s="2" t="s">
        <v>430</v>
      </c>
      <c r="E164" s="6">
        <v>4700</v>
      </c>
      <c r="F164" s="18"/>
      <c r="G164" s="18"/>
      <c r="H164" s="18"/>
      <c r="I164" s="18"/>
      <c r="J164" s="23" t="s">
        <v>288</v>
      </c>
      <c r="K164" s="23" t="s">
        <v>288</v>
      </c>
      <c r="L164" s="23" t="s">
        <v>288</v>
      </c>
      <c r="M164" s="8"/>
      <c r="N164" s="164"/>
    </row>
    <row r="165" spans="1:14" s="3" customFormat="1" ht="12.2" customHeight="1" x14ac:dyDescent="0.15">
      <c r="A165" s="29" t="s">
        <v>328</v>
      </c>
      <c r="E165" s="6"/>
      <c r="F165" s="23" t="s">
        <v>288</v>
      </c>
      <c r="G165" s="23" t="s">
        <v>288</v>
      </c>
      <c r="H165" s="23" t="s">
        <v>288</v>
      </c>
      <c r="I165" s="23" t="s">
        <v>288</v>
      </c>
      <c r="J165" s="23" t="s">
        <v>288</v>
      </c>
      <c r="K165" s="23" t="s">
        <v>288</v>
      </c>
      <c r="L165" s="23" t="s">
        <v>288</v>
      </c>
      <c r="M165" s="8"/>
      <c r="N165" s="164"/>
    </row>
    <row r="166" spans="1:14" s="3" customFormat="1" ht="12.2" customHeight="1" x14ac:dyDescent="0.15">
      <c r="A166" s="1" t="s">
        <v>493</v>
      </c>
      <c r="B166" s="2" t="s">
        <v>324</v>
      </c>
      <c r="C166" s="6">
        <v>18</v>
      </c>
      <c r="D166" s="2" t="s">
        <v>430</v>
      </c>
      <c r="E166" s="6">
        <v>4810</v>
      </c>
      <c r="F166" s="18"/>
      <c r="G166" s="23" t="s">
        <v>288</v>
      </c>
      <c r="H166" s="23" t="s">
        <v>288</v>
      </c>
      <c r="I166" s="23" t="s">
        <v>288</v>
      </c>
      <c r="J166" s="23" t="s">
        <v>288</v>
      </c>
      <c r="K166" s="23" t="s">
        <v>288</v>
      </c>
      <c r="L166" s="23" t="s">
        <v>288</v>
      </c>
      <c r="M166" s="8"/>
      <c r="N166" s="164"/>
    </row>
    <row r="167" spans="1:14" s="3" customFormat="1" ht="12.2" customHeight="1" x14ac:dyDescent="0.15">
      <c r="A167" s="1" t="s">
        <v>494</v>
      </c>
      <c r="B167" s="2" t="s">
        <v>324</v>
      </c>
      <c r="C167" s="6">
        <v>19</v>
      </c>
      <c r="D167" s="2" t="s">
        <v>430</v>
      </c>
      <c r="E167" s="6">
        <v>4890</v>
      </c>
      <c r="F167" s="18"/>
      <c r="G167" s="23" t="s">
        <v>288</v>
      </c>
      <c r="H167" s="23" t="s">
        <v>288</v>
      </c>
      <c r="I167" s="23" t="s">
        <v>288</v>
      </c>
      <c r="J167" s="23" t="s">
        <v>288</v>
      </c>
      <c r="K167" s="23" t="s">
        <v>288</v>
      </c>
      <c r="L167" s="23" t="s">
        <v>288</v>
      </c>
      <c r="M167" s="8"/>
      <c r="N167" s="164"/>
    </row>
    <row r="168" spans="1:14" s="3" customFormat="1" ht="12.2" customHeight="1" x14ac:dyDescent="0.15">
      <c r="A168" s="29" t="s">
        <v>682</v>
      </c>
      <c r="B168" s="2"/>
      <c r="C168" s="6"/>
      <c r="D168" s="2"/>
      <c r="E168" s="6"/>
      <c r="F168" s="23" t="s">
        <v>288</v>
      </c>
      <c r="G168" s="23" t="s">
        <v>288</v>
      </c>
      <c r="H168" s="23" t="s">
        <v>288</v>
      </c>
      <c r="I168" s="23" t="s">
        <v>288</v>
      </c>
      <c r="J168" s="23" t="s">
        <v>288</v>
      </c>
      <c r="K168" s="23" t="s">
        <v>288</v>
      </c>
      <c r="L168" s="23" t="s">
        <v>288</v>
      </c>
      <c r="M168" s="8"/>
      <c r="N168" s="164"/>
    </row>
    <row r="169" spans="1:14" s="3" customFormat="1" ht="12.2" customHeight="1" thickBot="1" x14ac:dyDescent="0.2">
      <c r="A169" s="1" t="s">
        <v>495</v>
      </c>
      <c r="B169" s="2" t="s">
        <v>324</v>
      </c>
      <c r="C169" s="6">
        <v>20</v>
      </c>
      <c r="D169" s="2" t="s">
        <v>430</v>
      </c>
      <c r="E169" s="6">
        <v>4900</v>
      </c>
      <c r="F169" s="18"/>
      <c r="G169" s="18"/>
      <c r="H169" s="18"/>
      <c r="I169" s="23" t="s">
        <v>288</v>
      </c>
      <c r="J169" s="23" t="s">
        <v>288</v>
      </c>
      <c r="K169" s="23" t="s">
        <v>288</v>
      </c>
      <c r="L169" s="23" t="s">
        <v>288</v>
      </c>
      <c r="M169" s="8"/>
      <c r="N169" s="164"/>
    </row>
    <row r="170" spans="1:14" s="3" customFormat="1" ht="12.2" customHeight="1" thickTop="1" x14ac:dyDescent="0.15">
      <c r="A170" s="35" t="s">
        <v>458</v>
      </c>
      <c r="B170" s="36" t="s">
        <v>324</v>
      </c>
      <c r="C170" s="37">
        <v>21</v>
      </c>
      <c r="D170" s="36" t="s">
        <v>430</v>
      </c>
      <c r="E170" s="41">
        <v>4000</v>
      </c>
      <c r="F170" s="38">
        <f>F147+F163+SUM(F164:F169)</f>
        <v>49197.59</v>
      </c>
      <c r="G170" s="38">
        <f>G147+G163+SUM(G164:G169)</f>
        <v>340994.97</v>
      </c>
      <c r="H170" s="38">
        <f>H147+H163+SUM(H164:H169)</f>
        <v>1227031.47</v>
      </c>
      <c r="I170" s="38">
        <f>I147+I163+SUM(I164:I169)</f>
        <v>0</v>
      </c>
      <c r="J170" s="42" t="s">
        <v>288</v>
      </c>
      <c r="K170" s="42" t="s">
        <v>288</v>
      </c>
      <c r="L170" s="42" t="s">
        <v>288</v>
      </c>
      <c r="M170" s="8"/>
      <c r="N170" s="164"/>
    </row>
    <row r="171" spans="1:14" s="3" customFormat="1" ht="12.2" customHeight="1" x14ac:dyDescent="0.2">
      <c r="A171" s="28"/>
      <c r="B171" s="2"/>
      <c r="C171" s="22"/>
      <c r="D171" s="22"/>
      <c r="E171" s="22"/>
      <c r="F171" s="22" t="s">
        <v>273</v>
      </c>
      <c r="G171" s="22" t="s">
        <v>274</v>
      </c>
      <c r="H171" s="22" t="s">
        <v>275</v>
      </c>
      <c r="I171" s="22" t="s">
        <v>276</v>
      </c>
      <c r="J171" s="22" t="s">
        <v>277</v>
      </c>
      <c r="K171" s="19"/>
      <c r="L171" s="19"/>
      <c r="M171" s="8"/>
      <c r="N171" s="164"/>
    </row>
    <row r="172" spans="1:14" s="3" customFormat="1" ht="12.2" customHeight="1" x14ac:dyDescent="0.2">
      <c r="A172" s="28" t="s">
        <v>680</v>
      </c>
      <c r="F172" s="22"/>
      <c r="G172" s="22"/>
      <c r="H172" s="16" t="s">
        <v>282</v>
      </c>
      <c r="I172" s="22"/>
      <c r="J172" s="22"/>
      <c r="K172" s="19"/>
      <c r="L172" s="19"/>
      <c r="M172" s="8"/>
      <c r="N172" s="164"/>
    </row>
    <row r="173" spans="1:14" s="3" customFormat="1" ht="12.2" customHeight="1" x14ac:dyDescent="0.2">
      <c r="A173" s="26" t="s">
        <v>329</v>
      </c>
      <c r="B173" s="7"/>
      <c r="C173" s="7"/>
      <c r="D173" s="7"/>
      <c r="E173" s="7"/>
      <c r="F173" s="16" t="s">
        <v>280</v>
      </c>
      <c r="G173" s="16" t="s">
        <v>281</v>
      </c>
      <c r="H173" s="162" t="s">
        <v>765</v>
      </c>
      <c r="I173" s="16" t="s">
        <v>283</v>
      </c>
      <c r="J173" s="16" t="s">
        <v>284</v>
      </c>
      <c r="K173" s="19"/>
      <c r="L173" s="19"/>
      <c r="M173" s="8"/>
      <c r="N173" s="164"/>
    </row>
    <row r="174" spans="1:14" s="3" customFormat="1" ht="12.2" customHeight="1" x14ac:dyDescent="0.15">
      <c r="A174" s="1" t="s">
        <v>520</v>
      </c>
      <c r="B174" s="2" t="s">
        <v>330</v>
      </c>
      <c r="C174" s="6">
        <v>1</v>
      </c>
      <c r="D174" s="2" t="s">
        <v>430</v>
      </c>
      <c r="E174" s="6">
        <v>5110</v>
      </c>
      <c r="F174" s="18"/>
      <c r="G174" s="23" t="s">
        <v>288</v>
      </c>
      <c r="H174" s="23" t="s">
        <v>288</v>
      </c>
      <c r="I174" s="18"/>
      <c r="J174" s="23" t="s">
        <v>288</v>
      </c>
      <c r="K174" s="23" t="s">
        <v>288</v>
      </c>
      <c r="L174" s="23" t="s">
        <v>288</v>
      </c>
      <c r="M174" s="8"/>
      <c r="N174" s="164"/>
    </row>
    <row r="175" spans="1:14" s="3" customFormat="1" ht="12.2" customHeight="1" x14ac:dyDescent="0.15">
      <c r="A175" s="1" t="s">
        <v>521</v>
      </c>
      <c r="B175" s="6">
        <v>6</v>
      </c>
      <c r="C175" s="6">
        <v>2</v>
      </c>
      <c r="D175" s="2" t="s">
        <v>430</v>
      </c>
      <c r="E175" s="6">
        <v>5120</v>
      </c>
      <c r="F175" s="18"/>
      <c r="G175" s="23" t="s">
        <v>288</v>
      </c>
      <c r="H175" s="23" t="s">
        <v>288</v>
      </c>
      <c r="I175" s="18"/>
      <c r="J175" s="23" t="s">
        <v>288</v>
      </c>
      <c r="K175" s="23" t="s">
        <v>288</v>
      </c>
      <c r="L175" s="23" t="s">
        <v>288</v>
      </c>
      <c r="M175" s="8"/>
      <c r="N175" s="164"/>
    </row>
    <row r="176" spans="1:14" s="3" customFormat="1" ht="12.2" customHeight="1" x14ac:dyDescent="0.15">
      <c r="A176" s="1" t="s">
        <v>523</v>
      </c>
      <c r="B176" s="2" t="s">
        <v>330</v>
      </c>
      <c r="C176" s="6">
        <v>3</v>
      </c>
      <c r="D176" s="2" t="s">
        <v>430</v>
      </c>
      <c r="E176" s="6">
        <v>5130</v>
      </c>
      <c r="F176" s="18"/>
      <c r="G176" s="23" t="s">
        <v>288</v>
      </c>
      <c r="H176" s="23" t="s">
        <v>288</v>
      </c>
      <c r="I176" s="18"/>
      <c r="J176" s="23" t="s">
        <v>288</v>
      </c>
      <c r="K176" s="23" t="s">
        <v>288</v>
      </c>
      <c r="L176" s="23" t="s">
        <v>288</v>
      </c>
      <c r="M176" s="8"/>
      <c r="N176" s="164"/>
    </row>
    <row r="177" spans="1:14" s="3" customFormat="1" ht="12.2" customHeight="1" thickBot="1" x14ac:dyDescent="0.2">
      <c r="A177" s="1" t="s">
        <v>522</v>
      </c>
      <c r="B177" s="2" t="s">
        <v>330</v>
      </c>
      <c r="C177" s="6">
        <v>4</v>
      </c>
      <c r="D177" s="2" t="s">
        <v>430</v>
      </c>
      <c r="E177" s="6">
        <v>5140</v>
      </c>
      <c r="F177" s="18"/>
      <c r="G177" s="23" t="s">
        <v>288</v>
      </c>
      <c r="H177" s="23" t="s">
        <v>288</v>
      </c>
      <c r="I177" s="18"/>
      <c r="J177" s="23" t="s">
        <v>288</v>
      </c>
      <c r="K177" s="23" t="s">
        <v>288</v>
      </c>
      <c r="L177" s="23" t="s">
        <v>288</v>
      </c>
      <c r="M177" s="8"/>
      <c r="N177" s="164"/>
    </row>
    <row r="178" spans="1:14" s="3" customFormat="1" ht="12.2" customHeight="1" thickTop="1" x14ac:dyDescent="0.15">
      <c r="A178" s="35" t="s">
        <v>437</v>
      </c>
      <c r="B178" s="36" t="s">
        <v>330</v>
      </c>
      <c r="C178" s="41">
        <v>5</v>
      </c>
      <c r="D178" s="36" t="s">
        <v>430</v>
      </c>
      <c r="E178" s="41">
        <v>5100</v>
      </c>
      <c r="F178" s="38">
        <f>SUM(F174:F177)</f>
        <v>0</v>
      </c>
      <c r="G178" s="38" t="s">
        <v>288</v>
      </c>
      <c r="H178" s="38" t="s">
        <v>288</v>
      </c>
      <c r="I178" s="38">
        <f>SUM(I174:I177)</f>
        <v>0</v>
      </c>
      <c r="J178" s="42" t="s">
        <v>288</v>
      </c>
      <c r="K178" s="42" t="s">
        <v>288</v>
      </c>
      <c r="L178" s="42" t="s">
        <v>288</v>
      </c>
      <c r="M178" s="8"/>
      <c r="N178" s="164"/>
    </row>
    <row r="179" spans="1:14" s="3" customFormat="1" ht="12.2" customHeight="1" x14ac:dyDescent="0.15">
      <c r="A179" s="29" t="s">
        <v>331</v>
      </c>
      <c r="B179" s="2"/>
      <c r="C179" s="2"/>
      <c r="D179" s="2"/>
      <c r="E179" s="2"/>
      <c r="F179" s="23" t="s">
        <v>288</v>
      </c>
      <c r="G179" s="23" t="s">
        <v>288</v>
      </c>
      <c r="H179" s="23" t="s">
        <v>288</v>
      </c>
      <c r="I179" s="23" t="s">
        <v>288</v>
      </c>
      <c r="J179" s="23" t="s">
        <v>288</v>
      </c>
      <c r="K179" s="23" t="s">
        <v>288</v>
      </c>
      <c r="L179" s="23" t="s">
        <v>288</v>
      </c>
      <c r="M179" s="8"/>
      <c r="N179" s="164"/>
    </row>
    <row r="180" spans="1:14" s="3" customFormat="1" ht="12.2" customHeight="1" x14ac:dyDescent="0.15">
      <c r="A180" s="1" t="s">
        <v>524</v>
      </c>
      <c r="B180" s="2" t="s">
        <v>330</v>
      </c>
      <c r="C180" s="6">
        <v>6</v>
      </c>
      <c r="D180" s="2" t="s">
        <v>430</v>
      </c>
      <c r="E180" s="6">
        <v>5210</v>
      </c>
      <c r="F180" s="23" t="s">
        <v>288</v>
      </c>
      <c r="G180" s="18"/>
      <c r="H180" s="18"/>
      <c r="I180" s="18"/>
      <c r="J180" s="18">
        <v>487000</v>
      </c>
      <c r="K180" s="23" t="s">
        <v>288</v>
      </c>
      <c r="L180" s="23" t="s">
        <v>288</v>
      </c>
      <c r="M180" s="8"/>
      <c r="N180" s="164"/>
    </row>
    <row r="181" spans="1:14" s="3" customFormat="1" ht="12.2" customHeight="1" x14ac:dyDescent="0.15">
      <c r="A181" s="1" t="s">
        <v>525</v>
      </c>
      <c r="B181" s="2" t="s">
        <v>330</v>
      </c>
      <c r="C181" s="6">
        <v>7</v>
      </c>
      <c r="D181" s="2" t="s">
        <v>430</v>
      </c>
      <c r="E181" s="6">
        <v>5221</v>
      </c>
      <c r="F181" s="18"/>
      <c r="G181" s="23" t="s">
        <v>288</v>
      </c>
      <c r="H181" s="18"/>
      <c r="I181" s="18"/>
      <c r="J181" s="18"/>
      <c r="K181" s="23" t="s">
        <v>288</v>
      </c>
      <c r="L181" s="23" t="s">
        <v>288</v>
      </c>
      <c r="M181" s="8"/>
      <c r="N181" s="164"/>
    </row>
    <row r="182" spans="1:14" s="3" customFormat="1" ht="12.2" customHeight="1" x14ac:dyDescent="0.15">
      <c r="A182" s="3" t="s">
        <v>526</v>
      </c>
      <c r="B182" s="2" t="s">
        <v>330</v>
      </c>
      <c r="C182" s="6">
        <v>8</v>
      </c>
      <c r="D182" s="2" t="s">
        <v>430</v>
      </c>
      <c r="E182" s="6">
        <v>5222</v>
      </c>
      <c r="F182" s="18"/>
      <c r="G182" s="18"/>
      <c r="H182" s="23" t="s">
        <v>288</v>
      </c>
      <c r="I182" s="18"/>
      <c r="J182" s="18"/>
      <c r="K182" s="23" t="s">
        <v>288</v>
      </c>
      <c r="L182" s="23" t="s">
        <v>288</v>
      </c>
      <c r="M182" s="8"/>
      <c r="N182" s="164"/>
    </row>
    <row r="183" spans="1:14" s="3" customFormat="1" ht="12.2" customHeight="1" thickBot="1" x14ac:dyDescent="0.2">
      <c r="A183" s="3" t="s">
        <v>527</v>
      </c>
      <c r="B183" s="2" t="s">
        <v>330</v>
      </c>
      <c r="C183" s="6">
        <v>9</v>
      </c>
      <c r="D183" s="2" t="s">
        <v>430</v>
      </c>
      <c r="E183" s="6">
        <v>5230</v>
      </c>
      <c r="F183" s="18">
        <v>26100.71</v>
      </c>
      <c r="G183" s="18"/>
      <c r="H183" s="18"/>
      <c r="I183" s="23" t="s">
        <v>288</v>
      </c>
      <c r="J183" s="18">
        <v>0</v>
      </c>
      <c r="K183" s="23" t="s">
        <v>288</v>
      </c>
      <c r="L183" s="23" t="s">
        <v>288</v>
      </c>
      <c r="M183" s="8"/>
      <c r="N183" s="164"/>
    </row>
    <row r="184" spans="1:14" s="3" customFormat="1" ht="12.2" customHeight="1" thickTop="1" x14ac:dyDescent="0.15">
      <c r="A184" s="35" t="s">
        <v>416</v>
      </c>
      <c r="B184" s="36" t="s">
        <v>330</v>
      </c>
      <c r="C184" s="41">
        <v>10</v>
      </c>
      <c r="D184" s="36" t="s">
        <v>430</v>
      </c>
      <c r="E184" s="41">
        <v>5200</v>
      </c>
      <c r="F184" s="38">
        <f>SUM(F180:F183)</f>
        <v>26100.71</v>
      </c>
      <c r="G184" s="38">
        <f>SUM(G180:G183)</f>
        <v>0</v>
      </c>
      <c r="H184" s="38">
        <f>SUM(H180:H183)</f>
        <v>0</v>
      </c>
      <c r="I184" s="38">
        <f>SUM(I180:I183)</f>
        <v>0</v>
      </c>
      <c r="J184" s="38">
        <f>SUM(J180:J183)</f>
        <v>487000</v>
      </c>
      <c r="K184" s="42" t="s">
        <v>288</v>
      </c>
      <c r="L184" s="42" t="s">
        <v>288</v>
      </c>
      <c r="M184" s="8"/>
      <c r="N184" s="164"/>
    </row>
    <row r="185" spans="1:14" s="3" customFormat="1" ht="12.2" customHeight="1" x14ac:dyDescent="0.15">
      <c r="A185" s="29" t="s">
        <v>332</v>
      </c>
      <c r="B185" s="2"/>
      <c r="C185" s="6"/>
      <c r="D185" s="6"/>
      <c r="E185" s="6"/>
      <c r="F185" s="23" t="s">
        <v>288</v>
      </c>
      <c r="G185" s="23" t="s">
        <v>288</v>
      </c>
      <c r="H185" s="23" t="s">
        <v>288</v>
      </c>
      <c r="I185" s="23" t="s">
        <v>288</v>
      </c>
      <c r="J185" s="23" t="s">
        <v>288</v>
      </c>
      <c r="K185" s="23" t="s">
        <v>288</v>
      </c>
      <c r="L185" s="23" t="s">
        <v>288</v>
      </c>
      <c r="M185" s="8"/>
      <c r="N185" s="164"/>
    </row>
    <row r="186" spans="1:14" s="3" customFormat="1" ht="12.2" customHeight="1" x14ac:dyDescent="0.15">
      <c r="A186" s="1" t="s">
        <v>528</v>
      </c>
      <c r="B186" s="2" t="s">
        <v>330</v>
      </c>
      <c r="C186" s="6">
        <v>11</v>
      </c>
      <c r="D186" s="2" t="s">
        <v>430</v>
      </c>
      <c r="E186" s="6">
        <v>5251</v>
      </c>
      <c r="F186" s="18">
        <v>77639.490000000005</v>
      </c>
      <c r="G186" s="18"/>
      <c r="H186" s="18"/>
      <c r="I186" s="18"/>
      <c r="J186" s="23" t="s">
        <v>288</v>
      </c>
      <c r="K186" s="23" t="s">
        <v>288</v>
      </c>
      <c r="L186" s="23" t="s">
        <v>288</v>
      </c>
      <c r="M186" s="8"/>
      <c r="N186" s="164"/>
    </row>
    <row r="187" spans="1:14" ht="12.2" customHeight="1" x14ac:dyDescent="0.2">
      <c r="A187" s="1" t="s">
        <v>529</v>
      </c>
      <c r="B187" s="2" t="s">
        <v>330</v>
      </c>
      <c r="C187" s="6">
        <v>12</v>
      </c>
      <c r="D187" s="2" t="s">
        <v>430</v>
      </c>
      <c r="E187" s="6">
        <v>5252</v>
      </c>
      <c r="F187" s="18"/>
      <c r="G187" s="18"/>
      <c r="H187" s="18"/>
      <c r="I187" s="18"/>
      <c r="J187" s="23" t="s">
        <v>288</v>
      </c>
      <c r="K187" s="23" t="s">
        <v>288</v>
      </c>
      <c r="L187" s="23" t="s">
        <v>288</v>
      </c>
      <c r="N187" s="130"/>
    </row>
    <row r="188" spans="1:14" ht="12.2" customHeight="1" thickBot="1" x14ac:dyDescent="0.25">
      <c r="A188" s="1" t="s">
        <v>530</v>
      </c>
      <c r="B188" s="2" t="s">
        <v>330</v>
      </c>
      <c r="C188" s="6">
        <v>13</v>
      </c>
      <c r="D188" s="2" t="s">
        <v>430</v>
      </c>
      <c r="E188" s="6">
        <v>5253</v>
      </c>
      <c r="F188" s="18"/>
      <c r="G188" s="18"/>
      <c r="H188" s="18"/>
      <c r="I188" s="18"/>
      <c r="J188" s="23" t="s">
        <v>288</v>
      </c>
      <c r="K188" s="23" t="s">
        <v>288</v>
      </c>
      <c r="L188" s="23" t="s">
        <v>288</v>
      </c>
      <c r="N188" s="130"/>
    </row>
    <row r="189" spans="1:14" s="3" customFormat="1" ht="12.2" customHeight="1" thickTop="1" x14ac:dyDescent="0.15">
      <c r="A189" s="35" t="s">
        <v>417</v>
      </c>
      <c r="B189" s="36" t="s">
        <v>330</v>
      </c>
      <c r="C189" s="37">
        <v>14</v>
      </c>
      <c r="D189" s="36" t="s">
        <v>430</v>
      </c>
      <c r="E189" s="41">
        <v>5250</v>
      </c>
      <c r="F189" s="38">
        <f>SUM(F186:F188)</f>
        <v>77639.490000000005</v>
      </c>
      <c r="G189" s="38">
        <f>SUM(G186:G188)</f>
        <v>0</v>
      </c>
      <c r="H189" s="38">
        <f>SUM(H186:H188)</f>
        <v>0</v>
      </c>
      <c r="I189" s="38">
        <f>SUM(I186:I188)</f>
        <v>0</v>
      </c>
      <c r="J189" s="42" t="s">
        <v>288</v>
      </c>
      <c r="K189" s="42" t="s">
        <v>288</v>
      </c>
      <c r="L189" s="42" t="s">
        <v>288</v>
      </c>
      <c r="M189" s="8"/>
      <c r="N189" s="164"/>
    </row>
    <row r="190" spans="1:14" s="3" customFormat="1" ht="12.2" customHeight="1" x14ac:dyDescent="0.15">
      <c r="A190" s="3" t="s">
        <v>333</v>
      </c>
      <c r="B190" s="2" t="s">
        <v>330</v>
      </c>
      <c r="C190" s="6">
        <v>15</v>
      </c>
      <c r="D190" s="2" t="s">
        <v>430</v>
      </c>
      <c r="E190" s="6">
        <v>5300</v>
      </c>
      <c r="F190" s="18"/>
      <c r="G190" s="18"/>
      <c r="H190" s="18"/>
      <c r="I190" s="18"/>
      <c r="J190" s="23" t="s">
        <v>288</v>
      </c>
      <c r="K190" s="23" t="s">
        <v>288</v>
      </c>
      <c r="L190" s="23" t="s">
        <v>288</v>
      </c>
      <c r="M190" s="8"/>
      <c r="N190" s="164"/>
    </row>
    <row r="191" spans="1:14" s="3" customFormat="1" ht="12.2" customHeight="1" x14ac:dyDescent="0.15">
      <c r="A191" s="3" t="s">
        <v>334</v>
      </c>
      <c r="B191" s="2" t="s">
        <v>330</v>
      </c>
      <c r="C191" s="6">
        <v>16</v>
      </c>
      <c r="D191" s="2" t="s">
        <v>430</v>
      </c>
      <c r="E191" s="6">
        <v>5500</v>
      </c>
      <c r="F191" s="18"/>
      <c r="G191" s="18"/>
      <c r="H191" s="18"/>
      <c r="I191" s="18"/>
      <c r="J191" s="23" t="s">
        <v>288</v>
      </c>
      <c r="K191" s="23" t="s">
        <v>288</v>
      </c>
      <c r="L191" s="23" t="s">
        <v>288</v>
      </c>
      <c r="M191" s="8"/>
      <c r="N191" s="164"/>
    </row>
    <row r="192" spans="1:14" s="3" customFormat="1" ht="12.2" customHeight="1" thickBot="1" x14ac:dyDescent="0.2">
      <c r="A192" s="1" t="s">
        <v>335</v>
      </c>
      <c r="B192" s="2" t="s">
        <v>330</v>
      </c>
      <c r="C192" s="6">
        <v>17</v>
      </c>
      <c r="D192" s="2" t="s">
        <v>430</v>
      </c>
      <c r="E192" s="6">
        <v>5600</v>
      </c>
      <c r="F192" s="18"/>
      <c r="G192" s="18"/>
      <c r="H192" s="18"/>
      <c r="I192" s="18"/>
      <c r="J192" s="23" t="s">
        <v>288</v>
      </c>
      <c r="K192" s="23" t="s">
        <v>288</v>
      </c>
      <c r="L192" s="23" t="s">
        <v>288</v>
      </c>
      <c r="M192" s="8"/>
      <c r="N192" s="164"/>
    </row>
    <row r="193" spans="1:14" s="3" customFormat="1" ht="12.2" customHeight="1" thickTop="1" thickBot="1" x14ac:dyDescent="0.25">
      <c r="A193" s="35" t="s">
        <v>418</v>
      </c>
      <c r="B193" s="36" t="s">
        <v>330</v>
      </c>
      <c r="C193" s="37">
        <v>18</v>
      </c>
      <c r="D193" s="113" t="s">
        <v>430</v>
      </c>
      <c r="E193" s="47">
        <v>5000</v>
      </c>
      <c r="F193" s="38">
        <f>F178+F184+SUM(F189:F192)</f>
        <v>103740.20000000001</v>
      </c>
      <c r="G193" s="38">
        <f>G184+SUM(G189:G192)</f>
        <v>0</v>
      </c>
      <c r="H193" s="38">
        <f>+H184+SUM(H189:H192)</f>
        <v>0</v>
      </c>
      <c r="I193" s="38">
        <f>I178+I184+SUM(I189:I192)</f>
        <v>0</v>
      </c>
      <c r="J193" s="38">
        <f>J184</f>
        <v>487000</v>
      </c>
      <c r="K193" s="42" t="s">
        <v>288</v>
      </c>
      <c r="L193" s="42" t="s">
        <v>288</v>
      </c>
      <c r="M193" s="8"/>
      <c r="N193" s="164"/>
    </row>
    <row r="194" spans="1:14" s="3" customFormat="1" ht="12.2" customHeight="1" thickTop="1" x14ac:dyDescent="0.2">
      <c r="A194" s="43" t="s">
        <v>457</v>
      </c>
      <c r="B194" s="36" t="s">
        <v>330</v>
      </c>
      <c r="C194" s="37">
        <v>19</v>
      </c>
      <c r="D194" s="114" t="s">
        <v>430</v>
      </c>
      <c r="E194" s="41"/>
      <c r="F194" s="38">
        <f>F112+F140+F170+F193</f>
        <v>28854546.259999998</v>
      </c>
      <c r="G194" s="38">
        <f>G112+G140+G170+G193</f>
        <v>774293.41999999993</v>
      </c>
      <c r="H194" s="38">
        <f>H112+H140+H170+H193</f>
        <v>1255984.5900000001</v>
      </c>
      <c r="I194" s="38">
        <f>I112+I140+I170+I193</f>
        <v>0</v>
      </c>
      <c r="J194" s="38">
        <f>J112+J140+J193</f>
        <v>585992.38</v>
      </c>
      <c r="K194" s="42" t="s">
        <v>288</v>
      </c>
      <c r="L194" s="42" t="s">
        <v>288</v>
      </c>
      <c r="M194" s="8"/>
      <c r="N194" s="164"/>
    </row>
    <row r="195" spans="1:14" s="3" customFormat="1" ht="12.2" customHeight="1" x14ac:dyDescent="0.15">
      <c r="A195" s="33" t="s">
        <v>465</v>
      </c>
      <c r="B195" s="2"/>
      <c r="F195" s="15" t="s">
        <v>689</v>
      </c>
      <c r="G195" s="15" t="s">
        <v>690</v>
      </c>
      <c r="H195" s="15" t="s">
        <v>691</v>
      </c>
      <c r="I195" s="15" t="s">
        <v>692</v>
      </c>
      <c r="J195" s="15" t="s">
        <v>693</v>
      </c>
      <c r="K195" s="15" t="s">
        <v>694</v>
      </c>
      <c r="L195" s="13"/>
      <c r="M195" s="8"/>
      <c r="N195" s="164"/>
    </row>
    <row r="196" spans="1:14" s="3" customFormat="1" ht="12.2" customHeight="1" x14ac:dyDescent="0.15">
      <c r="A196" s="28" t="s">
        <v>451</v>
      </c>
      <c r="F196" s="79" t="s">
        <v>54</v>
      </c>
      <c r="G196" s="79" t="s">
        <v>55</v>
      </c>
      <c r="H196" s="79" t="s">
        <v>56</v>
      </c>
      <c r="I196" s="79" t="s">
        <v>57</v>
      </c>
      <c r="J196" s="79" t="s">
        <v>58</v>
      </c>
      <c r="K196" s="79" t="s">
        <v>59</v>
      </c>
      <c r="L196" s="79" t="s">
        <v>5</v>
      </c>
      <c r="M196" s="8"/>
      <c r="N196" s="164"/>
    </row>
    <row r="197" spans="1:14" s="3" customFormat="1" ht="12.2" customHeight="1" x14ac:dyDescent="0.15">
      <c r="A197" s="29" t="s">
        <v>531</v>
      </c>
      <c r="F197" s="23" t="s">
        <v>288</v>
      </c>
      <c r="G197" s="23" t="s">
        <v>288</v>
      </c>
      <c r="H197" s="23" t="s">
        <v>288</v>
      </c>
      <c r="I197" s="23" t="s">
        <v>288</v>
      </c>
      <c r="J197" s="23" t="s">
        <v>288</v>
      </c>
      <c r="K197" s="23" t="s">
        <v>288</v>
      </c>
      <c r="L197" s="23" t="s">
        <v>288</v>
      </c>
      <c r="M197" s="8"/>
      <c r="N197" s="164"/>
    </row>
    <row r="198" spans="1:14" s="3" customFormat="1" ht="12.2" customHeight="1" x14ac:dyDescent="0.15">
      <c r="A198" s="1" t="s">
        <v>438</v>
      </c>
      <c r="B198" s="2" t="s">
        <v>341</v>
      </c>
      <c r="C198" s="2" t="s">
        <v>290</v>
      </c>
      <c r="D198" s="2" t="s">
        <v>431</v>
      </c>
      <c r="E198" s="6">
        <v>1100</v>
      </c>
      <c r="F198" s="18">
        <v>3999777.96</v>
      </c>
      <c r="G198" s="18">
        <v>2329442.73</v>
      </c>
      <c r="H198" s="18">
        <v>155551.12</v>
      </c>
      <c r="I198" s="18">
        <v>75110.95</v>
      </c>
      <c r="J198" s="18">
        <v>89757.13</v>
      </c>
      <c r="K198" s="18">
        <v>0</v>
      </c>
      <c r="L198" s="13">
        <f>SUM(F198:K198)</f>
        <v>6649639.8899999997</v>
      </c>
      <c r="M198" s="8"/>
      <c r="N198" s="164"/>
    </row>
    <row r="199" spans="1:14" s="3" customFormat="1" ht="12.2" customHeight="1" x14ac:dyDescent="0.15">
      <c r="A199" s="1" t="s">
        <v>439</v>
      </c>
      <c r="B199" s="2" t="s">
        <v>341</v>
      </c>
      <c r="C199" s="2" t="s">
        <v>291</v>
      </c>
      <c r="D199" s="2" t="s">
        <v>431</v>
      </c>
      <c r="E199" s="6">
        <v>1200</v>
      </c>
      <c r="F199" s="18">
        <f>1631754.87-205510.82</f>
        <v>1426244.05</v>
      </c>
      <c r="G199" s="18">
        <v>950322.63</v>
      </c>
      <c r="H199" s="18">
        <v>1455108.89</v>
      </c>
      <c r="I199" s="18">
        <v>2584.88</v>
      </c>
      <c r="J199" s="18">
        <v>0</v>
      </c>
      <c r="K199" s="18">
        <v>0</v>
      </c>
      <c r="L199" s="13">
        <f>SUM(F199:K199)</f>
        <v>3834260.45</v>
      </c>
      <c r="M199" s="8"/>
      <c r="N199" s="164"/>
    </row>
    <row r="200" spans="1:14" s="3" customFormat="1" ht="12.2" customHeight="1" x14ac:dyDescent="0.15">
      <c r="A200" s="1" t="s">
        <v>440</v>
      </c>
      <c r="B200" s="2" t="s">
        <v>341</v>
      </c>
      <c r="C200" s="2" t="s">
        <v>292</v>
      </c>
      <c r="D200" s="2" t="s">
        <v>431</v>
      </c>
      <c r="E200" s="6">
        <v>1300</v>
      </c>
      <c r="F200" s="18">
        <v>0</v>
      </c>
      <c r="G200" s="18">
        <v>0</v>
      </c>
      <c r="H200" s="18">
        <v>0</v>
      </c>
      <c r="I200" s="18">
        <v>0</v>
      </c>
      <c r="J200" s="18">
        <v>0</v>
      </c>
      <c r="K200" s="18">
        <v>0</v>
      </c>
      <c r="L200" s="13">
        <f>SUM(F200:K200)</f>
        <v>0</v>
      </c>
      <c r="M200" s="8"/>
      <c r="N200" s="164"/>
    </row>
    <row r="201" spans="1:14" s="3" customFormat="1" ht="12.2" customHeight="1" x14ac:dyDescent="0.15">
      <c r="A201" s="1" t="s">
        <v>441</v>
      </c>
      <c r="B201" s="2" t="s">
        <v>341</v>
      </c>
      <c r="C201" s="2" t="s">
        <v>293</v>
      </c>
      <c r="D201" s="2" t="s">
        <v>431</v>
      </c>
      <c r="E201" s="6">
        <v>1400</v>
      </c>
      <c r="F201" s="18">
        <v>30396</v>
      </c>
      <c r="G201" s="18">
        <v>17702.419999999998</v>
      </c>
      <c r="H201" s="18">
        <v>5590</v>
      </c>
      <c r="I201" s="18">
        <v>4604.1899999999996</v>
      </c>
      <c r="J201" s="18">
        <v>0</v>
      </c>
      <c r="K201" s="18">
        <v>200</v>
      </c>
      <c r="L201" s="13">
        <f>SUM(F201:K201)</f>
        <v>58492.61</v>
      </c>
      <c r="M201" s="8"/>
      <c r="N201" s="164"/>
    </row>
    <row r="202" spans="1:14" s="3" customFormat="1" ht="12.2" customHeight="1" x14ac:dyDescent="0.15">
      <c r="A202" s="29" t="s">
        <v>342</v>
      </c>
      <c r="E202" s="6"/>
      <c r="F202" s="23" t="s">
        <v>288</v>
      </c>
      <c r="G202" s="23" t="s">
        <v>288</v>
      </c>
      <c r="H202" s="23" t="s">
        <v>288</v>
      </c>
      <c r="I202" s="23" t="s">
        <v>288</v>
      </c>
      <c r="J202" s="23" t="s">
        <v>288</v>
      </c>
      <c r="K202" s="23" t="s">
        <v>288</v>
      </c>
      <c r="L202" s="23" t="s">
        <v>288</v>
      </c>
      <c r="M202" s="8"/>
      <c r="N202" s="164"/>
    </row>
    <row r="203" spans="1:14" s="3" customFormat="1" ht="12.2" customHeight="1" x14ac:dyDescent="0.15">
      <c r="A203" s="1" t="s">
        <v>442</v>
      </c>
      <c r="B203" s="2" t="s">
        <v>341</v>
      </c>
      <c r="C203" s="2" t="s">
        <v>294</v>
      </c>
      <c r="D203" s="2" t="s">
        <v>431</v>
      </c>
      <c r="E203" s="6">
        <v>2100</v>
      </c>
      <c r="F203" s="18">
        <v>263659.59999999998</v>
      </c>
      <c r="G203" s="18">
        <v>153553.51</v>
      </c>
      <c r="H203" s="18">
        <v>531890.74</v>
      </c>
      <c r="I203" s="18">
        <v>1540.01</v>
      </c>
      <c r="J203" s="18">
        <v>0</v>
      </c>
      <c r="K203" s="18">
        <v>0</v>
      </c>
      <c r="L203" s="13">
        <f t="shared" ref="L203:L209" si="0">SUM(F203:K203)</f>
        <v>950643.86</v>
      </c>
      <c r="M203" s="8"/>
      <c r="N203" s="164"/>
    </row>
    <row r="204" spans="1:14" s="3" customFormat="1" ht="12.2" customHeight="1" x14ac:dyDescent="0.15">
      <c r="A204" s="1" t="s">
        <v>443</v>
      </c>
      <c r="B204" s="2" t="s">
        <v>341</v>
      </c>
      <c r="C204" s="2" t="s">
        <v>295</v>
      </c>
      <c r="D204" s="2" t="s">
        <v>431</v>
      </c>
      <c r="E204" s="6">
        <v>2200</v>
      </c>
      <c r="F204" s="18">
        <v>149111.79999999999</v>
      </c>
      <c r="G204" s="18">
        <v>86841.67</v>
      </c>
      <c r="H204" s="18">
        <v>51291.37</v>
      </c>
      <c r="I204" s="18">
        <v>5952.86</v>
      </c>
      <c r="J204" s="18">
        <v>0</v>
      </c>
      <c r="K204" s="18">
        <v>0</v>
      </c>
      <c r="L204" s="13">
        <f t="shared" si="0"/>
        <v>293197.69999999995</v>
      </c>
      <c r="M204" s="8"/>
      <c r="N204" s="164"/>
    </row>
    <row r="205" spans="1:14" s="3" customFormat="1" ht="12.2" customHeight="1" x14ac:dyDescent="0.15">
      <c r="A205" s="1" t="s">
        <v>444</v>
      </c>
      <c r="B205" s="2" t="s">
        <v>341</v>
      </c>
      <c r="C205" s="2" t="s">
        <v>296</v>
      </c>
      <c r="D205" s="2" t="s">
        <v>431</v>
      </c>
      <c r="E205" s="6">
        <v>2300</v>
      </c>
      <c r="F205" s="18">
        <v>6019</v>
      </c>
      <c r="G205" s="18">
        <v>3505.42</v>
      </c>
      <c r="H205" s="18">
        <v>410941.93</v>
      </c>
      <c r="I205" s="18">
        <v>0</v>
      </c>
      <c r="J205" s="18">
        <v>0</v>
      </c>
      <c r="K205" s="18">
        <v>2927.26</v>
      </c>
      <c r="L205" s="13">
        <f t="shared" si="0"/>
        <v>423393.61</v>
      </c>
      <c r="M205" s="8"/>
      <c r="N205" s="164"/>
    </row>
    <row r="206" spans="1:14" s="3" customFormat="1" ht="12.2" customHeight="1" x14ac:dyDescent="0.15">
      <c r="A206" s="1" t="s">
        <v>445</v>
      </c>
      <c r="B206" s="2" t="s">
        <v>341</v>
      </c>
      <c r="C206" s="2" t="s">
        <v>297</v>
      </c>
      <c r="D206" s="2" t="s">
        <v>431</v>
      </c>
      <c r="E206" s="6">
        <v>2400</v>
      </c>
      <c r="F206" s="18">
        <v>625529.47</v>
      </c>
      <c r="G206" s="18">
        <v>364303.99</v>
      </c>
      <c r="H206" s="18">
        <v>62400.44</v>
      </c>
      <c r="I206" s="18">
        <v>920.95</v>
      </c>
      <c r="J206" s="18">
        <v>0</v>
      </c>
      <c r="K206" s="18">
        <v>2260.81</v>
      </c>
      <c r="L206" s="13">
        <f t="shared" si="0"/>
        <v>1055415.6599999999</v>
      </c>
      <c r="M206" s="8"/>
      <c r="N206" s="164"/>
    </row>
    <row r="207" spans="1:14" s="3" customFormat="1" ht="12.2" customHeight="1" x14ac:dyDescent="0.15">
      <c r="A207" s="1" t="s">
        <v>446</v>
      </c>
      <c r="B207" s="2" t="s">
        <v>341</v>
      </c>
      <c r="C207" s="2" t="s">
        <v>298</v>
      </c>
      <c r="D207" s="2" t="s">
        <v>431</v>
      </c>
      <c r="E207" s="6">
        <v>2500</v>
      </c>
      <c r="F207" s="18">
        <v>0</v>
      </c>
      <c r="G207" s="18">
        <v>0</v>
      </c>
      <c r="H207" s="18">
        <v>0</v>
      </c>
      <c r="I207" s="18">
        <v>0</v>
      </c>
      <c r="J207" s="18">
        <v>0</v>
      </c>
      <c r="K207" s="18">
        <v>0</v>
      </c>
      <c r="L207" s="13">
        <f t="shared" si="0"/>
        <v>0</v>
      </c>
      <c r="M207" s="8"/>
      <c r="N207" s="164"/>
    </row>
    <row r="208" spans="1:14" s="3" customFormat="1" ht="12.2" customHeight="1" x14ac:dyDescent="0.15">
      <c r="A208" s="1" t="s">
        <v>447</v>
      </c>
      <c r="B208" s="2" t="s">
        <v>341</v>
      </c>
      <c r="C208" s="2" t="s">
        <v>299</v>
      </c>
      <c r="D208" s="2" t="s">
        <v>431</v>
      </c>
      <c r="E208" s="6">
        <v>2600</v>
      </c>
      <c r="F208" s="18">
        <v>330972.25</v>
      </c>
      <c r="G208" s="18">
        <v>192755.92</v>
      </c>
      <c r="H208" s="18">
        <v>196492.56</v>
      </c>
      <c r="I208" s="18">
        <v>147550.24</v>
      </c>
      <c r="J208" s="18">
        <v>1777.08</v>
      </c>
      <c r="K208" s="18">
        <v>0</v>
      </c>
      <c r="L208" s="13">
        <f t="shared" si="0"/>
        <v>869548.04999999993</v>
      </c>
      <c r="M208" s="8"/>
      <c r="N208" s="164"/>
    </row>
    <row r="209" spans="1:14" s="3" customFormat="1" ht="12.2" customHeight="1" x14ac:dyDescent="0.15">
      <c r="A209" s="1" t="s">
        <v>448</v>
      </c>
      <c r="B209" s="2" t="s">
        <v>341</v>
      </c>
      <c r="C209" s="2" t="s">
        <v>300</v>
      </c>
      <c r="D209" s="2" t="s">
        <v>431</v>
      </c>
      <c r="E209" s="6">
        <v>2700</v>
      </c>
      <c r="F209" s="18">
        <v>0</v>
      </c>
      <c r="G209" s="18">
        <v>0</v>
      </c>
      <c r="H209" s="18">
        <v>875825.29</v>
      </c>
      <c r="I209" s="18">
        <v>0</v>
      </c>
      <c r="J209" s="18">
        <v>0</v>
      </c>
      <c r="K209" s="18">
        <v>0</v>
      </c>
      <c r="L209" s="13">
        <f t="shared" si="0"/>
        <v>875825.29</v>
      </c>
      <c r="M209" s="8"/>
      <c r="N209" s="164"/>
    </row>
    <row r="210" spans="1:14" s="3" customFormat="1" ht="12.2" customHeight="1" x14ac:dyDescent="0.15">
      <c r="A210" s="1" t="s">
        <v>449</v>
      </c>
      <c r="B210" s="2" t="s">
        <v>341</v>
      </c>
      <c r="C210" s="2" t="s">
        <v>343</v>
      </c>
      <c r="D210" s="2" t="s">
        <v>431</v>
      </c>
      <c r="E210" s="6">
        <v>2800</v>
      </c>
      <c r="F210" s="18">
        <v>0</v>
      </c>
      <c r="G210" s="18">
        <v>0</v>
      </c>
      <c r="H210" s="18">
        <v>0</v>
      </c>
      <c r="I210" s="18">
        <v>0</v>
      </c>
      <c r="J210" s="18">
        <v>0</v>
      </c>
      <c r="K210" s="18">
        <v>0</v>
      </c>
      <c r="L210" s="13">
        <f>SUM(F210:K210)</f>
        <v>0</v>
      </c>
      <c r="M210" s="8"/>
      <c r="N210" s="164"/>
    </row>
    <row r="211" spans="1:14" s="3" customFormat="1" ht="12.2" customHeight="1" thickBot="1" x14ac:dyDescent="0.2">
      <c r="A211" s="1" t="s">
        <v>450</v>
      </c>
      <c r="B211" s="2" t="s">
        <v>341</v>
      </c>
      <c r="C211" s="2" t="s">
        <v>344</v>
      </c>
      <c r="D211" s="2" t="s">
        <v>431</v>
      </c>
      <c r="E211" s="6">
        <v>2900</v>
      </c>
      <c r="F211" s="23" t="s">
        <v>288</v>
      </c>
      <c r="G211" s="23" t="s">
        <v>288</v>
      </c>
      <c r="H211" s="23" t="s">
        <v>288</v>
      </c>
      <c r="I211" s="23" t="s">
        <v>288</v>
      </c>
      <c r="J211" s="23" t="s">
        <v>288</v>
      </c>
      <c r="K211" s="23" t="s">
        <v>288</v>
      </c>
      <c r="L211" s="23" t="s">
        <v>288</v>
      </c>
      <c r="M211" s="8"/>
      <c r="N211" s="164"/>
    </row>
    <row r="212" spans="1:14" s="3" customFormat="1" ht="12.2" customHeight="1" thickTop="1" x14ac:dyDescent="0.15">
      <c r="A212" s="35" t="s">
        <v>419</v>
      </c>
      <c r="B212" s="36" t="s">
        <v>341</v>
      </c>
      <c r="C212" s="36" t="s">
        <v>345</v>
      </c>
      <c r="D212" s="36" t="s">
        <v>431</v>
      </c>
      <c r="E212" s="36"/>
      <c r="F212" s="38">
        <f t="shared" ref="F212:L212" si="1">SUM(F198:F211)</f>
        <v>6831710.129999999</v>
      </c>
      <c r="G212" s="38">
        <f t="shared" si="1"/>
        <v>4098428.29</v>
      </c>
      <c r="H212" s="38">
        <f t="shared" si="1"/>
        <v>3745092.3400000003</v>
      </c>
      <c r="I212" s="38">
        <f t="shared" si="1"/>
        <v>238264.08</v>
      </c>
      <c r="J212" s="38">
        <f t="shared" si="1"/>
        <v>91534.21</v>
      </c>
      <c r="K212" s="38">
        <f t="shared" si="1"/>
        <v>5388.07</v>
      </c>
      <c r="L212" s="38">
        <f t="shared" si="1"/>
        <v>15010417.119999997</v>
      </c>
      <c r="M212" s="8"/>
      <c r="N212" s="164"/>
    </row>
    <row r="213" spans="1:14" s="3" customFormat="1" ht="12.2" customHeight="1" x14ac:dyDescent="0.15">
      <c r="A213" s="33" t="s">
        <v>465</v>
      </c>
      <c r="B213" s="2"/>
      <c r="C213" s="2"/>
      <c r="D213" s="2"/>
      <c r="E213" s="2"/>
      <c r="F213" s="15" t="s">
        <v>689</v>
      </c>
      <c r="G213" s="15" t="s">
        <v>690</v>
      </c>
      <c r="H213" s="15" t="s">
        <v>691</v>
      </c>
      <c r="I213" s="15" t="s">
        <v>692</v>
      </c>
      <c r="J213" s="15" t="s">
        <v>693</v>
      </c>
      <c r="K213" s="15" t="s">
        <v>694</v>
      </c>
      <c r="L213" s="13"/>
      <c r="M213" s="8"/>
      <c r="N213" s="164"/>
    </row>
    <row r="214" spans="1:14" s="3" customFormat="1" ht="12.2" customHeight="1" x14ac:dyDescent="0.15">
      <c r="A214" s="28" t="s">
        <v>452</v>
      </c>
      <c r="B214" s="7"/>
      <c r="C214" s="7"/>
      <c r="D214" s="7"/>
      <c r="E214" s="7"/>
      <c r="F214" s="79" t="s">
        <v>54</v>
      </c>
      <c r="G214" s="79" t="s">
        <v>55</v>
      </c>
      <c r="H214" s="79" t="s">
        <v>56</v>
      </c>
      <c r="I214" s="79" t="s">
        <v>57</v>
      </c>
      <c r="J214" s="79" t="s">
        <v>58</v>
      </c>
      <c r="K214" s="79" t="s">
        <v>59</v>
      </c>
      <c r="L214" s="79" t="s">
        <v>5</v>
      </c>
      <c r="M214" s="8"/>
      <c r="N214" s="164"/>
    </row>
    <row r="215" spans="1:14" s="3" customFormat="1" ht="12.2" customHeight="1" x14ac:dyDescent="0.15">
      <c r="A215" s="29" t="s">
        <v>531</v>
      </c>
      <c r="F215" s="23" t="s">
        <v>288</v>
      </c>
      <c r="G215" s="23" t="s">
        <v>288</v>
      </c>
      <c r="H215" s="23" t="s">
        <v>288</v>
      </c>
      <c r="I215" s="23" t="s">
        <v>288</v>
      </c>
      <c r="J215" s="23" t="s">
        <v>288</v>
      </c>
      <c r="K215" s="23" t="s">
        <v>288</v>
      </c>
      <c r="L215" s="23" t="s">
        <v>288</v>
      </c>
      <c r="M215" s="8"/>
      <c r="N215" s="164"/>
    </row>
    <row r="216" spans="1:14" s="3" customFormat="1" ht="12.2" customHeight="1" x14ac:dyDescent="0.15">
      <c r="A216" s="1" t="s">
        <v>438</v>
      </c>
      <c r="B216" s="2" t="s">
        <v>346</v>
      </c>
      <c r="C216" s="2" t="s">
        <v>290</v>
      </c>
      <c r="D216" s="2" t="s">
        <v>431</v>
      </c>
      <c r="E216" s="6">
        <v>1100</v>
      </c>
      <c r="F216" s="18">
        <v>0</v>
      </c>
      <c r="G216" s="18">
        <v>0</v>
      </c>
      <c r="H216" s="18">
        <v>0</v>
      </c>
      <c r="I216" s="18">
        <v>0</v>
      </c>
      <c r="J216" s="18">
        <v>0</v>
      </c>
      <c r="K216" s="18">
        <v>0</v>
      </c>
      <c r="L216" s="13">
        <f>SUM(F216:K216)</f>
        <v>0</v>
      </c>
      <c r="M216" s="8"/>
      <c r="N216" s="164"/>
    </row>
    <row r="217" spans="1:14" s="3" customFormat="1" ht="12.2" customHeight="1" x14ac:dyDescent="0.15">
      <c r="A217" s="1" t="s">
        <v>439</v>
      </c>
      <c r="B217" s="2" t="s">
        <v>346</v>
      </c>
      <c r="C217" s="2" t="s">
        <v>291</v>
      </c>
      <c r="D217" s="2" t="s">
        <v>431</v>
      </c>
      <c r="E217" s="6">
        <v>1200</v>
      </c>
      <c r="F217" s="18">
        <v>0</v>
      </c>
      <c r="G217" s="18">
        <v>0</v>
      </c>
      <c r="H217" s="18">
        <v>0</v>
      </c>
      <c r="I217" s="18">
        <v>0</v>
      </c>
      <c r="J217" s="18">
        <v>0</v>
      </c>
      <c r="K217" s="18">
        <v>0</v>
      </c>
      <c r="L217" s="13">
        <f>SUM(F217:K217)</f>
        <v>0</v>
      </c>
      <c r="M217" s="8"/>
      <c r="N217" s="164"/>
    </row>
    <row r="218" spans="1:14" s="3" customFormat="1" ht="12.2" customHeight="1" x14ac:dyDescent="0.15">
      <c r="A218" s="1" t="s">
        <v>440</v>
      </c>
      <c r="B218" s="2" t="s">
        <v>346</v>
      </c>
      <c r="C218" s="2" t="s">
        <v>292</v>
      </c>
      <c r="D218" s="2" t="s">
        <v>431</v>
      </c>
      <c r="E218" s="6">
        <v>1300</v>
      </c>
      <c r="F218" s="18">
        <v>0</v>
      </c>
      <c r="G218" s="18">
        <v>0</v>
      </c>
      <c r="H218" s="18">
        <v>0</v>
      </c>
      <c r="I218" s="18">
        <v>0</v>
      </c>
      <c r="J218" s="18">
        <v>0</v>
      </c>
      <c r="K218" s="18">
        <v>0</v>
      </c>
      <c r="L218" s="13">
        <f>SUM(F218:K218)</f>
        <v>0</v>
      </c>
      <c r="M218" s="8"/>
      <c r="N218" s="164"/>
    </row>
    <row r="219" spans="1:14" s="3" customFormat="1" ht="12.2" customHeight="1" x14ac:dyDescent="0.15">
      <c r="A219" s="1" t="s">
        <v>441</v>
      </c>
      <c r="B219" s="2" t="s">
        <v>346</v>
      </c>
      <c r="C219" s="2" t="s">
        <v>293</v>
      </c>
      <c r="D219" s="2" t="s">
        <v>431</v>
      </c>
      <c r="E219" s="6">
        <v>1400</v>
      </c>
      <c r="F219" s="18">
        <v>0</v>
      </c>
      <c r="G219" s="18">
        <v>0</v>
      </c>
      <c r="H219" s="18">
        <v>0</v>
      </c>
      <c r="I219" s="18">
        <v>0</v>
      </c>
      <c r="J219" s="18">
        <v>0</v>
      </c>
      <c r="K219" s="18">
        <v>0</v>
      </c>
      <c r="L219" s="13">
        <f>SUM(F219:K219)</f>
        <v>0</v>
      </c>
      <c r="M219" s="8"/>
      <c r="N219" s="164"/>
    </row>
    <row r="220" spans="1:14" s="3" customFormat="1" ht="12.2" customHeight="1" x14ac:dyDescent="0.15">
      <c r="A220" s="29" t="s">
        <v>342</v>
      </c>
      <c r="B220" s="1" t="s">
        <v>301</v>
      </c>
      <c r="E220" s="6"/>
      <c r="F220" s="23" t="s">
        <v>288</v>
      </c>
      <c r="G220" s="23" t="s">
        <v>288</v>
      </c>
      <c r="H220" s="23" t="s">
        <v>288</v>
      </c>
      <c r="I220" s="23" t="s">
        <v>288</v>
      </c>
      <c r="J220" s="23" t="s">
        <v>288</v>
      </c>
      <c r="K220" s="23" t="s">
        <v>288</v>
      </c>
      <c r="L220" s="23" t="s">
        <v>288</v>
      </c>
      <c r="M220" s="8"/>
      <c r="N220" s="164"/>
    </row>
    <row r="221" spans="1:14" s="3" customFormat="1" ht="12.2" customHeight="1" x14ac:dyDescent="0.15">
      <c r="A221" s="1" t="s">
        <v>442</v>
      </c>
      <c r="B221" s="2" t="s">
        <v>346</v>
      </c>
      <c r="C221" s="2" t="s">
        <v>294</v>
      </c>
      <c r="D221" s="2" t="s">
        <v>431</v>
      </c>
      <c r="E221" s="6">
        <v>2100</v>
      </c>
      <c r="F221" s="18">
        <v>0</v>
      </c>
      <c r="G221" s="18">
        <v>0</v>
      </c>
      <c r="H221" s="18">
        <v>0</v>
      </c>
      <c r="I221" s="18">
        <v>0</v>
      </c>
      <c r="J221" s="18">
        <v>0</v>
      </c>
      <c r="K221" s="18">
        <v>0</v>
      </c>
      <c r="L221" s="13">
        <f t="shared" ref="L221:L227" si="2">SUM(F221:K221)</f>
        <v>0</v>
      </c>
      <c r="M221" s="8"/>
      <c r="N221" s="164"/>
    </row>
    <row r="222" spans="1:14" s="3" customFormat="1" ht="12.2" customHeight="1" x14ac:dyDescent="0.15">
      <c r="A222" s="1" t="s">
        <v>443</v>
      </c>
      <c r="B222" s="2" t="s">
        <v>346</v>
      </c>
      <c r="C222" s="2" t="s">
        <v>295</v>
      </c>
      <c r="D222" s="2" t="s">
        <v>431</v>
      </c>
      <c r="E222" s="6">
        <v>2200</v>
      </c>
      <c r="F222" s="18">
        <v>0</v>
      </c>
      <c r="G222" s="18">
        <v>0</v>
      </c>
      <c r="H222" s="18">
        <v>0</v>
      </c>
      <c r="I222" s="18">
        <v>0</v>
      </c>
      <c r="J222" s="18">
        <v>0</v>
      </c>
      <c r="K222" s="18">
        <v>0</v>
      </c>
      <c r="L222" s="13">
        <f t="shared" si="2"/>
        <v>0</v>
      </c>
      <c r="M222" s="8"/>
      <c r="N222" s="164"/>
    </row>
    <row r="223" spans="1:14" s="3" customFormat="1" ht="12.2" customHeight="1" x14ac:dyDescent="0.15">
      <c r="A223" s="1" t="s">
        <v>444</v>
      </c>
      <c r="B223" s="2" t="s">
        <v>346</v>
      </c>
      <c r="C223" s="2" t="s">
        <v>296</v>
      </c>
      <c r="D223" s="2" t="s">
        <v>431</v>
      </c>
      <c r="E223" s="6">
        <v>2300</v>
      </c>
      <c r="F223" s="18">
        <v>0</v>
      </c>
      <c r="G223" s="18">
        <v>0</v>
      </c>
      <c r="H223" s="18">
        <v>0</v>
      </c>
      <c r="I223" s="18">
        <v>0</v>
      </c>
      <c r="J223" s="18">
        <v>0</v>
      </c>
      <c r="K223" s="18">
        <v>0</v>
      </c>
      <c r="L223" s="13">
        <f t="shared" si="2"/>
        <v>0</v>
      </c>
      <c r="M223" s="8"/>
      <c r="N223" s="164"/>
    </row>
    <row r="224" spans="1:14" s="3" customFormat="1" ht="12.2" customHeight="1" x14ac:dyDescent="0.15">
      <c r="A224" s="1" t="s">
        <v>445</v>
      </c>
      <c r="B224" s="2" t="s">
        <v>346</v>
      </c>
      <c r="C224" s="2" t="s">
        <v>297</v>
      </c>
      <c r="D224" s="2" t="s">
        <v>431</v>
      </c>
      <c r="E224" s="6">
        <v>2400</v>
      </c>
      <c r="F224" s="18">
        <v>0</v>
      </c>
      <c r="G224" s="18">
        <v>0</v>
      </c>
      <c r="H224" s="18">
        <v>0</v>
      </c>
      <c r="I224" s="18">
        <v>0</v>
      </c>
      <c r="J224" s="18">
        <v>0</v>
      </c>
      <c r="K224" s="18">
        <v>0</v>
      </c>
      <c r="L224" s="13">
        <f t="shared" si="2"/>
        <v>0</v>
      </c>
      <c r="M224" s="8"/>
      <c r="N224" s="164"/>
    </row>
    <row r="225" spans="1:14" s="3" customFormat="1" ht="12.2" customHeight="1" x14ac:dyDescent="0.15">
      <c r="A225" s="1" t="s">
        <v>446</v>
      </c>
      <c r="B225" s="2" t="s">
        <v>346</v>
      </c>
      <c r="C225" s="2" t="s">
        <v>298</v>
      </c>
      <c r="D225" s="2" t="s">
        <v>431</v>
      </c>
      <c r="E225" s="6">
        <v>2500</v>
      </c>
      <c r="F225" s="18">
        <v>0</v>
      </c>
      <c r="G225" s="18">
        <v>0</v>
      </c>
      <c r="H225" s="18">
        <v>0</v>
      </c>
      <c r="I225" s="18">
        <v>0</v>
      </c>
      <c r="J225" s="18">
        <v>0</v>
      </c>
      <c r="K225" s="18">
        <v>0</v>
      </c>
      <c r="L225" s="13">
        <f t="shared" si="2"/>
        <v>0</v>
      </c>
      <c r="M225" s="8"/>
      <c r="N225" s="164"/>
    </row>
    <row r="226" spans="1:14" s="3" customFormat="1" ht="12.2" customHeight="1" x14ac:dyDescent="0.15">
      <c r="A226" s="1" t="s">
        <v>447</v>
      </c>
      <c r="B226" s="2" t="s">
        <v>346</v>
      </c>
      <c r="C226" s="2" t="s">
        <v>299</v>
      </c>
      <c r="D226" s="2" t="s">
        <v>431</v>
      </c>
      <c r="E226" s="6">
        <v>2600</v>
      </c>
      <c r="F226" s="18">
        <v>0</v>
      </c>
      <c r="G226" s="18">
        <v>0</v>
      </c>
      <c r="H226" s="18">
        <v>0</v>
      </c>
      <c r="I226" s="18">
        <v>0</v>
      </c>
      <c r="J226" s="18">
        <v>0</v>
      </c>
      <c r="K226" s="18">
        <v>0</v>
      </c>
      <c r="L226" s="13">
        <f t="shared" si="2"/>
        <v>0</v>
      </c>
      <c r="M226" s="8"/>
      <c r="N226" s="164"/>
    </row>
    <row r="227" spans="1:14" s="3" customFormat="1" ht="12.2" customHeight="1" x14ac:dyDescent="0.15">
      <c r="A227" s="1" t="s">
        <v>448</v>
      </c>
      <c r="B227" s="2" t="s">
        <v>346</v>
      </c>
      <c r="C227" s="2" t="s">
        <v>300</v>
      </c>
      <c r="D227" s="2" t="s">
        <v>431</v>
      </c>
      <c r="E227" s="6">
        <v>2700</v>
      </c>
      <c r="F227" s="18">
        <v>0</v>
      </c>
      <c r="G227" s="18">
        <v>0</v>
      </c>
      <c r="H227" s="18">
        <v>0</v>
      </c>
      <c r="I227" s="18">
        <v>0</v>
      </c>
      <c r="J227" s="18">
        <v>0</v>
      </c>
      <c r="K227" s="18">
        <v>0</v>
      </c>
      <c r="L227" s="13">
        <f t="shared" si="2"/>
        <v>0</v>
      </c>
      <c r="M227" s="8"/>
      <c r="N227" s="164"/>
    </row>
    <row r="228" spans="1:14" s="3" customFormat="1" ht="12.2" customHeight="1" x14ac:dyDescent="0.15">
      <c r="A228" s="1" t="s">
        <v>449</v>
      </c>
      <c r="B228" s="2" t="s">
        <v>346</v>
      </c>
      <c r="C228" s="2" t="s">
        <v>343</v>
      </c>
      <c r="D228" s="2" t="s">
        <v>431</v>
      </c>
      <c r="E228" s="6">
        <v>2800</v>
      </c>
      <c r="F228" s="18">
        <v>0</v>
      </c>
      <c r="G228" s="18">
        <v>0</v>
      </c>
      <c r="H228" s="18">
        <v>0</v>
      </c>
      <c r="I228" s="18">
        <v>0</v>
      </c>
      <c r="J228" s="18">
        <v>0</v>
      </c>
      <c r="K228" s="18">
        <v>0</v>
      </c>
      <c r="L228" s="13">
        <f>SUM(F228:K228)</f>
        <v>0</v>
      </c>
      <c r="M228" s="8"/>
      <c r="N228" s="164"/>
    </row>
    <row r="229" spans="1:14" s="3" customFormat="1" ht="12.2" customHeight="1" thickBot="1" x14ac:dyDescent="0.2">
      <c r="A229" s="1" t="s">
        <v>450</v>
      </c>
      <c r="B229" s="2" t="s">
        <v>346</v>
      </c>
      <c r="C229" s="2" t="s">
        <v>344</v>
      </c>
      <c r="D229" s="2" t="s">
        <v>431</v>
      </c>
      <c r="E229" s="6">
        <v>2900</v>
      </c>
      <c r="F229" s="23" t="s">
        <v>288</v>
      </c>
      <c r="G229" s="23" t="s">
        <v>288</v>
      </c>
      <c r="H229" s="23" t="s">
        <v>288</v>
      </c>
      <c r="I229" s="23" t="s">
        <v>288</v>
      </c>
      <c r="J229" s="23" t="s">
        <v>288</v>
      </c>
      <c r="K229" s="23" t="s">
        <v>288</v>
      </c>
      <c r="L229" s="23" t="s">
        <v>288</v>
      </c>
      <c r="M229" s="8"/>
      <c r="N229" s="164"/>
    </row>
    <row r="230" spans="1:14" s="3" customFormat="1" ht="12.2" customHeight="1" thickTop="1" x14ac:dyDescent="0.15">
      <c r="A230" s="35" t="s">
        <v>459</v>
      </c>
      <c r="B230" s="36" t="s">
        <v>346</v>
      </c>
      <c r="C230" s="36" t="s">
        <v>345</v>
      </c>
      <c r="D230" s="36" t="s">
        <v>431</v>
      </c>
      <c r="E230" s="41"/>
      <c r="F230" s="38">
        <f t="shared" ref="F230:L230" si="3">SUM(F216:F229)</f>
        <v>0</v>
      </c>
      <c r="G230" s="38">
        <f>SUM(G216:G229)</f>
        <v>0</v>
      </c>
      <c r="H230" s="38">
        <f>SUM(H216:H229)</f>
        <v>0</v>
      </c>
      <c r="I230" s="38">
        <f>SUM(I216:I229)</f>
        <v>0</v>
      </c>
      <c r="J230" s="38">
        <f>SUM(J216:J229)</f>
        <v>0</v>
      </c>
      <c r="K230" s="38">
        <f t="shared" si="3"/>
        <v>0</v>
      </c>
      <c r="L230" s="38">
        <f t="shared" si="3"/>
        <v>0</v>
      </c>
      <c r="M230" s="8"/>
      <c r="N230" s="164"/>
    </row>
    <row r="231" spans="1:14" s="3" customFormat="1" ht="12.2" customHeight="1" x14ac:dyDescent="0.15">
      <c r="A231" s="33" t="s">
        <v>465</v>
      </c>
      <c r="B231" s="2"/>
      <c r="C231" s="22"/>
      <c r="D231" s="22"/>
      <c r="E231" s="22"/>
      <c r="F231" s="15" t="s">
        <v>689</v>
      </c>
      <c r="G231" s="15" t="s">
        <v>690</v>
      </c>
      <c r="H231" s="15" t="s">
        <v>691</v>
      </c>
      <c r="I231" s="15" t="s">
        <v>692</v>
      </c>
      <c r="J231" s="15" t="s">
        <v>693</v>
      </c>
      <c r="K231" s="15" t="s">
        <v>694</v>
      </c>
      <c r="L231" s="13"/>
      <c r="M231" s="8"/>
      <c r="N231" s="164"/>
    </row>
    <row r="232" spans="1:14" s="3" customFormat="1" ht="12.2" customHeight="1" x14ac:dyDescent="0.15">
      <c r="A232" s="28" t="s">
        <v>453</v>
      </c>
      <c r="F232" s="79" t="s">
        <v>54</v>
      </c>
      <c r="G232" s="79" t="s">
        <v>55</v>
      </c>
      <c r="H232" s="79" t="s">
        <v>56</v>
      </c>
      <c r="I232" s="79" t="s">
        <v>57</v>
      </c>
      <c r="J232" s="79" t="s">
        <v>58</v>
      </c>
      <c r="K232" s="79" t="s">
        <v>59</v>
      </c>
      <c r="L232" s="79" t="s">
        <v>5</v>
      </c>
      <c r="M232" s="8"/>
      <c r="N232" s="164"/>
    </row>
    <row r="233" spans="1:14" s="3" customFormat="1" ht="12.2" customHeight="1" x14ac:dyDescent="0.15">
      <c r="A233" s="29" t="s">
        <v>195</v>
      </c>
      <c r="F233" s="23" t="s">
        <v>288</v>
      </c>
      <c r="G233" s="23" t="s">
        <v>288</v>
      </c>
      <c r="H233" s="23" t="s">
        <v>288</v>
      </c>
      <c r="I233" s="23" t="s">
        <v>288</v>
      </c>
      <c r="J233" s="23" t="s">
        <v>288</v>
      </c>
      <c r="K233" s="23" t="s">
        <v>288</v>
      </c>
      <c r="L233" s="23" t="s">
        <v>288</v>
      </c>
      <c r="M233" s="8"/>
      <c r="N233" s="164"/>
    </row>
    <row r="234" spans="1:14" s="3" customFormat="1" ht="12.2" customHeight="1" x14ac:dyDescent="0.15">
      <c r="A234" s="1" t="s">
        <v>438</v>
      </c>
      <c r="B234" s="2" t="s">
        <v>350</v>
      </c>
      <c r="C234" s="2" t="s">
        <v>290</v>
      </c>
      <c r="D234" s="2" t="s">
        <v>431</v>
      </c>
      <c r="E234" s="6">
        <v>1100</v>
      </c>
      <c r="F234" s="18">
        <v>3300533.25</v>
      </c>
      <c r="G234" s="18">
        <v>1892745.96</v>
      </c>
      <c r="H234" s="18">
        <v>78654.460000000006</v>
      </c>
      <c r="I234" s="18">
        <v>85828.64</v>
      </c>
      <c r="J234" s="18">
        <v>56450.82</v>
      </c>
      <c r="K234" s="18">
        <v>275</v>
      </c>
      <c r="L234" s="13">
        <f>SUM(F234:K234)</f>
        <v>5414488.1299999999</v>
      </c>
      <c r="M234" s="8"/>
      <c r="N234" s="164"/>
    </row>
    <row r="235" spans="1:14" s="3" customFormat="1" ht="12.2" customHeight="1" x14ac:dyDescent="0.15">
      <c r="A235" s="1" t="s">
        <v>439</v>
      </c>
      <c r="B235" s="2" t="s">
        <v>350</v>
      </c>
      <c r="C235" s="2" t="s">
        <v>291</v>
      </c>
      <c r="D235" s="2" t="s">
        <v>431</v>
      </c>
      <c r="E235" s="6">
        <v>1200</v>
      </c>
      <c r="F235" s="18">
        <f>1033062.95-122896.72</f>
        <v>910166.23</v>
      </c>
      <c r="G235" s="18">
        <v>592427.21</v>
      </c>
      <c r="H235" s="18">
        <v>412460.17</v>
      </c>
      <c r="I235" s="18">
        <v>6665.09</v>
      </c>
      <c r="J235" s="18">
        <v>0</v>
      </c>
      <c r="K235" s="18">
        <v>0</v>
      </c>
      <c r="L235" s="13">
        <f>SUM(F235:K235)</f>
        <v>1921718.7</v>
      </c>
      <c r="M235" s="8"/>
      <c r="N235" s="164"/>
    </row>
    <row r="236" spans="1:14" s="3" customFormat="1" ht="12.2" customHeight="1" x14ac:dyDescent="0.15">
      <c r="A236" s="1" t="s">
        <v>440</v>
      </c>
      <c r="B236" s="2" t="s">
        <v>350</v>
      </c>
      <c r="C236" s="2" t="s">
        <v>292</v>
      </c>
      <c r="D236" s="2" t="s">
        <v>431</v>
      </c>
      <c r="E236" s="6">
        <v>1300</v>
      </c>
      <c r="F236" s="18">
        <v>451407</v>
      </c>
      <c r="G236" s="18">
        <v>258866.89</v>
      </c>
      <c r="H236" s="18">
        <v>361859</v>
      </c>
      <c r="I236" s="18">
        <v>14995.05</v>
      </c>
      <c r="J236" s="18">
        <v>0</v>
      </c>
      <c r="K236" s="18">
        <v>0</v>
      </c>
      <c r="L236" s="13">
        <f>SUM(F236:K236)</f>
        <v>1087127.9400000002</v>
      </c>
      <c r="M236" s="8"/>
      <c r="N236" s="164"/>
    </row>
    <row r="237" spans="1:14" s="3" customFormat="1" ht="12.2" customHeight="1" x14ac:dyDescent="0.15">
      <c r="A237" s="1" t="s">
        <v>441</v>
      </c>
      <c r="B237" s="2" t="s">
        <v>350</v>
      </c>
      <c r="C237" s="2" t="s">
        <v>293</v>
      </c>
      <c r="D237" s="2" t="s">
        <v>431</v>
      </c>
      <c r="E237" s="6">
        <v>1400</v>
      </c>
      <c r="F237" s="18">
        <v>275480</v>
      </c>
      <c r="G237" s="18">
        <v>157978.60999999999</v>
      </c>
      <c r="H237" s="18">
        <v>68651.399999999994</v>
      </c>
      <c r="I237" s="18">
        <v>21977.19</v>
      </c>
      <c r="J237" s="18">
        <v>336.52</v>
      </c>
      <c r="K237" s="18">
        <v>40913.769999999997</v>
      </c>
      <c r="L237" s="13">
        <f>SUM(F237:K237)</f>
        <v>565337.49</v>
      </c>
      <c r="M237" s="8"/>
      <c r="N237" s="164"/>
    </row>
    <row r="238" spans="1:14" s="3" customFormat="1" ht="12.2" customHeight="1" x14ac:dyDescent="0.15">
      <c r="A238" s="29" t="s">
        <v>342</v>
      </c>
      <c r="C238" s="22"/>
      <c r="E238" s="6"/>
      <c r="F238" s="23" t="s">
        <v>288</v>
      </c>
      <c r="G238" s="23" t="s">
        <v>288</v>
      </c>
      <c r="H238" s="23" t="s">
        <v>288</v>
      </c>
      <c r="I238" s="23" t="s">
        <v>288</v>
      </c>
      <c r="J238" s="23" t="s">
        <v>288</v>
      </c>
      <c r="K238" s="23" t="s">
        <v>288</v>
      </c>
      <c r="L238" s="23" t="s">
        <v>288</v>
      </c>
      <c r="M238" s="8"/>
      <c r="N238" s="164"/>
    </row>
    <row r="239" spans="1:14" s="3" customFormat="1" ht="12.2" customHeight="1" x14ac:dyDescent="0.15">
      <c r="A239" s="1" t="s">
        <v>442</v>
      </c>
      <c r="B239" s="2" t="s">
        <v>350</v>
      </c>
      <c r="C239" s="2" t="s">
        <v>294</v>
      </c>
      <c r="D239" s="2" t="s">
        <v>431</v>
      </c>
      <c r="E239" s="6">
        <v>2100</v>
      </c>
      <c r="F239" s="18">
        <v>468570.58</v>
      </c>
      <c r="G239" s="18">
        <v>268709.63</v>
      </c>
      <c r="H239" s="18">
        <v>72165.820000000007</v>
      </c>
      <c r="I239" s="18">
        <v>928.18</v>
      </c>
      <c r="J239" s="18">
        <v>0</v>
      </c>
      <c r="K239" s="18">
        <v>0</v>
      </c>
      <c r="L239" s="13">
        <f t="shared" ref="L239:L245" si="4">SUM(F239:K239)</f>
        <v>810374.21000000008</v>
      </c>
      <c r="M239" s="8"/>
      <c r="N239" s="164"/>
    </row>
    <row r="240" spans="1:14" s="3" customFormat="1" ht="12.2" customHeight="1" x14ac:dyDescent="0.15">
      <c r="A240" s="1" t="s">
        <v>443</v>
      </c>
      <c r="B240" s="2" t="s">
        <v>350</v>
      </c>
      <c r="C240" s="2" t="s">
        <v>295</v>
      </c>
      <c r="D240" s="2" t="s">
        <v>431</v>
      </c>
      <c r="E240" s="6">
        <v>2200</v>
      </c>
      <c r="F240" s="18">
        <v>82885</v>
      </c>
      <c r="G240" s="18">
        <v>47531.79</v>
      </c>
      <c r="H240" s="18">
        <v>29711.57</v>
      </c>
      <c r="I240" s="18">
        <v>21058.14</v>
      </c>
      <c r="J240" s="18">
        <v>0</v>
      </c>
      <c r="K240" s="18">
        <v>0</v>
      </c>
      <c r="L240" s="13">
        <f t="shared" si="4"/>
        <v>181186.5</v>
      </c>
      <c r="M240" s="8"/>
      <c r="N240" s="164"/>
    </row>
    <row r="241" spans="1:14" s="3" customFormat="1" ht="12.2" customHeight="1" x14ac:dyDescent="0.15">
      <c r="A241" s="1" t="s">
        <v>444</v>
      </c>
      <c r="B241" s="2" t="s">
        <v>350</v>
      </c>
      <c r="C241" s="2" t="s">
        <v>296</v>
      </c>
      <c r="D241" s="2" t="s">
        <v>431</v>
      </c>
      <c r="E241" s="6">
        <v>2300</v>
      </c>
      <c r="F241" s="18">
        <v>5896</v>
      </c>
      <c r="G241" s="18">
        <v>3381.16</v>
      </c>
      <c r="H241" s="18">
        <v>441671.22</v>
      </c>
      <c r="I241" s="18">
        <v>0</v>
      </c>
      <c r="J241" s="18">
        <v>0</v>
      </c>
      <c r="K241" s="18">
        <v>3095.28</v>
      </c>
      <c r="L241" s="13">
        <f t="shared" si="4"/>
        <v>454043.66</v>
      </c>
      <c r="M241" s="8"/>
      <c r="N241" s="164"/>
    </row>
    <row r="242" spans="1:14" s="3" customFormat="1" ht="12.2" customHeight="1" x14ac:dyDescent="0.15">
      <c r="A242" s="1" t="s">
        <v>445</v>
      </c>
      <c r="B242" s="2" t="s">
        <v>350</v>
      </c>
      <c r="C242" s="2" t="s">
        <v>297</v>
      </c>
      <c r="D242" s="2" t="s">
        <v>431</v>
      </c>
      <c r="E242" s="6">
        <v>2400</v>
      </c>
      <c r="F242" s="18">
        <v>819776.91</v>
      </c>
      <c r="G242" s="18">
        <v>470114.77</v>
      </c>
      <c r="H242" s="18">
        <v>60959.01</v>
      </c>
      <c r="I242" s="18">
        <v>1169.07</v>
      </c>
      <c r="J242" s="18">
        <v>0</v>
      </c>
      <c r="K242" s="18">
        <v>22739.22</v>
      </c>
      <c r="L242" s="13">
        <f t="shared" si="4"/>
        <v>1374758.9800000002</v>
      </c>
      <c r="M242" s="8"/>
      <c r="N242" s="164"/>
    </row>
    <row r="243" spans="1:14" s="3" customFormat="1" ht="12.2" customHeight="1" x14ac:dyDescent="0.15">
      <c r="A243" s="1" t="s">
        <v>446</v>
      </c>
      <c r="B243" s="2" t="s">
        <v>350</v>
      </c>
      <c r="C243" s="2" t="s">
        <v>298</v>
      </c>
      <c r="D243" s="2" t="s">
        <v>431</v>
      </c>
      <c r="E243" s="6">
        <v>2500</v>
      </c>
      <c r="F243" s="18">
        <v>0</v>
      </c>
      <c r="G243" s="18">
        <v>0</v>
      </c>
      <c r="H243" s="18">
        <v>0</v>
      </c>
      <c r="I243" s="18">
        <v>0</v>
      </c>
      <c r="J243" s="18">
        <v>0</v>
      </c>
      <c r="K243" s="18">
        <v>0</v>
      </c>
      <c r="L243" s="13">
        <f t="shared" si="4"/>
        <v>0</v>
      </c>
      <c r="M243" s="8"/>
      <c r="N243" s="164"/>
    </row>
    <row r="244" spans="1:14" s="3" customFormat="1" ht="12.2" customHeight="1" x14ac:dyDescent="0.15">
      <c r="A244" s="1" t="s">
        <v>447</v>
      </c>
      <c r="B244" s="2" t="s">
        <v>350</v>
      </c>
      <c r="C244" s="2" t="s">
        <v>299</v>
      </c>
      <c r="D244" s="2" t="s">
        <v>431</v>
      </c>
      <c r="E244" s="6">
        <v>2600</v>
      </c>
      <c r="F244" s="18">
        <v>313700.23</v>
      </c>
      <c r="G244" s="18">
        <v>179896.64</v>
      </c>
      <c r="H244" s="18">
        <v>254183.45</v>
      </c>
      <c r="I244" s="18">
        <v>255396.8</v>
      </c>
      <c r="J244" s="18">
        <v>2781.28</v>
      </c>
      <c r="K244" s="18">
        <v>0</v>
      </c>
      <c r="L244" s="13">
        <f t="shared" si="4"/>
        <v>1005958.4000000001</v>
      </c>
      <c r="M244" s="8"/>
      <c r="N244" s="164"/>
    </row>
    <row r="245" spans="1:14" s="3" customFormat="1" ht="12.2" customHeight="1" x14ac:dyDescent="0.15">
      <c r="A245" s="1" t="s">
        <v>448</v>
      </c>
      <c r="B245" s="2" t="s">
        <v>350</v>
      </c>
      <c r="C245" s="2" t="s">
        <v>300</v>
      </c>
      <c r="D245" s="2" t="s">
        <v>431</v>
      </c>
      <c r="E245" s="6">
        <v>2700</v>
      </c>
      <c r="F245" s="18">
        <v>0</v>
      </c>
      <c r="G245" s="18">
        <v>0</v>
      </c>
      <c r="H245" s="18">
        <f>465918.7</f>
        <v>465918.7</v>
      </c>
      <c r="I245" s="18">
        <v>0</v>
      </c>
      <c r="J245" s="18">
        <v>0</v>
      </c>
      <c r="K245" s="18">
        <v>0</v>
      </c>
      <c r="L245" s="13">
        <f t="shared" si="4"/>
        <v>465918.7</v>
      </c>
      <c r="M245" s="8"/>
      <c r="N245" s="164"/>
    </row>
    <row r="246" spans="1:14" s="3" customFormat="1" ht="12.2" customHeight="1" x14ac:dyDescent="0.15">
      <c r="A246" s="1" t="s">
        <v>449</v>
      </c>
      <c r="B246" s="2" t="s">
        <v>350</v>
      </c>
      <c r="C246" s="2" t="s">
        <v>343</v>
      </c>
      <c r="D246" s="2" t="s">
        <v>431</v>
      </c>
      <c r="E246" s="6">
        <v>2800</v>
      </c>
      <c r="F246" s="18">
        <v>0</v>
      </c>
      <c r="G246" s="18">
        <v>0</v>
      </c>
      <c r="H246" s="18">
        <v>0</v>
      </c>
      <c r="I246" s="18">
        <v>0</v>
      </c>
      <c r="J246" s="18">
        <v>0</v>
      </c>
      <c r="K246" s="18">
        <v>0</v>
      </c>
      <c r="L246" s="13">
        <f>SUM(F246:K246)</f>
        <v>0</v>
      </c>
      <c r="M246" s="8"/>
      <c r="N246" s="164"/>
    </row>
    <row r="247" spans="1:14" s="3" customFormat="1" ht="12.2" customHeight="1" thickBot="1" x14ac:dyDescent="0.2">
      <c r="A247" s="1" t="s">
        <v>450</v>
      </c>
      <c r="B247" s="2" t="s">
        <v>350</v>
      </c>
      <c r="C247" s="2" t="s">
        <v>344</v>
      </c>
      <c r="D247" s="2" t="s">
        <v>431</v>
      </c>
      <c r="E247" s="6">
        <v>2900</v>
      </c>
      <c r="F247" s="23" t="s">
        <v>288</v>
      </c>
      <c r="G247" s="23" t="s">
        <v>288</v>
      </c>
      <c r="H247" s="23" t="s">
        <v>288</v>
      </c>
      <c r="I247" s="23" t="s">
        <v>288</v>
      </c>
      <c r="J247" s="23" t="s">
        <v>288</v>
      </c>
      <c r="K247" s="23" t="s">
        <v>288</v>
      </c>
      <c r="L247" s="23" t="s">
        <v>288</v>
      </c>
      <c r="M247" s="8"/>
      <c r="N247" s="164"/>
    </row>
    <row r="248" spans="1:14" s="3" customFormat="1" ht="12.2" customHeight="1" thickTop="1" x14ac:dyDescent="0.15">
      <c r="A248" s="35" t="s">
        <v>681</v>
      </c>
      <c r="B248" s="36" t="s">
        <v>350</v>
      </c>
      <c r="C248" s="37">
        <v>14</v>
      </c>
      <c r="D248" s="36" t="s">
        <v>431</v>
      </c>
      <c r="E248" s="37"/>
      <c r="F248" s="38">
        <f t="shared" ref="F248:L248" si="5">SUM(F234:F247)</f>
        <v>6628415.2000000011</v>
      </c>
      <c r="G248" s="38">
        <f t="shared" si="5"/>
        <v>3871652.66</v>
      </c>
      <c r="H248" s="38">
        <f t="shared" si="5"/>
        <v>2246234.8000000003</v>
      </c>
      <c r="I248" s="38">
        <f t="shared" si="5"/>
        <v>408018.16</v>
      </c>
      <c r="J248" s="38">
        <f t="shared" si="5"/>
        <v>59568.619999999995</v>
      </c>
      <c r="K248" s="38">
        <f t="shared" si="5"/>
        <v>67023.26999999999</v>
      </c>
      <c r="L248" s="38">
        <f t="shared" si="5"/>
        <v>13280912.710000001</v>
      </c>
      <c r="M248" s="8"/>
      <c r="N248" s="164"/>
    </row>
    <row r="249" spans="1:14" s="3" customFormat="1" ht="12.2" customHeight="1" x14ac:dyDescent="0.15">
      <c r="A249" s="28"/>
      <c r="B249" s="2"/>
      <c r="C249" s="6"/>
      <c r="D249" s="6"/>
      <c r="E249" s="6"/>
      <c r="F249" s="15" t="s">
        <v>689</v>
      </c>
      <c r="G249" s="15" t="s">
        <v>690</v>
      </c>
      <c r="H249" s="15" t="s">
        <v>691</v>
      </c>
      <c r="I249" s="15" t="s">
        <v>692</v>
      </c>
      <c r="J249" s="15" t="s">
        <v>693</v>
      </c>
      <c r="K249" s="15" t="s">
        <v>694</v>
      </c>
      <c r="L249" s="13"/>
      <c r="M249" s="8"/>
      <c r="N249" s="164"/>
    </row>
    <row r="250" spans="1:14" s="3" customFormat="1" ht="12.2" customHeight="1" x14ac:dyDescent="0.15">
      <c r="A250" s="28" t="s">
        <v>351</v>
      </c>
      <c r="B250" s="7"/>
      <c r="C250" s="7"/>
      <c r="D250" s="7"/>
      <c r="E250" s="7"/>
      <c r="F250" s="79" t="s">
        <v>54</v>
      </c>
      <c r="G250" s="79" t="s">
        <v>55</v>
      </c>
      <c r="H250" s="79" t="s">
        <v>56</v>
      </c>
      <c r="I250" s="79" t="s">
        <v>57</v>
      </c>
      <c r="J250" s="79" t="s">
        <v>58</v>
      </c>
      <c r="K250" s="79" t="s">
        <v>59</v>
      </c>
      <c r="L250" s="79" t="s">
        <v>5</v>
      </c>
      <c r="M250" s="8"/>
      <c r="N250" s="164"/>
    </row>
    <row r="251" spans="1:14" s="3" customFormat="1" ht="12.2" customHeight="1" x14ac:dyDescent="0.15">
      <c r="A251" s="1" t="s">
        <v>656</v>
      </c>
      <c r="B251" s="2" t="s">
        <v>352</v>
      </c>
      <c r="C251" s="2" t="s">
        <v>289</v>
      </c>
      <c r="D251" s="2" t="s">
        <v>431</v>
      </c>
      <c r="E251" s="6">
        <v>1500</v>
      </c>
      <c r="F251" s="18"/>
      <c r="G251" s="18"/>
      <c r="H251" s="18"/>
      <c r="I251" s="18"/>
      <c r="J251" s="18"/>
      <c r="K251" s="18"/>
      <c r="L251" s="13">
        <f t="shared" ref="L251:L256" si="6">SUM(F251:K251)</f>
        <v>0</v>
      </c>
      <c r="M251" s="8"/>
      <c r="N251" s="164"/>
    </row>
    <row r="252" spans="1:14" s="3" customFormat="1" ht="12.2" customHeight="1" x14ac:dyDescent="0.15">
      <c r="A252" s="1" t="s">
        <v>353</v>
      </c>
      <c r="B252" s="2" t="s">
        <v>352</v>
      </c>
      <c r="C252" s="2" t="s">
        <v>309</v>
      </c>
      <c r="D252" s="2" t="s">
        <v>431</v>
      </c>
      <c r="E252" s="6">
        <v>1600</v>
      </c>
      <c r="F252" s="18"/>
      <c r="G252" s="18"/>
      <c r="H252" s="18"/>
      <c r="I252" s="18"/>
      <c r="J252" s="18"/>
      <c r="K252" s="18"/>
      <c r="L252" s="13">
        <f t="shared" si="6"/>
        <v>0</v>
      </c>
      <c r="M252" s="8"/>
      <c r="N252" s="164"/>
    </row>
    <row r="253" spans="1:14" s="3" customFormat="1" ht="12.2" customHeight="1" x14ac:dyDescent="0.15">
      <c r="A253" s="1" t="s">
        <v>582</v>
      </c>
      <c r="B253" s="2" t="s">
        <v>352</v>
      </c>
      <c r="C253" s="2" t="s">
        <v>315</v>
      </c>
      <c r="D253" s="2" t="s">
        <v>431</v>
      </c>
      <c r="E253" s="6">
        <v>1700</v>
      </c>
      <c r="F253" s="18"/>
      <c r="G253" s="18"/>
      <c r="H253" s="18"/>
      <c r="I253" s="18"/>
      <c r="J253" s="18"/>
      <c r="K253" s="18"/>
      <c r="L253" s="13">
        <f t="shared" si="6"/>
        <v>0</v>
      </c>
      <c r="M253" s="8"/>
      <c r="N253" s="164"/>
    </row>
    <row r="254" spans="1:14" s="3" customFormat="1" ht="12.2" customHeight="1" x14ac:dyDescent="0.15">
      <c r="A254" s="1" t="s">
        <v>583</v>
      </c>
      <c r="B254" s="2" t="s">
        <v>352</v>
      </c>
      <c r="C254" s="2" t="s">
        <v>321</v>
      </c>
      <c r="D254" s="2" t="s">
        <v>431</v>
      </c>
      <c r="E254" s="6">
        <v>1800</v>
      </c>
      <c r="F254" s="18"/>
      <c r="G254" s="18"/>
      <c r="H254" s="18"/>
      <c r="I254" s="18"/>
      <c r="J254" s="18"/>
      <c r="K254" s="18"/>
      <c r="L254" s="13">
        <f t="shared" si="6"/>
        <v>0</v>
      </c>
      <c r="M254" s="8"/>
      <c r="N254" s="164"/>
    </row>
    <row r="255" spans="1:14" s="3" customFormat="1" ht="12.2" customHeight="1" x14ac:dyDescent="0.15">
      <c r="A255" s="1" t="s">
        <v>391</v>
      </c>
      <c r="B255" s="2" t="s">
        <v>352</v>
      </c>
      <c r="C255" s="2" t="s">
        <v>324</v>
      </c>
      <c r="D255" s="2" t="s">
        <v>431</v>
      </c>
      <c r="E255" s="6">
        <v>2750</v>
      </c>
      <c r="F255" s="18"/>
      <c r="G255" s="18"/>
      <c r="H255" s="18">
        <v>0</v>
      </c>
      <c r="I255" s="18"/>
      <c r="J255" s="18"/>
      <c r="K255" s="18"/>
      <c r="L255" s="13">
        <f t="shared" si="6"/>
        <v>0</v>
      </c>
      <c r="M255" s="8"/>
      <c r="N255" s="164"/>
    </row>
    <row r="256" spans="1:14" s="3" customFormat="1" ht="12.2" customHeight="1" thickBot="1" x14ac:dyDescent="0.2">
      <c r="A256" s="1" t="s">
        <v>584</v>
      </c>
      <c r="B256" s="2" t="s">
        <v>352</v>
      </c>
      <c r="C256" s="6">
        <v>6</v>
      </c>
      <c r="D256" s="2" t="s">
        <v>431</v>
      </c>
      <c r="E256" s="6">
        <v>4000</v>
      </c>
      <c r="F256" s="18"/>
      <c r="G256" s="18"/>
      <c r="H256" s="18">
        <f>412034.35+141798.67</f>
        <v>553833.02</v>
      </c>
      <c r="I256" s="18"/>
      <c r="J256" s="18"/>
      <c r="K256" s="18"/>
      <c r="L256" s="13">
        <f t="shared" si="6"/>
        <v>553833.02</v>
      </c>
      <c r="M256" s="8"/>
      <c r="N256" s="164"/>
    </row>
    <row r="257" spans="1:14" s="3" customFormat="1" ht="12.2" customHeight="1" thickTop="1" thickBot="1" x14ac:dyDescent="0.2">
      <c r="A257" s="35" t="s">
        <v>461</v>
      </c>
      <c r="B257" s="37">
        <v>10</v>
      </c>
      <c r="C257" s="37">
        <v>7</v>
      </c>
      <c r="D257" s="36" t="s">
        <v>431</v>
      </c>
      <c r="E257" s="37"/>
      <c r="F257" s="38">
        <f t="shared" ref="F257:K257" si="7">SUM(F251:F256)</f>
        <v>0</v>
      </c>
      <c r="G257" s="38">
        <f t="shared" si="7"/>
        <v>0</v>
      </c>
      <c r="H257" s="38">
        <f t="shared" si="7"/>
        <v>553833.02</v>
      </c>
      <c r="I257" s="38">
        <f t="shared" si="7"/>
        <v>0</v>
      </c>
      <c r="J257" s="38">
        <f t="shared" si="7"/>
        <v>0</v>
      </c>
      <c r="K257" s="38">
        <f t="shared" si="7"/>
        <v>0</v>
      </c>
      <c r="L257" s="38">
        <f>SUM(F257:K257)</f>
        <v>553833.02</v>
      </c>
      <c r="M257" s="8"/>
      <c r="N257" s="164"/>
    </row>
    <row r="258" spans="1:14" s="3" customFormat="1" ht="12.2" customHeight="1" thickTop="1" x14ac:dyDescent="0.15">
      <c r="A258" s="35" t="s">
        <v>462</v>
      </c>
      <c r="B258" s="37">
        <v>10</v>
      </c>
      <c r="C258" s="37">
        <v>8</v>
      </c>
      <c r="D258" s="36" t="s">
        <v>431</v>
      </c>
      <c r="E258" s="37"/>
      <c r="F258" s="38">
        <f t="shared" ref="F258:L258" si="8">F212+F230+F248+F257</f>
        <v>13460125.33</v>
      </c>
      <c r="G258" s="38">
        <f t="shared" si="8"/>
        <v>7970080.9500000002</v>
      </c>
      <c r="H258" s="38">
        <f t="shared" si="8"/>
        <v>6545160.1600000001</v>
      </c>
      <c r="I258" s="38">
        <f t="shared" si="8"/>
        <v>646282.23999999999</v>
      </c>
      <c r="J258" s="38">
        <f t="shared" si="8"/>
        <v>151102.83000000002</v>
      </c>
      <c r="K258" s="38">
        <f t="shared" si="8"/>
        <v>72411.34</v>
      </c>
      <c r="L258" s="38">
        <f t="shared" si="8"/>
        <v>28845162.849999998</v>
      </c>
      <c r="M258" s="8"/>
      <c r="N258" s="164"/>
    </row>
    <row r="259" spans="1:14" s="3" customFormat="1" ht="12.2" customHeight="1" x14ac:dyDescent="0.15">
      <c r="A259" s="33" t="s">
        <v>354</v>
      </c>
      <c r="F259" s="13"/>
      <c r="G259" s="13"/>
      <c r="H259" s="13"/>
      <c r="I259" s="13"/>
      <c r="J259" s="13"/>
      <c r="K259" s="14" t="s">
        <v>286</v>
      </c>
      <c r="L259" s="14" t="s">
        <v>355</v>
      </c>
      <c r="M259" s="8"/>
      <c r="N259" s="164"/>
    </row>
    <row r="260" spans="1:14" s="3" customFormat="1" ht="12.2" customHeight="1" x14ac:dyDescent="0.15">
      <c r="A260" s="29" t="s">
        <v>463</v>
      </c>
      <c r="E260" s="6">
        <v>5100</v>
      </c>
      <c r="F260" s="23" t="s">
        <v>288</v>
      </c>
      <c r="G260" s="23" t="s">
        <v>288</v>
      </c>
      <c r="H260" s="23" t="s">
        <v>288</v>
      </c>
      <c r="I260" s="23" t="s">
        <v>288</v>
      </c>
      <c r="J260" s="23" t="s">
        <v>288</v>
      </c>
      <c r="K260" s="23" t="s">
        <v>288</v>
      </c>
      <c r="L260" s="23" t="s">
        <v>288</v>
      </c>
      <c r="M260" s="8"/>
      <c r="N260" s="164"/>
    </row>
    <row r="261" spans="1:14" ht="12.2" customHeight="1" x14ac:dyDescent="0.2">
      <c r="A261" s="1" t="s">
        <v>520</v>
      </c>
      <c r="B261" s="2" t="s">
        <v>352</v>
      </c>
      <c r="C261" s="6">
        <v>9</v>
      </c>
      <c r="D261" s="2" t="s">
        <v>431</v>
      </c>
      <c r="E261" s="6">
        <v>5110</v>
      </c>
      <c r="F261" s="23" t="s">
        <v>288</v>
      </c>
      <c r="G261" s="23" t="s">
        <v>288</v>
      </c>
      <c r="H261" s="23" t="s">
        <v>288</v>
      </c>
      <c r="I261" s="23" t="s">
        <v>288</v>
      </c>
      <c r="J261" s="23" t="s">
        <v>288</v>
      </c>
      <c r="K261" s="18">
        <v>0</v>
      </c>
      <c r="L261" s="13">
        <f>SUM(F261:K261)</f>
        <v>0</v>
      </c>
      <c r="N261" s="130"/>
    </row>
    <row r="262" spans="1:14" ht="12.2" customHeight="1" x14ac:dyDescent="0.2">
      <c r="A262" s="1" t="s">
        <v>532</v>
      </c>
      <c r="B262" s="2" t="s">
        <v>352</v>
      </c>
      <c r="C262" s="6">
        <v>10</v>
      </c>
      <c r="D262" s="2" t="s">
        <v>431</v>
      </c>
      <c r="E262" s="6">
        <v>5120</v>
      </c>
      <c r="F262" s="23" t="s">
        <v>288</v>
      </c>
      <c r="G262" s="23" t="s">
        <v>288</v>
      </c>
      <c r="H262" s="23" t="s">
        <v>288</v>
      </c>
      <c r="I262" s="23" t="s">
        <v>288</v>
      </c>
      <c r="J262" s="23" t="s">
        <v>288</v>
      </c>
      <c r="K262" s="18"/>
      <c r="L262" s="13">
        <f>SUM(F262:K262)</f>
        <v>0</v>
      </c>
      <c r="N262" s="130"/>
    </row>
    <row r="263" spans="1:14" ht="12.2" customHeight="1" x14ac:dyDescent="0.2">
      <c r="A263" s="29" t="s">
        <v>356</v>
      </c>
      <c r="B263" s="3"/>
      <c r="C263" s="3"/>
      <c r="D263" s="3"/>
      <c r="E263" s="6">
        <v>5200</v>
      </c>
      <c r="F263" s="23" t="s">
        <v>288</v>
      </c>
      <c r="G263" s="23" t="s">
        <v>288</v>
      </c>
      <c r="H263" s="23" t="s">
        <v>288</v>
      </c>
      <c r="I263" s="23" t="s">
        <v>288</v>
      </c>
      <c r="J263" s="23" t="s">
        <v>288</v>
      </c>
      <c r="K263" s="23" t="s">
        <v>288</v>
      </c>
      <c r="L263" s="23" t="s">
        <v>288</v>
      </c>
      <c r="N263" s="130"/>
    </row>
    <row r="264" spans="1:14" ht="12.2" customHeight="1" x14ac:dyDescent="0.2">
      <c r="A264" s="3" t="s">
        <v>533</v>
      </c>
      <c r="B264" s="6">
        <v>10</v>
      </c>
      <c r="C264" s="6">
        <v>11</v>
      </c>
      <c r="D264" s="2" t="s">
        <v>431</v>
      </c>
      <c r="E264" s="6">
        <v>5221</v>
      </c>
      <c r="F264" s="23" t="s">
        <v>288</v>
      </c>
      <c r="G264" s="23" t="s">
        <v>288</v>
      </c>
      <c r="H264" s="23" t="s">
        <v>288</v>
      </c>
      <c r="I264" s="23" t="s">
        <v>288</v>
      </c>
      <c r="J264" s="23" t="s">
        <v>288</v>
      </c>
      <c r="K264" s="18"/>
      <c r="L264" s="13">
        <f>SUM(F264:K264)</f>
        <v>0</v>
      </c>
      <c r="N264" s="130"/>
    </row>
    <row r="265" spans="1:14" ht="12.2" customHeight="1" x14ac:dyDescent="0.2">
      <c r="A265" s="3" t="s">
        <v>601</v>
      </c>
      <c r="B265" s="6">
        <v>10</v>
      </c>
      <c r="C265" s="6">
        <v>12</v>
      </c>
      <c r="D265" s="2" t="s">
        <v>431</v>
      </c>
      <c r="E265" s="6">
        <v>5222</v>
      </c>
      <c r="F265" s="23" t="s">
        <v>288</v>
      </c>
      <c r="G265" s="23" t="s">
        <v>288</v>
      </c>
      <c r="H265" s="23" t="s">
        <v>288</v>
      </c>
      <c r="I265" s="23" t="s">
        <v>288</v>
      </c>
      <c r="J265" s="23" t="s">
        <v>288</v>
      </c>
      <c r="K265" s="18"/>
      <c r="L265" s="13">
        <f t="shared" ref="L265:L271" si="9">SUM(F265:K265)</f>
        <v>0</v>
      </c>
      <c r="N265" s="130"/>
    </row>
    <row r="266" spans="1:14" ht="12.2" customHeight="1" x14ac:dyDescent="0.2">
      <c r="A266" s="3" t="s">
        <v>534</v>
      </c>
      <c r="B266" s="6">
        <v>10</v>
      </c>
      <c r="C266" s="6">
        <v>13</v>
      </c>
      <c r="D266" s="2" t="s">
        <v>431</v>
      </c>
      <c r="E266" s="6">
        <v>5230</v>
      </c>
      <c r="F266" s="23" t="s">
        <v>288</v>
      </c>
      <c r="G266" s="23" t="s">
        <v>288</v>
      </c>
      <c r="H266" s="23" t="s">
        <v>288</v>
      </c>
      <c r="I266" s="23" t="s">
        <v>288</v>
      </c>
      <c r="J266" s="23" t="s">
        <v>288</v>
      </c>
      <c r="K266" s="18">
        <v>0</v>
      </c>
      <c r="L266" s="13">
        <f t="shared" si="9"/>
        <v>0</v>
      </c>
      <c r="N266" s="130"/>
    </row>
    <row r="267" spans="1:14" ht="12.2" customHeight="1" x14ac:dyDescent="0.2">
      <c r="A267" s="3" t="s">
        <v>535</v>
      </c>
      <c r="B267" s="6">
        <v>10</v>
      </c>
      <c r="C267" s="6">
        <v>14</v>
      </c>
      <c r="D267" s="2" t="s">
        <v>431</v>
      </c>
      <c r="E267" s="6">
        <v>5250</v>
      </c>
      <c r="F267" s="23" t="s">
        <v>288</v>
      </c>
      <c r="G267" s="23" t="s">
        <v>288</v>
      </c>
      <c r="H267" s="23" t="s">
        <v>288</v>
      </c>
      <c r="I267" s="23" t="s">
        <v>288</v>
      </c>
      <c r="J267" s="23" t="s">
        <v>288</v>
      </c>
      <c r="K267" s="18">
        <v>487000</v>
      </c>
      <c r="L267" s="13">
        <f t="shared" si="9"/>
        <v>487000</v>
      </c>
      <c r="N267" s="130"/>
    </row>
    <row r="268" spans="1:14" ht="12.2" customHeight="1" x14ac:dyDescent="0.2">
      <c r="A268" s="26" t="s">
        <v>560</v>
      </c>
      <c r="B268" s="6"/>
      <c r="C268" s="6"/>
      <c r="D268" s="6"/>
      <c r="E268" s="6">
        <v>5300</v>
      </c>
      <c r="F268" s="23" t="s">
        <v>288</v>
      </c>
      <c r="G268" s="23" t="s">
        <v>288</v>
      </c>
      <c r="H268" s="23" t="s">
        <v>288</v>
      </c>
      <c r="I268" s="23" t="s">
        <v>288</v>
      </c>
      <c r="J268" s="23" t="s">
        <v>288</v>
      </c>
      <c r="K268" s="23" t="s">
        <v>288</v>
      </c>
      <c r="L268" s="23" t="s">
        <v>288</v>
      </c>
      <c r="N268" s="130"/>
    </row>
    <row r="269" spans="1:14" ht="12.2" customHeight="1" x14ac:dyDescent="0.2">
      <c r="A269" s="3" t="s">
        <v>536</v>
      </c>
      <c r="B269" s="6">
        <v>10</v>
      </c>
      <c r="C269" s="6">
        <v>15</v>
      </c>
      <c r="D269" s="2" t="s">
        <v>431</v>
      </c>
      <c r="E269" s="6">
        <v>5310</v>
      </c>
      <c r="F269" s="23" t="s">
        <v>288</v>
      </c>
      <c r="G269" s="23" t="s">
        <v>288</v>
      </c>
      <c r="H269" s="23" t="s">
        <v>288</v>
      </c>
      <c r="I269" s="23" t="s">
        <v>288</v>
      </c>
      <c r="J269" s="23" t="s">
        <v>288</v>
      </c>
      <c r="K269" s="18"/>
      <c r="L269" s="13">
        <f t="shared" si="9"/>
        <v>0</v>
      </c>
      <c r="N269" s="130"/>
    </row>
    <row r="270" spans="1:14" ht="12.2" customHeight="1" thickBot="1" x14ac:dyDescent="0.25">
      <c r="A270" s="3" t="s">
        <v>537</v>
      </c>
      <c r="B270" s="6">
        <v>10</v>
      </c>
      <c r="C270" s="6">
        <v>16</v>
      </c>
      <c r="D270" s="2" t="s">
        <v>431</v>
      </c>
      <c r="E270" s="6">
        <v>5390</v>
      </c>
      <c r="F270" s="23" t="s">
        <v>288</v>
      </c>
      <c r="G270" s="23" t="s">
        <v>288</v>
      </c>
      <c r="H270" s="23" t="s">
        <v>288</v>
      </c>
      <c r="I270" s="23" t="s">
        <v>288</v>
      </c>
      <c r="J270" s="23" t="s">
        <v>288</v>
      </c>
      <c r="K270" s="18"/>
      <c r="L270" s="13">
        <f t="shared" si="9"/>
        <v>0</v>
      </c>
      <c r="N270" s="130"/>
    </row>
    <row r="271" spans="1:14" s="3" customFormat="1" ht="12.2" customHeight="1" thickTop="1" thickBot="1" x14ac:dyDescent="0.25">
      <c r="A271" s="40" t="s">
        <v>420</v>
      </c>
      <c r="B271" s="37">
        <v>10</v>
      </c>
      <c r="C271" s="37">
        <v>17</v>
      </c>
      <c r="D271" s="36" t="s">
        <v>431</v>
      </c>
      <c r="E271" s="37"/>
      <c r="F271" s="39">
        <f t="shared" ref="F271:K271" si="10">SUM(F261:F270)</f>
        <v>0</v>
      </c>
      <c r="G271" s="39">
        <f t="shared" si="10"/>
        <v>0</v>
      </c>
      <c r="H271" s="39">
        <f t="shared" si="10"/>
        <v>0</v>
      </c>
      <c r="I271" s="39">
        <f t="shared" si="10"/>
        <v>0</v>
      </c>
      <c r="J271" s="39">
        <f t="shared" si="10"/>
        <v>0</v>
      </c>
      <c r="K271" s="39">
        <f t="shared" si="10"/>
        <v>487000</v>
      </c>
      <c r="L271" s="38">
        <f t="shared" si="9"/>
        <v>487000</v>
      </c>
      <c r="M271" s="8"/>
      <c r="N271" s="164"/>
    </row>
    <row r="272" spans="1:14" s="33" customFormat="1" ht="12.2" customHeight="1" thickTop="1" x14ac:dyDescent="0.2">
      <c r="A272" s="40" t="s">
        <v>464</v>
      </c>
      <c r="B272" s="37">
        <v>10</v>
      </c>
      <c r="C272" s="37">
        <v>18</v>
      </c>
      <c r="D272" s="36" t="s">
        <v>431</v>
      </c>
      <c r="E272" s="37"/>
      <c r="F272" s="39">
        <f t="shared" ref="F272:L272" si="11">F258+F271</f>
        <v>13460125.33</v>
      </c>
      <c r="G272" s="39">
        <f t="shared" si="11"/>
        <v>7970080.9500000002</v>
      </c>
      <c r="H272" s="39">
        <f t="shared" si="11"/>
        <v>6545160.1600000001</v>
      </c>
      <c r="I272" s="39">
        <f t="shared" si="11"/>
        <v>646282.23999999999</v>
      </c>
      <c r="J272" s="39">
        <f t="shared" si="11"/>
        <v>151102.83000000002</v>
      </c>
      <c r="K272" s="39">
        <f t="shared" si="11"/>
        <v>559411.34</v>
      </c>
      <c r="L272" s="39">
        <f t="shared" si="11"/>
        <v>29332162.849999998</v>
      </c>
      <c r="M272" s="34"/>
      <c r="N272" s="164"/>
    </row>
    <row r="273" spans="1:14" s="3" customFormat="1" ht="12.2" customHeight="1" x14ac:dyDescent="0.2">
      <c r="A273" s="32"/>
      <c r="B273" s="6"/>
      <c r="C273" s="6"/>
      <c r="D273" s="6"/>
      <c r="E273" s="6"/>
      <c r="F273" s="19"/>
      <c r="G273" s="19"/>
      <c r="H273" s="19"/>
      <c r="I273" s="19"/>
      <c r="J273" s="19"/>
      <c r="K273" s="19"/>
      <c r="L273" s="19"/>
      <c r="M273" s="8"/>
      <c r="N273" s="164"/>
    </row>
    <row r="274" spans="1:14" s="3" customFormat="1" ht="12.2" customHeight="1" x14ac:dyDescent="0.15">
      <c r="A274" s="28" t="s">
        <v>466</v>
      </c>
      <c r="F274" s="15" t="s">
        <v>689</v>
      </c>
      <c r="G274" s="15" t="s">
        <v>690</v>
      </c>
      <c r="H274" s="15" t="s">
        <v>691</v>
      </c>
      <c r="I274" s="15" t="s">
        <v>692</v>
      </c>
      <c r="J274" s="15" t="s">
        <v>693</v>
      </c>
      <c r="K274" s="15" t="s">
        <v>694</v>
      </c>
      <c r="M274" s="8"/>
      <c r="N274" s="164"/>
    </row>
    <row r="275" spans="1:14" s="3" customFormat="1" ht="12.2" customHeight="1" x14ac:dyDescent="0.15">
      <c r="A275" s="28" t="s">
        <v>451</v>
      </c>
      <c r="B275" s="33"/>
      <c r="C275" s="33"/>
      <c r="D275" s="33"/>
      <c r="E275" s="33"/>
      <c r="F275" s="79" t="s">
        <v>54</v>
      </c>
      <c r="G275" s="79" t="s">
        <v>55</v>
      </c>
      <c r="H275" s="79" t="s">
        <v>56</v>
      </c>
      <c r="I275" s="79" t="s">
        <v>57</v>
      </c>
      <c r="J275" s="79" t="s">
        <v>58</v>
      </c>
      <c r="K275" s="79" t="s">
        <v>59</v>
      </c>
      <c r="L275" s="79" t="s">
        <v>5</v>
      </c>
      <c r="M275" s="8"/>
      <c r="N275" s="164"/>
    </row>
    <row r="276" spans="1:14" s="3" customFormat="1" ht="12.2" customHeight="1" x14ac:dyDescent="0.15">
      <c r="A276" s="29" t="s">
        <v>195</v>
      </c>
      <c r="F276" s="23" t="s">
        <v>288</v>
      </c>
      <c r="G276" s="23" t="s">
        <v>288</v>
      </c>
      <c r="H276" s="23" t="s">
        <v>288</v>
      </c>
      <c r="I276" s="23" t="s">
        <v>288</v>
      </c>
      <c r="J276" s="23" t="s">
        <v>288</v>
      </c>
      <c r="K276" s="23" t="s">
        <v>288</v>
      </c>
      <c r="L276" s="23" t="s">
        <v>288</v>
      </c>
      <c r="M276" s="8"/>
      <c r="N276" s="164"/>
    </row>
    <row r="277" spans="1:14" s="3" customFormat="1" ht="12.2" customHeight="1" x14ac:dyDescent="0.15">
      <c r="A277" s="1" t="s">
        <v>438</v>
      </c>
      <c r="B277" s="2" t="s">
        <v>357</v>
      </c>
      <c r="C277" s="2" t="s">
        <v>290</v>
      </c>
      <c r="D277" s="2" t="s">
        <v>431</v>
      </c>
      <c r="E277" s="6">
        <v>1100</v>
      </c>
      <c r="F277" s="18">
        <v>190366.11</v>
      </c>
      <c r="G277" s="18">
        <v>61744.53</v>
      </c>
      <c r="H277" s="18">
        <v>48000</v>
      </c>
      <c r="I277" s="18">
        <f>144911.69+25609</f>
        <v>170520.69</v>
      </c>
      <c r="J277" s="18">
        <v>0</v>
      </c>
      <c r="K277" s="18">
        <v>0</v>
      </c>
      <c r="L277" s="13">
        <f>SUM(F277:K277)</f>
        <v>470631.33</v>
      </c>
      <c r="M277" s="8"/>
      <c r="N277" s="164"/>
    </row>
    <row r="278" spans="1:14" s="3" customFormat="1" ht="12.2" customHeight="1" x14ac:dyDescent="0.15">
      <c r="A278" s="1" t="s">
        <v>439</v>
      </c>
      <c r="B278" s="2" t="s">
        <v>357</v>
      </c>
      <c r="C278" s="2" t="s">
        <v>291</v>
      </c>
      <c r="D278" s="2" t="s">
        <v>431</v>
      </c>
      <c r="E278" s="6">
        <v>1200</v>
      </c>
      <c r="F278" s="18">
        <f>3385.79+205510.82</f>
        <v>208896.61000000002</v>
      </c>
      <c r="G278" s="18">
        <v>0</v>
      </c>
      <c r="H278" s="18">
        <v>28857.97</v>
      </c>
      <c r="I278" s="18">
        <v>3861.7750000000001</v>
      </c>
      <c r="J278" s="18">
        <v>0</v>
      </c>
      <c r="K278" s="18">
        <v>0</v>
      </c>
      <c r="L278" s="13">
        <f>SUM(F278:K278)</f>
        <v>241616.35500000001</v>
      </c>
      <c r="M278" s="8"/>
      <c r="N278" s="164"/>
    </row>
    <row r="279" spans="1:14" s="3" customFormat="1" ht="12.2" customHeight="1" x14ac:dyDescent="0.15">
      <c r="A279" s="1" t="s">
        <v>440</v>
      </c>
      <c r="B279" s="2" t="s">
        <v>357</v>
      </c>
      <c r="C279" s="2" t="s">
        <v>292</v>
      </c>
      <c r="D279" s="2" t="s">
        <v>431</v>
      </c>
      <c r="E279" s="6">
        <v>1300</v>
      </c>
      <c r="F279" s="18">
        <v>1250</v>
      </c>
      <c r="G279" s="18">
        <v>105.49</v>
      </c>
      <c r="H279" s="18">
        <v>0</v>
      </c>
      <c r="I279" s="18">
        <v>0</v>
      </c>
      <c r="J279" s="18">
        <v>0</v>
      </c>
      <c r="K279" s="18">
        <v>0</v>
      </c>
      <c r="L279" s="13">
        <f>SUM(F279:K279)</f>
        <v>1355.49</v>
      </c>
      <c r="M279" s="8"/>
      <c r="N279" s="164"/>
    </row>
    <row r="280" spans="1:14" s="3" customFormat="1" ht="12.2" customHeight="1" x14ac:dyDescent="0.15">
      <c r="A280" s="1" t="s">
        <v>441</v>
      </c>
      <c r="B280" s="2" t="s">
        <v>357</v>
      </c>
      <c r="C280" s="2" t="s">
        <v>293</v>
      </c>
      <c r="D280" s="2" t="s">
        <v>431</v>
      </c>
      <c r="E280" s="6">
        <v>1400</v>
      </c>
      <c r="F280" s="18">
        <f>30561</f>
        <v>30561</v>
      </c>
      <c r="G280" s="18">
        <v>7663.48</v>
      </c>
      <c r="H280" s="18">
        <v>0</v>
      </c>
      <c r="I280" s="18">
        <v>6342.06</v>
      </c>
      <c r="J280" s="18">
        <v>0</v>
      </c>
      <c r="K280" s="18">
        <v>0</v>
      </c>
      <c r="L280" s="13">
        <f>SUM(F280:K280)</f>
        <v>44566.539999999994</v>
      </c>
      <c r="M280" s="8"/>
      <c r="N280" s="164"/>
    </row>
    <row r="281" spans="1:14" s="3" customFormat="1" ht="12.2" customHeight="1" x14ac:dyDescent="0.15">
      <c r="A281" s="29" t="s">
        <v>342</v>
      </c>
      <c r="E281" s="6"/>
      <c r="F281" s="23" t="s">
        <v>288</v>
      </c>
      <c r="G281" s="23" t="s">
        <v>288</v>
      </c>
      <c r="H281" s="23" t="s">
        <v>288</v>
      </c>
      <c r="I281" s="23" t="s">
        <v>288</v>
      </c>
      <c r="J281" s="23" t="s">
        <v>288</v>
      </c>
      <c r="K281" s="23" t="s">
        <v>288</v>
      </c>
      <c r="L281" s="23" t="s">
        <v>288</v>
      </c>
      <c r="M281" s="8"/>
      <c r="N281" s="164"/>
    </row>
    <row r="282" spans="1:14" s="3" customFormat="1" ht="12.2" customHeight="1" x14ac:dyDescent="0.15">
      <c r="A282" s="1" t="s">
        <v>442</v>
      </c>
      <c r="B282" s="2" t="s">
        <v>357</v>
      </c>
      <c r="C282" s="2" t="s">
        <v>294</v>
      </c>
      <c r="D282" s="2" t="s">
        <v>431</v>
      </c>
      <c r="E282" s="6">
        <v>2100</v>
      </c>
      <c r="F282" s="18">
        <f>8064.8+5400</f>
        <v>13464.8</v>
      </c>
      <c r="G282" s="18">
        <f>1707.63+1563.88</f>
        <v>3271.51</v>
      </c>
      <c r="H282" s="18">
        <f>1950+8520</f>
        <v>10470</v>
      </c>
      <c r="I282" s="18">
        <v>159.6</v>
      </c>
      <c r="J282" s="18">
        <v>0</v>
      </c>
      <c r="K282" s="18">
        <v>0</v>
      </c>
      <c r="L282" s="13">
        <f t="shared" ref="L282:L288" si="12">SUM(F282:K282)</f>
        <v>27365.909999999996</v>
      </c>
      <c r="M282" s="8"/>
      <c r="N282" s="164"/>
    </row>
    <row r="283" spans="1:14" s="3" customFormat="1" ht="12.2" customHeight="1" x14ac:dyDescent="0.15">
      <c r="A283" s="1" t="s">
        <v>443</v>
      </c>
      <c r="B283" s="2" t="s">
        <v>357</v>
      </c>
      <c r="C283" s="2" t="s">
        <v>295</v>
      </c>
      <c r="D283" s="2" t="s">
        <v>431</v>
      </c>
      <c r="E283" s="6">
        <v>2200</v>
      </c>
      <c r="F283" s="18">
        <v>0</v>
      </c>
      <c r="G283" s="18">
        <v>0</v>
      </c>
      <c r="H283" s="18">
        <f>831.52</f>
        <v>831.52</v>
      </c>
      <c r="I283" s="18">
        <v>0</v>
      </c>
      <c r="J283" s="18">
        <v>0</v>
      </c>
      <c r="K283" s="18">
        <v>0</v>
      </c>
      <c r="L283" s="13">
        <f t="shared" si="12"/>
        <v>831.52</v>
      </c>
      <c r="M283" s="8"/>
      <c r="N283" s="164"/>
    </row>
    <row r="284" spans="1:14" s="3" customFormat="1" ht="12.2" customHeight="1" x14ac:dyDescent="0.15">
      <c r="A284" s="1" t="s">
        <v>444</v>
      </c>
      <c r="B284" s="2" t="s">
        <v>357</v>
      </c>
      <c r="C284" s="2" t="s">
        <v>296</v>
      </c>
      <c r="D284" s="2" t="s">
        <v>431</v>
      </c>
      <c r="E284" s="6">
        <v>2300</v>
      </c>
      <c r="F284" s="18">
        <v>0</v>
      </c>
      <c r="G284" s="18">
        <v>0</v>
      </c>
      <c r="H284" s="18">
        <v>0</v>
      </c>
      <c r="I284" s="18">
        <v>0</v>
      </c>
      <c r="J284" s="18">
        <v>0</v>
      </c>
      <c r="K284" s="18">
        <v>9125.4599999999991</v>
      </c>
      <c r="L284" s="13">
        <f t="shared" si="12"/>
        <v>9125.4599999999991</v>
      </c>
      <c r="M284" s="8"/>
      <c r="N284" s="164"/>
    </row>
    <row r="285" spans="1:14" s="3" customFormat="1" ht="12.2" customHeight="1" x14ac:dyDescent="0.15">
      <c r="A285" s="1" t="s">
        <v>445</v>
      </c>
      <c r="B285" s="2" t="s">
        <v>357</v>
      </c>
      <c r="C285" s="2" t="s">
        <v>297</v>
      </c>
      <c r="D285" s="2" t="s">
        <v>431</v>
      </c>
      <c r="E285" s="6">
        <v>2400</v>
      </c>
      <c r="F285" s="18">
        <v>0</v>
      </c>
      <c r="G285" s="18">
        <v>0</v>
      </c>
      <c r="H285" s="18">
        <v>0</v>
      </c>
      <c r="I285" s="18">
        <v>0</v>
      </c>
      <c r="J285" s="18">
        <v>0</v>
      </c>
      <c r="K285" s="18">
        <v>0</v>
      </c>
      <c r="L285" s="13">
        <f t="shared" si="12"/>
        <v>0</v>
      </c>
      <c r="M285" s="8"/>
      <c r="N285" s="164"/>
    </row>
    <row r="286" spans="1:14" s="3" customFormat="1" ht="12.2" customHeight="1" x14ac:dyDescent="0.15">
      <c r="A286" s="1" t="s">
        <v>446</v>
      </c>
      <c r="B286" s="2" t="s">
        <v>357</v>
      </c>
      <c r="C286" s="2" t="s">
        <v>298</v>
      </c>
      <c r="D286" s="2" t="s">
        <v>431</v>
      </c>
      <c r="E286" s="6">
        <v>2500</v>
      </c>
      <c r="F286" s="18">
        <v>0</v>
      </c>
      <c r="G286" s="18">
        <v>0</v>
      </c>
      <c r="H286" s="18">
        <v>0</v>
      </c>
      <c r="I286" s="18">
        <v>0</v>
      </c>
      <c r="J286" s="18">
        <v>0</v>
      </c>
      <c r="K286" s="18">
        <v>0</v>
      </c>
      <c r="L286" s="13">
        <f t="shared" si="12"/>
        <v>0</v>
      </c>
      <c r="M286" s="8"/>
      <c r="N286" s="164"/>
    </row>
    <row r="287" spans="1:14" s="3" customFormat="1" ht="12.2" customHeight="1" x14ac:dyDescent="0.15">
      <c r="A287" s="1" t="s">
        <v>447</v>
      </c>
      <c r="B287" s="2" t="s">
        <v>357</v>
      </c>
      <c r="C287" s="2" t="s">
        <v>299</v>
      </c>
      <c r="D287" s="2" t="s">
        <v>431</v>
      </c>
      <c r="E287" s="6">
        <v>2600</v>
      </c>
      <c r="F287" s="18">
        <v>0</v>
      </c>
      <c r="G287" s="18">
        <v>0</v>
      </c>
      <c r="H287" s="18">
        <v>429</v>
      </c>
      <c r="I287" s="18">
        <v>0</v>
      </c>
      <c r="J287" s="18">
        <v>8856.48</v>
      </c>
      <c r="K287" s="18">
        <v>0</v>
      </c>
      <c r="L287" s="13">
        <f t="shared" si="12"/>
        <v>9285.48</v>
      </c>
      <c r="M287" s="8"/>
      <c r="N287" s="164"/>
    </row>
    <row r="288" spans="1:14" s="3" customFormat="1" ht="12.2" customHeight="1" x14ac:dyDescent="0.15">
      <c r="A288" s="1" t="s">
        <v>448</v>
      </c>
      <c r="B288" s="2" t="s">
        <v>357</v>
      </c>
      <c r="C288" s="2" t="s">
        <v>300</v>
      </c>
      <c r="D288" s="2" t="s">
        <v>431</v>
      </c>
      <c r="E288" s="6">
        <v>2700</v>
      </c>
      <c r="F288" s="18">
        <v>0</v>
      </c>
      <c r="G288" s="18">
        <v>0</v>
      </c>
      <c r="H288" s="18">
        <v>40887.72</v>
      </c>
      <c r="I288" s="18">
        <v>0</v>
      </c>
      <c r="J288" s="18">
        <v>0</v>
      </c>
      <c r="K288" s="18">
        <v>0</v>
      </c>
      <c r="L288" s="13">
        <f t="shared" si="12"/>
        <v>40887.72</v>
      </c>
      <c r="M288" s="8"/>
      <c r="N288" s="164"/>
    </row>
    <row r="289" spans="1:14" s="3" customFormat="1" ht="12.2" customHeight="1" x14ac:dyDescent="0.15">
      <c r="A289" s="1" t="s">
        <v>449</v>
      </c>
      <c r="B289" s="2" t="s">
        <v>357</v>
      </c>
      <c r="C289" s="2" t="s">
        <v>343</v>
      </c>
      <c r="D289" s="2" t="s">
        <v>431</v>
      </c>
      <c r="E289" s="6">
        <v>2800</v>
      </c>
      <c r="F289" s="18">
        <v>0</v>
      </c>
      <c r="G289" s="18">
        <v>0</v>
      </c>
      <c r="H289" s="18">
        <v>0</v>
      </c>
      <c r="I289" s="18">
        <v>0</v>
      </c>
      <c r="J289" s="18">
        <v>0</v>
      </c>
      <c r="K289" s="18">
        <v>0</v>
      </c>
      <c r="L289" s="13">
        <f>SUM(F289:K289)</f>
        <v>0</v>
      </c>
      <c r="M289" s="8"/>
      <c r="N289" s="164"/>
    </row>
    <row r="290" spans="1:14" s="3" customFormat="1" ht="12.2" customHeight="1" thickBot="1" x14ac:dyDescent="0.2">
      <c r="A290" s="1" t="s">
        <v>450</v>
      </c>
      <c r="B290" s="2" t="s">
        <v>357</v>
      </c>
      <c r="C290" s="2" t="s">
        <v>344</v>
      </c>
      <c r="D290" s="2" t="s">
        <v>431</v>
      </c>
      <c r="E290" s="6">
        <v>2900</v>
      </c>
      <c r="F290" s="23" t="s">
        <v>288</v>
      </c>
      <c r="G290" s="23" t="s">
        <v>288</v>
      </c>
      <c r="H290" s="23" t="s">
        <v>288</v>
      </c>
      <c r="I290" s="23" t="s">
        <v>288</v>
      </c>
      <c r="J290" s="23" t="s">
        <v>288</v>
      </c>
      <c r="K290" s="23" t="s">
        <v>288</v>
      </c>
      <c r="L290" s="23" t="s">
        <v>288</v>
      </c>
      <c r="M290" s="8"/>
      <c r="N290" s="164"/>
    </row>
    <row r="291" spans="1:14" s="3" customFormat="1" ht="12.2" customHeight="1" thickTop="1" x14ac:dyDescent="0.2">
      <c r="A291" s="35" t="s">
        <v>419</v>
      </c>
      <c r="B291" s="36" t="s">
        <v>357</v>
      </c>
      <c r="C291" s="36" t="s">
        <v>345</v>
      </c>
      <c r="D291" s="36" t="s">
        <v>431</v>
      </c>
      <c r="E291" s="36"/>
      <c r="F291" s="39">
        <f t="shared" ref="F291:L291" si="13">SUM(F277:F290)</f>
        <v>444538.51999999996</v>
      </c>
      <c r="G291" s="39">
        <f t="shared" si="13"/>
        <v>72785.009999999995</v>
      </c>
      <c r="H291" s="39">
        <f t="shared" si="13"/>
        <v>129476.21</v>
      </c>
      <c r="I291" s="39">
        <f t="shared" si="13"/>
        <v>180884.125</v>
      </c>
      <c r="J291" s="39">
        <f t="shared" si="13"/>
        <v>8856.48</v>
      </c>
      <c r="K291" s="39">
        <f t="shared" si="13"/>
        <v>9125.4599999999991</v>
      </c>
      <c r="L291" s="38">
        <f t="shared" si="13"/>
        <v>845665.80500000005</v>
      </c>
      <c r="M291" s="8"/>
      <c r="N291" s="164"/>
    </row>
    <row r="292" spans="1:14" s="3" customFormat="1" ht="12.2" customHeight="1" x14ac:dyDescent="0.2">
      <c r="A292" s="28"/>
      <c r="B292" s="2"/>
      <c r="C292" s="2"/>
      <c r="D292" s="2"/>
      <c r="E292" s="2"/>
      <c r="F292" s="19"/>
      <c r="G292" s="19"/>
      <c r="H292" s="19"/>
      <c r="I292" s="19"/>
      <c r="J292" s="19"/>
      <c r="K292" s="19"/>
      <c r="L292" s="13"/>
      <c r="M292" s="8"/>
      <c r="N292" s="164"/>
    </row>
    <row r="293" spans="1:14" s="3" customFormat="1" ht="12.2" customHeight="1" x14ac:dyDescent="0.15">
      <c r="A293" s="28" t="s">
        <v>466</v>
      </c>
      <c r="B293" s="2" t="s">
        <v>326</v>
      </c>
      <c r="C293" s="2" t="s">
        <v>326</v>
      </c>
      <c r="D293" s="2"/>
      <c r="E293" s="2"/>
      <c r="F293" s="15" t="s">
        <v>689</v>
      </c>
      <c r="G293" s="15" t="s">
        <v>690</v>
      </c>
      <c r="H293" s="15" t="s">
        <v>691</v>
      </c>
      <c r="I293" s="15" t="s">
        <v>692</v>
      </c>
      <c r="J293" s="15" t="s">
        <v>693</v>
      </c>
      <c r="K293" s="15" t="s">
        <v>694</v>
      </c>
      <c r="L293" s="17"/>
      <c r="M293" s="8"/>
      <c r="N293" s="164"/>
    </row>
    <row r="294" spans="1:14" s="3" customFormat="1" ht="12.2" customHeight="1" x14ac:dyDescent="0.15">
      <c r="A294" s="28" t="s">
        <v>452</v>
      </c>
      <c r="B294" s="7"/>
      <c r="C294" s="7"/>
      <c r="D294" s="7"/>
      <c r="E294" s="7"/>
      <c r="F294" s="79" t="s">
        <v>54</v>
      </c>
      <c r="G294" s="79" t="s">
        <v>55</v>
      </c>
      <c r="H294" s="79" t="s">
        <v>56</v>
      </c>
      <c r="I294" s="79" t="s">
        <v>57</v>
      </c>
      <c r="J294" s="79" t="s">
        <v>58</v>
      </c>
      <c r="K294" s="79" t="s">
        <v>59</v>
      </c>
      <c r="L294" s="79" t="s">
        <v>5</v>
      </c>
      <c r="M294" s="8"/>
      <c r="N294" s="164"/>
    </row>
    <row r="295" spans="1:14" s="3" customFormat="1" ht="12.2" customHeight="1" x14ac:dyDescent="0.15">
      <c r="A295" s="29" t="s">
        <v>195</v>
      </c>
      <c r="F295" s="23" t="s">
        <v>288</v>
      </c>
      <c r="G295" s="23" t="s">
        <v>288</v>
      </c>
      <c r="H295" s="23" t="s">
        <v>288</v>
      </c>
      <c r="I295" s="23" t="s">
        <v>288</v>
      </c>
      <c r="J295" s="23" t="s">
        <v>288</v>
      </c>
      <c r="K295" s="23" t="s">
        <v>288</v>
      </c>
      <c r="L295" s="23" t="s">
        <v>288</v>
      </c>
      <c r="M295" s="8"/>
      <c r="N295" s="164"/>
    </row>
    <row r="296" spans="1:14" s="3" customFormat="1" ht="12.2" customHeight="1" x14ac:dyDescent="0.15">
      <c r="A296" s="1" t="s">
        <v>438</v>
      </c>
      <c r="B296" s="2" t="s">
        <v>358</v>
      </c>
      <c r="C296" s="2" t="s">
        <v>290</v>
      </c>
      <c r="D296" s="2" t="s">
        <v>431</v>
      </c>
      <c r="E296" s="6">
        <v>1100</v>
      </c>
      <c r="F296" s="18">
        <v>0</v>
      </c>
      <c r="G296" s="18">
        <v>0</v>
      </c>
      <c r="H296" s="18">
        <v>0</v>
      </c>
      <c r="I296" s="18">
        <v>0</v>
      </c>
      <c r="J296" s="18">
        <v>0</v>
      </c>
      <c r="K296" s="18">
        <v>0</v>
      </c>
      <c r="L296" s="13">
        <f>SUM(F296:K296)</f>
        <v>0</v>
      </c>
      <c r="M296" s="8"/>
      <c r="N296" s="164"/>
    </row>
    <row r="297" spans="1:14" s="3" customFormat="1" ht="12.2" customHeight="1" x14ac:dyDescent="0.15">
      <c r="A297" s="1" t="s">
        <v>439</v>
      </c>
      <c r="B297" s="2" t="s">
        <v>358</v>
      </c>
      <c r="C297" s="2" t="s">
        <v>291</v>
      </c>
      <c r="D297" s="2" t="s">
        <v>431</v>
      </c>
      <c r="E297" s="6">
        <v>1200</v>
      </c>
      <c r="F297" s="18">
        <v>0</v>
      </c>
      <c r="G297" s="18">
        <v>0</v>
      </c>
      <c r="H297" s="18">
        <v>0</v>
      </c>
      <c r="I297" s="18">
        <v>0</v>
      </c>
      <c r="J297" s="18">
        <v>0</v>
      </c>
      <c r="K297" s="18">
        <v>0</v>
      </c>
      <c r="L297" s="13">
        <f>SUM(F297:K297)</f>
        <v>0</v>
      </c>
      <c r="M297" s="8"/>
      <c r="N297" s="164"/>
    </row>
    <row r="298" spans="1:14" s="3" customFormat="1" ht="12.2" customHeight="1" x14ac:dyDescent="0.15">
      <c r="A298" s="1" t="s">
        <v>440</v>
      </c>
      <c r="B298" s="2" t="s">
        <v>358</v>
      </c>
      <c r="C298" s="2" t="s">
        <v>292</v>
      </c>
      <c r="D298" s="2" t="s">
        <v>431</v>
      </c>
      <c r="E298" s="6">
        <v>1300</v>
      </c>
      <c r="F298" s="18">
        <v>0</v>
      </c>
      <c r="G298" s="18">
        <v>0</v>
      </c>
      <c r="H298" s="18">
        <v>0</v>
      </c>
      <c r="I298" s="18">
        <v>0</v>
      </c>
      <c r="J298" s="18">
        <v>0</v>
      </c>
      <c r="K298" s="18">
        <v>0</v>
      </c>
      <c r="L298" s="13">
        <f>SUM(F298:K298)</f>
        <v>0</v>
      </c>
      <c r="M298" s="8"/>
      <c r="N298" s="164"/>
    </row>
    <row r="299" spans="1:14" s="3" customFormat="1" ht="12.2" customHeight="1" x14ac:dyDescent="0.15">
      <c r="A299" s="1" t="s">
        <v>441</v>
      </c>
      <c r="B299" s="2" t="s">
        <v>358</v>
      </c>
      <c r="C299" s="2" t="s">
        <v>293</v>
      </c>
      <c r="D299" s="2" t="s">
        <v>431</v>
      </c>
      <c r="E299" s="6">
        <v>1400</v>
      </c>
      <c r="F299" s="18">
        <v>0</v>
      </c>
      <c r="G299" s="18">
        <v>0</v>
      </c>
      <c r="H299" s="18">
        <v>0</v>
      </c>
      <c r="I299" s="18">
        <v>0</v>
      </c>
      <c r="J299" s="18">
        <v>0</v>
      </c>
      <c r="K299" s="18">
        <v>0</v>
      </c>
      <c r="L299" s="13">
        <f>SUM(F299:K299)</f>
        <v>0</v>
      </c>
      <c r="M299" s="8"/>
      <c r="N299" s="164"/>
    </row>
    <row r="300" spans="1:14" s="3" customFormat="1" ht="12.2" customHeight="1" x14ac:dyDescent="0.15">
      <c r="A300" s="29" t="s">
        <v>342</v>
      </c>
      <c r="E300" s="6"/>
      <c r="F300" s="23" t="s">
        <v>288</v>
      </c>
      <c r="G300" s="23" t="s">
        <v>288</v>
      </c>
      <c r="H300" s="23" t="s">
        <v>288</v>
      </c>
      <c r="I300" s="23" t="s">
        <v>288</v>
      </c>
      <c r="J300" s="23" t="s">
        <v>288</v>
      </c>
      <c r="K300" s="23" t="s">
        <v>288</v>
      </c>
      <c r="L300" s="23" t="s">
        <v>288</v>
      </c>
      <c r="M300" s="8"/>
      <c r="N300" s="164"/>
    </row>
    <row r="301" spans="1:14" s="3" customFormat="1" ht="12.2" customHeight="1" x14ac:dyDescent="0.15">
      <c r="A301" s="1" t="s">
        <v>442</v>
      </c>
      <c r="B301" s="2" t="s">
        <v>358</v>
      </c>
      <c r="C301" s="2" t="s">
        <v>294</v>
      </c>
      <c r="D301" s="2" t="s">
        <v>431</v>
      </c>
      <c r="E301" s="6">
        <v>2100</v>
      </c>
      <c r="F301" s="18">
        <v>0</v>
      </c>
      <c r="G301" s="18">
        <v>0</v>
      </c>
      <c r="H301" s="18">
        <v>0</v>
      </c>
      <c r="I301" s="18">
        <v>0</v>
      </c>
      <c r="J301" s="18">
        <v>0</v>
      </c>
      <c r="K301" s="18">
        <v>0</v>
      </c>
      <c r="L301" s="13">
        <f t="shared" ref="L301:L307" si="14">SUM(F301:K301)</f>
        <v>0</v>
      </c>
      <c r="M301" s="8"/>
      <c r="N301" s="164"/>
    </row>
    <row r="302" spans="1:14" s="3" customFormat="1" ht="12.2" customHeight="1" x14ac:dyDescent="0.15">
      <c r="A302" s="1" t="s">
        <v>443</v>
      </c>
      <c r="B302" s="2" t="s">
        <v>358</v>
      </c>
      <c r="C302" s="2" t="s">
        <v>295</v>
      </c>
      <c r="D302" s="2" t="s">
        <v>431</v>
      </c>
      <c r="E302" s="6">
        <v>2200</v>
      </c>
      <c r="F302" s="18">
        <v>0</v>
      </c>
      <c r="G302" s="18">
        <v>0</v>
      </c>
      <c r="H302" s="18">
        <v>0</v>
      </c>
      <c r="I302" s="18">
        <v>0</v>
      </c>
      <c r="J302" s="18">
        <v>0</v>
      </c>
      <c r="K302" s="18">
        <v>0</v>
      </c>
      <c r="L302" s="13">
        <f t="shared" si="14"/>
        <v>0</v>
      </c>
      <c r="M302" s="8"/>
      <c r="N302" s="164"/>
    </row>
    <row r="303" spans="1:14" s="3" customFormat="1" ht="12.2" customHeight="1" x14ac:dyDescent="0.15">
      <c r="A303" s="1" t="s">
        <v>444</v>
      </c>
      <c r="B303" s="2" t="s">
        <v>358</v>
      </c>
      <c r="C303" s="2" t="s">
        <v>296</v>
      </c>
      <c r="D303" s="2" t="s">
        <v>431</v>
      </c>
      <c r="E303" s="6">
        <v>2300</v>
      </c>
      <c r="F303" s="18">
        <v>0</v>
      </c>
      <c r="G303" s="18">
        <v>0</v>
      </c>
      <c r="H303" s="18">
        <v>0</v>
      </c>
      <c r="I303" s="18">
        <v>0</v>
      </c>
      <c r="J303" s="18">
        <v>0</v>
      </c>
      <c r="K303" s="18">
        <v>0</v>
      </c>
      <c r="L303" s="13">
        <f t="shared" si="14"/>
        <v>0</v>
      </c>
      <c r="M303" s="8"/>
      <c r="N303" s="164"/>
    </row>
    <row r="304" spans="1:14" s="3" customFormat="1" ht="12.2" customHeight="1" x14ac:dyDescent="0.15">
      <c r="A304" s="1" t="s">
        <v>445</v>
      </c>
      <c r="B304" s="2" t="s">
        <v>358</v>
      </c>
      <c r="C304" s="2" t="s">
        <v>297</v>
      </c>
      <c r="D304" s="2" t="s">
        <v>431</v>
      </c>
      <c r="E304" s="6">
        <v>2400</v>
      </c>
      <c r="F304" s="18">
        <v>0</v>
      </c>
      <c r="G304" s="18">
        <v>0</v>
      </c>
      <c r="H304" s="18">
        <v>0</v>
      </c>
      <c r="I304" s="18">
        <v>0</v>
      </c>
      <c r="J304" s="18">
        <v>0</v>
      </c>
      <c r="K304" s="18">
        <v>0</v>
      </c>
      <c r="L304" s="13">
        <f t="shared" si="14"/>
        <v>0</v>
      </c>
      <c r="M304" s="8"/>
      <c r="N304" s="164"/>
    </row>
    <row r="305" spans="1:14" s="3" customFormat="1" ht="12.2" customHeight="1" x14ac:dyDescent="0.15">
      <c r="A305" s="1" t="s">
        <v>446</v>
      </c>
      <c r="B305" s="2" t="s">
        <v>358</v>
      </c>
      <c r="C305" s="2" t="s">
        <v>298</v>
      </c>
      <c r="D305" s="2" t="s">
        <v>431</v>
      </c>
      <c r="E305" s="6">
        <v>2500</v>
      </c>
      <c r="F305" s="18">
        <v>0</v>
      </c>
      <c r="G305" s="18">
        <v>0</v>
      </c>
      <c r="H305" s="18">
        <v>0</v>
      </c>
      <c r="I305" s="18">
        <v>0</v>
      </c>
      <c r="J305" s="18">
        <v>0</v>
      </c>
      <c r="K305" s="18">
        <v>0</v>
      </c>
      <c r="L305" s="13">
        <f t="shared" si="14"/>
        <v>0</v>
      </c>
      <c r="M305" s="8"/>
      <c r="N305" s="164"/>
    </row>
    <row r="306" spans="1:14" s="3" customFormat="1" ht="12.2" customHeight="1" x14ac:dyDescent="0.15">
      <c r="A306" s="1" t="s">
        <v>447</v>
      </c>
      <c r="B306" s="2" t="s">
        <v>358</v>
      </c>
      <c r="C306" s="2" t="s">
        <v>299</v>
      </c>
      <c r="D306" s="2" t="s">
        <v>431</v>
      </c>
      <c r="E306" s="6">
        <v>2600</v>
      </c>
      <c r="F306" s="18">
        <v>0</v>
      </c>
      <c r="G306" s="18">
        <v>0</v>
      </c>
      <c r="H306" s="18">
        <v>0</v>
      </c>
      <c r="I306" s="18">
        <v>0</v>
      </c>
      <c r="J306" s="18">
        <v>0</v>
      </c>
      <c r="K306" s="18">
        <v>0</v>
      </c>
      <c r="L306" s="13">
        <f t="shared" si="14"/>
        <v>0</v>
      </c>
      <c r="M306" s="8"/>
      <c r="N306" s="164"/>
    </row>
    <row r="307" spans="1:14" s="3" customFormat="1" ht="12.2" customHeight="1" x14ac:dyDescent="0.15">
      <c r="A307" s="1" t="s">
        <v>448</v>
      </c>
      <c r="B307" s="2" t="s">
        <v>358</v>
      </c>
      <c r="C307" s="2" t="s">
        <v>300</v>
      </c>
      <c r="D307" s="2" t="s">
        <v>431</v>
      </c>
      <c r="E307" s="6">
        <v>2700</v>
      </c>
      <c r="F307" s="18">
        <v>0</v>
      </c>
      <c r="G307" s="18">
        <v>0</v>
      </c>
      <c r="H307" s="18">
        <v>0</v>
      </c>
      <c r="I307" s="18">
        <v>0</v>
      </c>
      <c r="J307" s="18">
        <v>0</v>
      </c>
      <c r="K307" s="18">
        <v>0</v>
      </c>
      <c r="L307" s="13">
        <f t="shared" si="14"/>
        <v>0</v>
      </c>
      <c r="M307" s="8"/>
      <c r="N307" s="164"/>
    </row>
    <row r="308" spans="1:14" s="3" customFormat="1" ht="12.2" customHeight="1" x14ac:dyDescent="0.15">
      <c r="A308" s="1" t="s">
        <v>449</v>
      </c>
      <c r="B308" s="2" t="s">
        <v>358</v>
      </c>
      <c r="C308" s="2" t="s">
        <v>343</v>
      </c>
      <c r="D308" s="2" t="s">
        <v>431</v>
      </c>
      <c r="E308" s="6">
        <v>2800</v>
      </c>
      <c r="F308" s="18">
        <v>0</v>
      </c>
      <c r="G308" s="18">
        <v>0</v>
      </c>
      <c r="H308" s="18">
        <v>0</v>
      </c>
      <c r="I308" s="18">
        <v>0</v>
      </c>
      <c r="J308" s="18">
        <v>0</v>
      </c>
      <c r="K308" s="18">
        <v>0</v>
      </c>
      <c r="L308" s="13">
        <f>SUM(F308:K308)</f>
        <v>0</v>
      </c>
      <c r="M308" s="8"/>
      <c r="N308" s="164"/>
    </row>
    <row r="309" spans="1:14" ht="12.2" customHeight="1" thickBot="1" x14ac:dyDescent="0.25">
      <c r="A309" s="1" t="s">
        <v>450</v>
      </c>
      <c r="B309" s="2" t="s">
        <v>358</v>
      </c>
      <c r="C309" s="2" t="s">
        <v>344</v>
      </c>
      <c r="D309" s="2" t="s">
        <v>431</v>
      </c>
      <c r="E309" s="6">
        <v>2900</v>
      </c>
      <c r="F309" s="23" t="s">
        <v>288</v>
      </c>
      <c r="G309" s="23" t="s">
        <v>288</v>
      </c>
      <c r="H309" s="23" t="s">
        <v>288</v>
      </c>
      <c r="I309" s="23" t="s">
        <v>288</v>
      </c>
      <c r="J309" s="23" t="s">
        <v>288</v>
      </c>
      <c r="K309" s="23" t="s">
        <v>288</v>
      </c>
      <c r="L309" s="23" t="s">
        <v>288</v>
      </c>
      <c r="N309" s="130"/>
    </row>
    <row r="310" spans="1:14" s="3" customFormat="1" ht="12.2" customHeight="1" thickTop="1" x14ac:dyDescent="0.2">
      <c r="A310" s="35" t="s">
        <v>459</v>
      </c>
      <c r="B310" s="36" t="s">
        <v>358</v>
      </c>
      <c r="C310" s="37">
        <v>14</v>
      </c>
      <c r="D310" s="36" t="s">
        <v>431</v>
      </c>
      <c r="E310" s="37"/>
      <c r="F310" s="39">
        <f t="shared" ref="F310:L310" si="15">SUM(F296:F309)</f>
        <v>0</v>
      </c>
      <c r="G310" s="39">
        <f t="shared" si="15"/>
        <v>0</v>
      </c>
      <c r="H310" s="39">
        <f t="shared" si="15"/>
        <v>0</v>
      </c>
      <c r="I310" s="39">
        <f t="shared" si="15"/>
        <v>0</v>
      </c>
      <c r="J310" s="39">
        <f t="shared" si="15"/>
        <v>0</v>
      </c>
      <c r="K310" s="39">
        <f t="shared" si="15"/>
        <v>0</v>
      </c>
      <c r="L310" s="38">
        <f t="shared" si="15"/>
        <v>0</v>
      </c>
      <c r="M310" s="8"/>
      <c r="N310" s="164"/>
    </row>
    <row r="311" spans="1:14" s="3" customFormat="1" ht="12.2" customHeight="1" x14ac:dyDescent="0.2">
      <c r="A311" s="28"/>
      <c r="B311" s="2"/>
      <c r="C311" s="6"/>
      <c r="D311" s="6"/>
      <c r="E311" s="6"/>
      <c r="F311" s="19"/>
      <c r="G311" s="19"/>
      <c r="H311" s="19"/>
      <c r="I311" s="19"/>
      <c r="J311" s="19"/>
      <c r="K311" s="19"/>
      <c r="L311" s="13"/>
      <c r="M311" s="8"/>
      <c r="N311" s="164"/>
    </row>
    <row r="312" spans="1:14" s="3" customFormat="1" ht="12.2" customHeight="1" x14ac:dyDescent="0.2">
      <c r="A312" s="28" t="s">
        <v>466</v>
      </c>
      <c r="B312"/>
      <c r="C312"/>
      <c r="D312"/>
      <c r="E312"/>
      <c r="F312" s="15" t="s">
        <v>689</v>
      </c>
      <c r="G312" s="15" t="s">
        <v>690</v>
      </c>
      <c r="H312" s="15" t="s">
        <v>691</v>
      </c>
      <c r="I312" s="15" t="s">
        <v>692</v>
      </c>
      <c r="J312" s="15" t="s">
        <v>693</v>
      </c>
      <c r="K312" s="15" t="s">
        <v>694</v>
      </c>
      <c r="L312" s="19"/>
      <c r="M312" s="8"/>
      <c r="N312" s="164"/>
    </row>
    <row r="313" spans="1:14" s="3" customFormat="1" ht="12.2" customHeight="1" x14ac:dyDescent="0.15">
      <c r="A313" s="28" t="s">
        <v>453</v>
      </c>
      <c r="F313" s="79" t="s">
        <v>54</v>
      </c>
      <c r="G313" s="79" t="s">
        <v>55</v>
      </c>
      <c r="H313" s="79" t="s">
        <v>56</v>
      </c>
      <c r="I313" s="79" t="s">
        <v>57</v>
      </c>
      <c r="J313" s="79" t="s">
        <v>58</v>
      </c>
      <c r="K313" s="79" t="s">
        <v>59</v>
      </c>
      <c r="L313" s="79" t="s">
        <v>5</v>
      </c>
      <c r="M313" s="8"/>
      <c r="N313" s="164"/>
    </row>
    <row r="314" spans="1:14" s="3" customFormat="1" ht="12.2" customHeight="1" x14ac:dyDescent="0.15">
      <c r="A314" s="29" t="s">
        <v>195</v>
      </c>
      <c r="F314" s="23" t="s">
        <v>288</v>
      </c>
      <c r="G314" s="23" t="s">
        <v>288</v>
      </c>
      <c r="H314" s="23" t="s">
        <v>288</v>
      </c>
      <c r="I314" s="23" t="s">
        <v>288</v>
      </c>
      <c r="J314" s="23" t="s">
        <v>288</v>
      </c>
      <c r="K314" s="23" t="s">
        <v>288</v>
      </c>
      <c r="L314" s="23" t="s">
        <v>288</v>
      </c>
      <c r="M314" s="8"/>
      <c r="N314" s="164"/>
    </row>
    <row r="315" spans="1:14" s="3" customFormat="1" ht="12.2" customHeight="1" x14ac:dyDescent="0.15">
      <c r="A315" s="1" t="s">
        <v>438</v>
      </c>
      <c r="B315" s="2" t="s">
        <v>359</v>
      </c>
      <c r="C315" s="2" t="s">
        <v>290</v>
      </c>
      <c r="D315" s="2" t="s">
        <v>431</v>
      </c>
      <c r="E315" s="6">
        <v>1100</v>
      </c>
      <c r="F315" s="18">
        <v>0</v>
      </c>
      <c r="G315" s="18">
        <v>0</v>
      </c>
      <c r="H315" s="18">
        <v>0</v>
      </c>
      <c r="I315" s="18">
        <f>25609</f>
        <v>25609</v>
      </c>
      <c r="J315" s="18">
        <v>0</v>
      </c>
      <c r="K315" s="18">
        <v>0</v>
      </c>
      <c r="L315" s="13">
        <f>SUM(F315:K315)</f>
        <v>25609</v>
      </c>
      <c r="M315" s="8"/>
      <c r="N315" s="164"/>
    </row>
    <row r="316" spans="1:14" s="3" customFormat="1" ht="12.2" customHeight="1" x14ac:dyDescent="0.15">
      <c r="A316" s="1" t="s">
        <v>439</v>
      </c>
      <c r="B316" s="2" t="s">
        <v>359</v>
      </c>
      <c r="C316" s="2" t="s">
        <v>291</v>
      </c>
      <c r="D316" s="2" t="s">
        <v>431</v>
      </c>
      <c r="E316" s="6">
        <v>1200</v>
      </c>
      <c r="F316" s="18">
        <f>3385.79+122896.72</f>
        <v>126282.51</v>
      </c>
      <c r="G316" s="18">
        <v>0</v>
      </c>
      <c r="H316" s="18">
        <f>28857.97</f>
        <v>28857.97</v>
      </c>
      <c r="I316" s="18">
        <f>3861.775</f>
        <v>3861.7750000000001</v>
      </c>
      <c r="J316" s="18">
        <v>0</v>
      </c>
      <c r="K316" s="18">
        <v>0</v>
      </c>
      <c r="L316" s="13">
        <f>SUM(F316:K316)</f>
        <v>159002.25499999998</v>
      </c>
      <c r="M316" s="8"/>
      <c r="N316" s="164"/>
    </row>
    <row r="317" spans="1:14" s="3" customFormat="1" ht="12.2" customHeight="1" x14ac:dyDescent="0.15">
      <c r="A317" s="1" t="s">
        <v>440</v>
      </c>
      <c r="B317" s="2" t="s">
        <v>359</v>
      </c>
      <c r="C317" s="2" t="s">
        <v>292</v>
      </c>
      <c r="D317" s="2" t="s">
        <v>431</v>
      </c>
      <c r="E317" s="6">
        <v>1300</v>
      </c>
      <c r="F317" s="18">
        <v>0</v>
      </c>
      <c r="G317" s="18">
        <v>0</v>
      </c>
      <c r="H317" s="18">
        <v>0</v>
      </c>
      <c r="I317" s="18">
        <v>0</v>
      </c>
      <c r="J317" s="18">
        <v>0</v>
      </c>
      <c r="K317" s="18">
        <v>0</v>
      </c>
      <c r="L317" s="13">
        <f>SUM(F317:K317)</f>
        <v>0</v>
      </c>
      <c r="M317" s="8"/>
      <c r="N317" s="164"/>
    </row>
    <row r="318" spans="1:14" s="3" customFormat="1" ht="12.2" customHeight="1" x14ac:dyDescent="0.15">
      <c r="A318" s="1" t="s">
        <v>441</v>
      </c>
      <c r="B318" s="2" t="s">
        <v>359</v>
      </c>
      <c r="C318" s="2" t="s">
        <v>293</v>
      </c>
      <c r="D318" s="2" t="s">
        <v>431</v>
      </c>
      <c r="E318" s="6">
        <v>1400</v>
      </c>
      <c r="F318" s="18">
        <v>28362.5</v>
      </c>
      <c r="G318" s="18">
        <v>7591.09</v>
      </c>
      <c r="H318" s="18">
        <v>0</v>
      </c>
      <c r="I318" s="18">
        <v>187.81</v>
      </c>
      <c r="J318" s="18">
        <v>0</v>
      </c>
      <c r="K318" s="18">
        <v>0</v>
      </c>
      <c r="L318" s="13">
        <f>SUM(F318:K318)</f>
        <v>36141.399999999994</v>
      </c>
      <c r="M318" s="8"/>
      <c r="N318" s="164"/>
    </row>
    <row r="319" spans="1:14" s="3" customFormat="1" ht="12.2" customHeight="1" x14ac:dyDescent="0.15">
      <c r="A319" s="29" t="s">
        <v>342</v>
      </c>
      <c r="C319" s="22"/>
      <c r="E319" s="6"/>
      <c r="F319" s="23" t="s">
        <v>288</v>
      </c>
      <c r="G319" s="23" t="s">
        <v>288</v>
      </c>
      <c r="H319" s="23" t="s">
        <v>288</v>
      </c>
      <c r="I319" s="23" t="s">
        <v>288</v>
      </c>
      <c r="J319" s="23" t="s">
        <v>288</v>
      </c>
      <c r="K319" s="23" t="s">
        <v>288</v>
      </c>
      <c r="L319" s="23" t="s">
        <v>288</v>
      </c>
      <c r="M319" s="8"/>
      <c r="N319" s="164"/>
    </row>
    <row r="320" spans="1:14" s="3" customFormat="1" ht="12.2" customHeight="1" x14ac:dyDescent="0.15">
      <c r="A320" s="1" t="s">
        <v>442</v>
      </c>
      <c r="B320" s="2" t="s">
        <v>359</v>
      </c>
      <c r="C320" s="2" t="s">
        <v>294</v>
      </c>
      <c r="D320" s="2" t="s">
        <v>431</v>
      </c>
      <c r="E320" s="6">
        <v>2100</v>
      </c>
      <c r="F320" s="18">
        <f>8064.8+5000+23972.06</f>
        <v>37036.86</v>
      </c>
      <c r="G320" s="18">
        <f>1707.63+1018+6720.22</f>
        <v>9445.85</v>
      </c>
      <c r="H320" s="18">
        <f>4631+1950</f>
        <v>6581</v>
      </c>
      <c r="I320" s="18">
        <v>0</v>
      </c>
      <c r="J320" s="18">
        <v>0</v>
      </c>
      <c r="K320" s="18">
        <v>0</v>
      </c>
      <c r="L320" s="13">
        <f t="shared" ref="L320:L326" si="16">SUM(F320:K320)</f>
        <v>53063.71</v>
      </c>
      <c r="M320" s="8"/>
      <c r="N320" s="164"/>
    </row>
    <row r="321" spans="1:14" s="3" customFormat="1" ht="12.2" customHeight="1" x14ac:dyDescent="0.15">
      <c r="A321" s="1" t="s">
        <v>443</v>
      </c>
      <c r="B321" s="2" t="s">
        <v>359</v>
      </c>
      <c r="C321" s="2" t="s">
        <v>295</v>
      </c>
      <c r="D321" s="2" t="s">
        <v>431</v>
      </c>
      <c r="E321" s="6">
        <v>2200</v>
      </c>
      <c r="F321" s="18">
        <v>0</v>
      </c>
      <c r="G321" s="18">
        <v>0</v>
      </c>
      <c r="H321" s="18">
        <v>0</v>
      </c>
      <c r="I321" s="18">
        <v>0</v>
      </c>
      <c r="J321" s="18">
        <v>0</v>
      </c>
      <c r="K321" s="18">
        <v>0</v>
      </c>
      <c r="L321" s="13">
        <f t="shared" si="16"/>
        <v>0</v>
      </c>
      <c r="M321" s="8"/>
      <c r="N321" s="164"/>
    </row>
    <row r="322" spans="1:14" s="3" customFormat="1" ht="12.2" customHeight="1" x14ac:dyDescent="0.15">
      <c r="A322" s="1" t="s">
        <v>444</v>
      </c>
      <c r="B322" s="2" t="s">
        <v>359</v>
      </c>
      <c r="C322" s="2" t="s">
        <v>296</v>
      </c>
      <c r="D322" s="2" t="s">
        <v>431</v>
      </c>
      <c r="E322" s="6">
        <v>2300</v>
      </c>
      <c r="F322" s="18">
        <v>0</v>
      </c>
      <c r="G322" s="18">
        <v>0</v>
      </c>
      <c r="H322" s="18">
        <v>0</v>
      </c>
      <c r="I322" s="18">
        <v>0</v>
      </c>
      <c r="J322" s="18">
        <v>0</v>
      </c>
      <c r="K322" s="18">
        <v>9125.4599999999991</v>
      </c>
      <c r="L322" s="13">
        <f t="shared" si="16"/>
        <v>9125.4599999999991</v>
      </c>
      <c r="M322" s="8"/>
      <c r="N322" s="164"/>
    </row>
    <row r="323" spans="1:14" s="3" customFormat="1" ht="12.2" customHeight="1" x14ac:dyDescent="0.15">
      <c r="A323" s="1" t="s">
        <v>445</v>
      </c>
      <c r="B323" s="2" t="s">
        <v>359</v>
      </c>
      <c r="C323" s="2" t="s">
        <v>297</v>
      </c>
      <c r="D323" s="2" t="s">
        <v>431</v>
      </c>
      <c r="E323" s="6">
        <v>2400</v>
      </c>
      <c r="F323" s="18">
        <v>0</v>
      </c>
      <c r="G323" s="18">
        <v>0</v>
      </c>
      <c r="H323" s="18">
        <v>0</v>
      </c>
      <c r="I323" s="18">
        <v>0</v>
      </c>
      <c r="J323" s="18">
        <v>0</v>
      </c>
      <c r="K323" s="18">
        <v>0</v>
      </c>
      <c r="L323" s="13">
        <f t="shared" si="16"/>
        <v>0</v>
      </c>
      <c r="M323" s="8"/>
      <c r="N323" s="164"/>
    </row>
    <row r="324" spans="1:14" s="3" customFormat="1" ht="12.2" customHeight="1" x14ac:dyDescent="0.15">
      <c r="A324" s="1" t="s">
        <v>446</v>
      </c>
      <c r="B324" s="2" t="s">
        <v>359</v>
      </c>
      <c r="C324" s="2" t="s">
        <v>298</v>
      </c>
      <c r="D324" s="2" t="s">
        <v>431</v>
      </c>
      <c r="E324" s="6">
        <v>2500</v>
      </c>
      <c r="F324" s="18">
        <v>0</v>
      </c>
      <c r="G324" s="18">
        <v>0</v>
      </c>
      <c r="H324" s="18">
        <v>0</v>
      </c>
      <c r="I324" s="18">
        <v>0</v>
      </c>
      <c r="J324" s="18">
        <v>0</v>
      </c>
      <c r="K324" s="18">
        <v>0</v>
      </c>
      <c r="L324" s="13">
        <f t="shared" si="16"/>
        <v>0</v>
      </c>
      <c r="M324" s="8"/>
      <c r="N324" s="164"/>
    </row>
    <row r="325" spans="1:14" s="3" customFormat="1" ht="12.2" customHeight="1" x14ac:dyDescent="0.15">
      <c r="A325" s="1" t="s">
        <v>447</v>
      </c>
      <c r="B325" s="2" t="s">
        <v>359</v>
      </c>
      <c r="C325" s="2" t="s">
        <v>299</v>
      </c>
      <c r="D325" s="2" t="s">
        <v>431</v>
      </c>
      <c r="E325" s="6">
        <v>2600</v>
      </c>
      <c r="F325" s="18">
        <v>0</v>
      </c>
      <c r="G325" s="18">
        <v>0</v>
      </c>
      <c r="H325" s="18">
        <f>429+13400</f>
        <v>13829</v>
      </c>
      <c r="I325" s="18">
        <v>0</v>
      </c>
      <c r="J325" s="18">
        <v>8856.48</v>
      </c>
      <c r="K325" s="18">
        <v>0</v>
      </c>
      <c r="L325" s="13">
        <f t="shared" si="16"/>
        <v>22685.48</v>
      </c>
      <c r="M325" s="8"/>
      <c r="N325" s="164"/>
    </row>
    <row r="326" spans="1:14" s="3" customFormat="1" ht="12.2" customHeight="1" x14ac:dyDescent="0.15">
      <c r="A326" s="1" t="s">
        <v>448</v>
      </c>
      <c r="B326" s="2" t="s">
        <v>359</v>
      </c>
      <c r="C326" s="2" t="s">
        <v>300</v>
      </c>
      <c r="D326" s="2" t="s">
        <v>431</v>
      </c>
      <c r="E326" s="6">
        <v>2700</v>
      </c>
      <c r="F326" s="18">
        <v>0</v>
      </c>
      <c r="G326" s="18">
        <v>0</v>
      </c>
      <c r="H326" s="18">
        <v>40887.72</v>
      </c>
      <c r="I326" s="18">
        <v>0</v>
      </c>
      <c r="J326" s="18">
        <v>0</v>
      </c>
      <c r="K326" s="18">
        <v>0</v>
      </c>
      <c r="L326" s="13">
        <f t="shared" si="16"/>
        <v>40887.72</v>
      </c>
      <c r="M326" s="8"/>
      <c r="N326" s="164"/>
    </row>
    <row r="327" spans="1:14" s="3" customFormat="1" ht="12.2" customHeight="1" x14ac:dyDescent="0.15">
      <c r="A327" s="1" t="s">
        <v>449</v>
      </c>
      <c r="B327" s="2" t="s">
        <v>359</v>
      </c>
      <c r="C327" s="2" t="s">
        <v>343</v>
      </c>
      <c r="D327" s="2" t="s">
        <v>431</v>
      </c>
      <c r="E327" s="6">
        <v>2800</v>
      </c>
      <c r="F327" s="18">
        <v>0</v>
      </c>
      <c r="G327" s="18">
        <v>0</v>
      </c>
      <c r="H327" s="18">
        <v>0</v>
      </c>
      <c r="I327" s="18">
        <v>0</v>
      </c>
      <c r="J327" s="18">
        <v>0</v>
      </c>
      <c r="K327" s="18">
        <v>0</v>
      </c>
      <c r="L327" s="13">
        <f>SUM(F327:K327)</f>
        <v>0</v>
      </c>
      <c r="M327" s="8"/>
      <c r="N327" s="164"/>
    </row>
    <row r="328" spans="1:14" s="3" customFormat="1" ht="12.2" customHeight="1" thickBot="1" x14ac:dyDescent="0.2">
      <c r="A328" s="1" t="s">
        <v>450</v>
      </c>
      <c r="B328" s="2" t="s">
        <v>359</v>
      </c>
      <c r="C328" s="2" t="s">
        <v>344</v>
      </c>
      <c r="D328" s="2" t="s">
        <v>431</v>
      </c>
      <c r="E328" s="6">
        <v>2900</v>
      </c>
      <c r="F328" s="23" t="s">
        <v>288</v>
      </c>
      <c r="G328" s="23" t="s">
        <v>288</v>
      </c>
      <c r="H328" s="23" t="s">
        <v>288</v>
      </c>
      <c r="I328" s="23" t="s">
        <v>288</v>
      </c>
      <c r="J328" s="23" t="s">
        <v>288</v>
      </c>
      <c r="K328" s="23" t="s">
        <v>288</v>
      </c>
      <c r="L328" s="23" t="s">
        <v>288</v>
      </c>
      <c r="M328" s="8"/>
      <c r="N328" s="164"/>
    </row>
    <row r="329" spans="1:14" s="3" customFormat="1" ht="12.2" customHeight="1" thickTop="1" x14ac:dyDescent="0.2">
      <c r="A329" s="35" t="s">
        <v>681</v>
      </c>
      <c r="B329" s="36" t="s">
        <v>359</v>
      </c>
      <c r="C329" s="37">
        <v>14</v>
      </c>
      <c r="D329" s="36" t="s">
        <v>431</v>
      </c>
      <c r="E329" s="37"/>
      <c r="F329" s="39">
        <f t="shared" ref="F329:L329" si="17">SUM(F315:F328)</f>
        <v>191681.87</v>
      </c>
      <c r="G329" s="39">
        <f t="shared" si="17"/>
        <v>17036.940000000002</v>
      </c>
      <c r="H329" s="39">
        <f t="shared" si="17"/>
        <v>90155.69</v>
      </c>
      <c r="I329" s="39">
        <f t="shared" si="17"/>
        <v>29658.585000000003</v>
      </c>
      <c r="J329" s="39">
        <f t="shared" si="17"/>
        <v>8856.48</v>
      </c>
      <c r="K329" s="39">
        <f t="shared" si="17"/>
        <v>9125.4599999999991</v>
      </c>
      <c r="L329" s="38">
        <f t="shared" si="17"/>
        <v>346515.02500000002</v>
      </c>
      <c r="M329" s="8"/>
      <c r="N329" s="164"/>
    </row>
    <row r="330" spans="1:14" s="3" customFormat="1" ht="12.2" customHeight="1" x14ac:dyDescent="0.2">
      <c r="A330" s="28"/>
      <c r="B330" s="2"/>
      <c r="C330" s="6"/>
      <c r="D330" s="6"/>
      <c r="E330" s="6"/>
      <c r="F330" s="19"/>
      <c r="G330" s="19"/>
      <c r="H330" s="19"/>
      <c r="I330" s="19"/>
      <c r="J330" s="19"/>
      <c r="K330" s="19"/>
      <c r="L330" s="13"/>
      <c r="M330" s="8"/>
      <c r="N330" s="164"/>
    </row>
    <row r="331" spans="1:14" s="3" customFormat="1" ht="12.2" customHeight="1" x14ac:dyDescent="0.15">
      <c r="A331" s="28" t="s">
        <v>360</v>
      </c>
      <c r="B331" s="2"/>
      <c r="C331" s="6"/>
      <c r="D331" s="6"/>
      <c r="E331" s="6"/>
      <c r="F331" s="15" t="s">
        <v>689</v>
      </c>
      <c r="G331" s="15" t="s">
        <v>690</v>
      </c>
      <c r="H331" s="15" t="s">
        <v>691</v>
      </c>
      <c r="I331" s="15" t="s">
        <v>692</v>
      </c>
      <c r="J331" s="15" t="s">
        <v>693</v>
      </c>
      <c r="K331" s="15" t="s">
        <v>694</v>
      </c>
      <c r="L331" s="13"/>
      <c r="M331" s="8"/>
      <c r="N331" s="164"/>
    </row>
    <row r="332" spans="1:14" s="3" customFormat="1" ht="12.2" customHeight="1" x14ac:dyDescent="0.15">
      <c r="A332" s="28" t="s">
        <v>361</v>
      </c>
      <c r="F332" s="79" t="s">
        <v>54</v>
      </c>
      <c r="G332" s="79" t="s">
        <v>55</v>
      </c>
      <c r="H332" s="79" t="s">
        <v>56</v>
      </c>
      <c r="I332" s="79" t="s">
        <v>57</v>
      </c>
      <c r="J332" s="79" t="s">
        <v>58</v>
      </c>
      <c r="K332" s="79" t="s">
        <v>59</v>
      </c>
      <c r="L332" s="79" t="s">
        <v>5</v>
      </c>
      <c r="M332" s="8"/>
      <c r="N332" s="164"/>
    </row>
    <row r="333" spans="1:14" s="3" customFormat="1" ht="12.2" customHeight="1" x14ac:dyDescent="0.15">
      <c r="A333" s="1" t="s">
        <v>656</v>
      </c>
      <c r="B333" s="6">
        <v>14</v>
      </c>
      <c r="C333" s="2" t="s">
        <v>289</v>
      </c>
      <c r="D333" s="2" t="s">
        <v>431</v>
      </c>
      <c r="E333" s="6">
        <v>1500</v>
      </c>
      <c r="F333" s="18"/>
      <c r="G333" s="18"/>
      <c r="H333" s="18"/>
      <c r="I333" s="18"/>
      <c r="J333" s="18"/>
      <c r="K333" s="18"/>
      <c r="L333" s="13">
        <f t="shared" ref="L333:L338" si="18">SUM(F333:K333)</f>
        <v>0</v>
      </c>
      <c r="M333" s="8"/>
      <c r="N333" s="164"/>
    </row>
    <row r="334" spans="1:14" s="3" customFormat="1" ht="12.2" customHeight="1" x14ac:dyDescent="0.15">
      <c r="A334" s="1" t="s">
        <v>353</v>
      </c>
      <c r="B334" s="6">
        <v>14</v>
      </c>
      <c r="C334" s="2" t="s">
        <v>309</v>
      </c>
      <c r="D334" s="2" t="s">
        <v>431</v>
      </c>
      <c r="E334" s="6">
        <v>1600</v>
      </c>
      <c r="F334" s="18"/>
      <c r="G334" s="18"/>
      <c r="H334" s="18"/>
      <c r="I334" s="18"/>
      <c r="J334" s="18"/>
      <c r="K334" s="18"/>
      <c r="L334" s="13">
        <f t="shared" si="18"/>
        <v>0</v>
      </c>
      <c r="M334" s="8"/>
      <c r="N334" s="164"/>
    </row>
    <row r="335" spans="1:14" s="3" customFormat="1" ht="12.2" customHeight="1" x14ac:dyDescent="0.15">
      <c r="A335" s="1" t="s">
        <v>582</v>
      </c>
      <c r="B335" s="6">
        <v>14</v>
      </c>
      <c r="C335" s="2" t="s">
        <v>315</v>
      </c>
      <c r="D335" s="2" t="s">
        <v>431</v>
      </c>
      <c r="E335" s="6">
        <v>1700</v>
      </c>
      <c r="F335" s="18"/>
      <c r="G335" s="18"/>
      <c r="H335" s="18"/>
      <c r="I335" s="18"/>
      <c r="J335" s="18"/>
      <c r="K335" s="18"/>
      <c r="L335" s="13">
        <f t="shared" si="18"/>
        <v>0</v>
      </c>
      <c r="M335" s="8"/>
      <c r="N335" s="164"/>
    </row>
    <row r="336" spans="1:14" s="3" customFormat="1" ht="12.2" customHeight="1" x14ac:dyDescent="0.15">
      <c r="A336" s="1" t="s">
        <v>583</v>
      </c>
      <c r="B336" s="6">
        <v>14</v>
      </c>
      <c r="C336" s="2" t="s">
        <v>321</v>
      </c>
      <c r="D336" s="2" t="s">
        <v>431</v>
      </c>
      <c r="E336" s="6">
        <v>1800</v>
      </c>
      <c r="F336" s="18"/>
      <c r="G336" s="18"/>
      <c r="H336" s="18"/>
      <c r="I336" s="18"/>
      <c r="J336" s="18"/>
      <c r="K336" s="18"/>
      <c r="L336" s="13">
        <f t="shared" si="18"/>
        <v>0</v>
      </c>
      <c r="M336" s="8"/>
      <c r="N336" s="164"/>
    </row>
    <row r="337" spans="1:43" s="3" customFormat="1" ht="12.2" customHeight="1" thickBot="1" x14ac:dyDescent="0.2">
      <c r="A337" s="1" t="s">
        <v>584</v>
      </c>
      <c r="B337" s="6">
        <v>14</v>
      </c>
      <c r="C337" s="6">
        <v>5</v>
      </c>
      <c r="D337" s="2" t="s">
        <v>431</v>
      </c>
      <c r="E337" s="6">
        <v>4000</v>
      </c>
      <c r="F337" s="18"/>
      <c r="G337" s="18"/>
      <c r="H337" s="18"/>
      <c r="I337" s="18">
        <f>45111+4474.29</f>
        <v>49585.29</v>
      </c>
      <c r="J337" s="18"/>
      <c r="K337" s="18"/>
      <c r="L337" s="13">
        <f t="shared" si="18"/>
        <v>49585.29</v>
      </c>
      <c r="M337" s="8"/>
      <c r="N337" s="164"/>
    </row>
    <row r="338" spans="1:43" s="3" customFormat="1" ht="12.2" customHeight="1" thickTop="1" thickBot="1" x14ac:dyDescent="0.2">
      <c r="A338" s="46" t="s">
        <v>467</v>
      </c>
      <c r="B338" s="37">
        <v>14</v>
      </c>
      <c r="C338" s="47">
        <v>6</v>
      </c>
      <c r="D338" s="44" t="s">
        <v>431</v>
      </c>
      <c r="E338" s="47"/>
      <c r="F338" s="38">
        <f t="shared" ref="F338:K338" si="19">SUM(F333:F337)</f>
        <v>0</v>
      </c>
      <c r="G338" s="38">
        <f t="shared" si="19"/>
        <v>0</v>
      </c>
      <c r="H338" s="38">
        <f t="shared" si="19"/>
        <v>0</v>
      </c>
      <c r="I338" s="38">
        <f t="shared" si="19"/>
        <v>49585.29</v>
      </c>
      <c r="J338" s="38">
        <f t="shared" si="19"/>
        <v>0</v>
      </c>
      <c r="K338" s="38">
        <f t="shared" si="19"/>
        <v>0</v>
      </c>
      <c r="L338" s="38">
        <f t="shared" si="18"/>
        <v>49585.29</v>
      </c>
      <c r="M338" s="8"/>
      <c r="N338" s="164"/>
    </row>
    <row r="339" spans="1:43" s="3" customFormat="1" ht="12.2" customHeight="1" thickTop="1" x14ac:dyDescent="0.15">
      <c r="A339" s="35" t="s">
        <v>468</v>
      </c>
      <c r="B339" s="37">
        <v>14</v>
      </c>
      <c r="C339" s="37">
        <v>7</v>
      </c>
      <c r="D339" s="36" t="s">
        <v>431</v>
      </c>
      <c r="E339" s="37"/>
      <c r="F339" s="38">
        <f t="shared" ref="F339:L339" si="20">F291+F310+F329+F338</f>
        <v>636220.3899999999</v>
      </c>
      <c r="G339" s="38">
        <f t="shared" si="20"/>
        <v>89821.95</v>
      </c>
      <c r="H339" s="38">
        <f t="shared" si="20"/>
        <v>219631.90000000002</v>
      </c>
      <c r="I339" s="38">
        <f t="shared" si="20"/>
        <v>260128</v>
      </c>
      <c r="J339" s="38">
        <f t="shared" si="20"/>
        <v>17712.96</v>
      </c>
      <c r="K339" s="38">
        <f t="shared" si="20"/>
        <v>18250.919999999998</v>
      </c>
      <c r="L339" s="38">
        <f t="shared" si="20"/>
        <v>1241766.1200000001</v>
      </c>
      <c r="M339" s="8"/>
      <c r="N339" s="164"/>
    </row>
    <row r="340" spans="1:43" s="3" customFormat="1" ht="12.2" customHeight="1" x14ac:dyDescent="0.15">
      <c r="A340" s="28" t="s">
        <v>354</v>
      </c>
      <c r="F340" s="18"/>
      <c r="G340" s="18"/>
      <c r="H340" s="18"/>
      <c r="I340" s="18"/>
      <c r="J340" s="18"/>
      <c r="K340" s="18"/>
      <c r="L340" s="13"/>
      <c r="M340" s="8"/>
      <c r="N340" s="164"/>
    </row>
    <row r="341" spans="1:43" s="3" customFormat="1" ht="12.2" customHeight="1" x14ac:dyDescent="0.15">
      <c r="A341" s="29" t="s">
        <v>463</v>
      </c>
      <c r="E341" s="6">
        <v>5100</v>
      </c>
      <c r="F341" s="23" t="s">
        <v>288</v>
      </c>
      <c r="G341" s="23" t="s">
        <v>288</v>
      </c>
      <c r="H341" s="23" t="s">
        <v>288</v>
      </c>
      <c r="I341" s="23" t="s">
        <v>288</v>
      </c>
      <c r="J341" s="23" t="s">
        <v>288</v>
      </c>
      <c r="K341" s="23" t="s">
        <v>288</v>
      </c>
      <c r="L341" s="23" t="s">
        <v>288</v>
      </c>
      <c r="M341" s="8"/>
      <c r="N341" s="164"/>
    </row>
    <row r="342" spans="1:43" s="3" customFormat="1" ht="12.2" customHeight="1" x14ac:dyDescent="0.15">
      <c r="A342" s="1" t="s">
        <v>520</v>
      </c>
      <c r="B342" s="6">
        <v>14</v>
      </c>
      <c r="C342" s="6">
        <v>8</v>
      </c>
      <c r="E342" s="6">
        <v>5100</v>
      </c>
      <c r="F342" s="23" t="s">
        <v>288</v>
      </c>
      <c r="G342" s="23" t="s">
        <v>288</v>
      </c>
      <c r="H342" s="23" t="s">
        <v>288</v>
      </c>
      <c r="I342" s="23" t="s">
        <v>288</v>
      </c>
      <c r="J342" s="23" t="s">
        <v>288</v>
      </c>
      <c r="K342" s="18"/>
      <c r="L342" s="13">
        <f>SUM(F342:K342)</f>
        <v>0</v>
      </c>
      <c r="M342" s="8"/>
      <c r="N342" s="164"/>
    </row>
    <row r="343" spans="1:43" s="12" customFormat="1" ht="12.2" customHeight="1" thickBot="1" x14ac:dyDescent="0.25">
      <c r="A343" s="1" t="s">
        <v>532</v>
      </c>
      <c r="B343" s="6">
        <v>14</v>
      </c>
      <c r="C343" s="6">
        <v>9</v>
      </c>
      <c r="D343" s="3"/>
      <c r="E343" s="6">
        <v>5120</v>
      </c>
      <c r="F343" s="23" t="s">
        <v>288</v>
      </c>
      <c r="G343" s="23" t="s">
        <v>288</v>
      </c>
      <c r="H343" s="23" t="s">
        <v>288</v>
      </c>
      <c r="I343" s="23" t="s">
        <v>288</v>
      </c>
      <c r="J343" s="23" t="s">
        <v>288</v>
      </c>
      <c r="K343" s="18"/>
      <c r="L343" s="13">
        <f>SUM(F343:K343)</f>
        <v>0</v>
      </c>
      <c r="M343"/>
      <c r="N343" s="130"/>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2" customHeight="1" x14ac:dyDescent="0.15">
      <c r="A344" s="26" t="s">
        <v>356</v>
      </c>
      <c r="B344" s="6">
        <v>14</v>
      </c>
      <c r="E344" s="6">
        <v>5200</v>
      </c>
      <c r="F344" s="23" t="s">
        <v>288</v>
      </c>
      <c r="G344" s="23" t="s">
        <v>288</v>
      </c>
      <c r="H344" s="23" t="s">
        <v>288</v>
      </c>
      <c r="I344" s="23" t="s">
        <v>288</v>
      </c>
      <c r="J344" s="23" t="s">
        <v>288</v>
      </c>
      <c r="K344" s="23" t="s">
        <v>288</v>
      </c>
      <c r="L344" s="23" t="s">
        <v>288</v>
      </c>
      <c r="M344" s="8"/>
      <c r="N344" s="164"/>
    </row>
    <row r="345" spans="1:43" s="3" customFormat="1" ht="12.2" customHeight="1" x14ac:dyDescent="0.15">
      <c r="A345" s="3" t="s">
        <v>538</v>
      </c>
      <c r="B345" s="6">
        <v>14</v>
      </c>
      <c r="C345" s="6">
        <v>10</v>
      </c>
      <c r="D345" s="2" t="s">
        <v>431</v>
      </c>
      <c r="E345" s="6">
        <v>5210</v>
      </c>
      <c r="F345" s="23" t="s">
        <v>288</v>
      </c>
      <c r="G345" s="23" t="s">
        <v>288</v>
      </c>
      <c r="H345" s="23" t="s">
        <v>288</v>
      </c>
      <c r="I345" s="23" t="s">
        <v>288</v>
      </c>
      <c r="J345" s="23" t="s">
        <v>288</v>
      </c>
      <c r="K345" s="18"/>
      <c r="L345" s="13">
        <f t="shared" ref="L345:L351" si="21">SUM(F345:K345)</f>
        <v>0</v>
      </c>
      <c r="M345" s="8"/>
      <c r="N345" s="164"/>
    </row>
    <row r="346" spans="1:43" s="3" customFormat="1" ht="12.2" customHeight="1" x14ac:dyDescent="0.15">
      <c r="A346" s="1" t="s">
        <v>602</v>
      </c>
      <c r="B346" s="6">
        <v>14</v>
      </c>
      <c r="C346" s="6">
        <v>11</v>
      </c>
      <c r="D346" s="2" t="s">
        <v>431</v>
      </c>
      <c r="E346" s="6">
        <v>5221</v>
      </c>
      <c r="F346" s="23" t="s">
        <v>288</v>
      </c>
      <c r="G346" s="23" t="s">
        <v>288</v>
      </c>
      <c r="H346" s="23" t="s">
        <v>288</v>
      </c>
      <c r="I346" s="23" t="s">
        <v>288</v>
      </c>
      <c r="J346" s="23" t="s">
        <v>288</v>
      </c>
      <c r="K346" s="18"/>
      <c r="L346" s="13">
        <f t="shared" si="21"/>
        <v>0</v>
      </c>
      <c r="M346" s="8"/>
      <c r="N346" s="164"/>
    </row>
    <row r="347" spans="1:43" s="3" customFormat="1" ht="12.2" customHeight="1" x14ac:dyDescent="0.15">
      <c r="A347" s="1" t="s">
        <v>539</v>
      </c>
      <c r="B347" s="6">
        <v>14</v>
      </c>
      <c r="C347" s="6">
        <v>12</v>
      </c>
      <c r="D347" s="2" t="s">
        <v>431</v>
      </c>
      <c r="E347" s="6">
        <v>5230</v>
      </c>
      <c r="F347" s="23" t="s">
        <v>288</v>
      </c>
      <c r="G347" s="23" t="s">
        <v>288</v>
      </c>
      <c r="H347" s="23" t="s">
        <v>288</v>
      </c>
      <c r="I347" s="23" t="s">
        <v>288</v>
      </c>
      <c r="J347" s="23" t="s">
        <v>288</v>
      </c>
      <c r="K347" s="18"/>
      <c r="L347" s="13">
        <f t="shared" si="21"/>
        <v>0</v>
      </c>
      <c r="M347" s="8"/>
      <c r="N347" s="164"/>
    </row>
    <row r="348" spans="1:43" s="3" customFormat="1" ht="12.2" customHeight="1" x14ac:dyDescent="0.15">
      <c r="A348" s="3" t="s">
        <v>540</v>
      </c>
      <c r="B348" s="6">
        <v>14</v>
      </c>
      <c r="C348" s="6">
        <v>13</v>
      </c>
      <c r="D348" s="2" t="s">
        <v>431</v>
      </c>
      <c r="E348" s="6">
        <v>5250</v>
      </c>
      <c r="F348" s="23" t="s">
        <v>288</v>
      </c>
      <c r="G348" s="23" t="s">
        <v>288</v>
      </c>
      <c r="H348" s="23" t="s">
        <v>288</v>
      </c>
      <c r="I348" s="23" t="s">
        <v>288</v>
      </c>
      <c r="J348" s="23" t="s">
        <v>288</v>
      </c>
      <c r="K348" s="18"/>
      <c r="L348" s="13">
        <f t="shared" si="21"/>
        <v>0</v>
      </c>
      <c r="M348" s="8"/>
      <c r="N348" s="164"/>
    </row>
    <row r="349" spans="1:43" s="3" customFormat="1" ht="12.2" customHeight="1" x14ac:dyDescent="0.15">
      <c r="A349" s="26" t="s">
        <v>560</v>
      </c>
      <c r="B349" s="2"/>
      <c r="C349" s="6"/>
      <c r="D349" s="6"/>
      <c r="E349" s="6">
        <v>5300</v>
      </c>
      <c r="F349" s="23" t="s">
        <v>288</v>
      </c>
      <c r="G349" s="23" t="s">
        <v>288</v>
      </c>
      <c r="H349" s="23" t="s">
        <v>288</v>
      </c>
      <c r="I349" s="23" t="s">
        <v>288</v>
      </c>
      <c r="J349" s="23" t="s">
        <v>288</v>
      </c>
      <c r="K349" s="23" t="s">
        <v>288</v>
      </c>
      <c r="L349" s="23" t="s">
        <v>288</v>
      </c>
      <c r="M349" s="8"/>
      <c r="N349" s="164"/>
    </row>
    <row r="350" spans="1:43" s="3" customFormat="1" ht="12.2" customHeight="1" x14ac:dyDescent="0.15">
      <c r="A350" s="1" t="s">
        <v>536</v>
      </c>
      <c r="B350" s="6">
        <v>14</v>
      </c>
      <c r="C350" s="6">
        <v>14</v>
      </c>
      <c r="D350" s="2" t="s">
        <v>431</v>
      </c>
      <c r="E350" s="6">
        <v>5310</v>
      </c>
      <c r="F350" s="23" t="s">
        <v>288</v>
      </c>
      <c r="G350" s="23" t="s">
        <v>288</v>
      </c>
      <c r="H350" s="23" t="s">
        <v>288</v>
      </c>
      <c r="I350" s="23" t="s">
        <v>288</v>
      </c>
      <c r="J350" s="23" t="s">
        <v>288</v>
      </c>
      <c r="K350" s="18"/>
      <c r="L350" s="13">
        <f t="shared" si="21"/>
        <v>0</v>
      </c>
      <c r="M350" s="8"/>
      <c r="N350" s="164"/>
    </row>
    <row r="351" spans="1:43" s="3" customFormat="1" ht="12.2" customHeight="1" thickBot="1" x14ac:dyDescent="0.2">
      <c r="A351" s="1" t="s">
        <v>537</v>
      </c>
      <c r="B351" s="6">
        <v>14</v>
      </c>
      <c r="C351" s="6">
        <v>15</v>
      </c>
      <c r="D351" s="2" t="s">
        <v>431</v>
      </c>
      <c r="E351" s="6">
        <v>5390</v>
      </c>
      <c r="F351" s="23" t="s">
        <v>288</v>
      </c>
      <c r="G351" s="23" t="s">
        <v>288</v>
      </c>
      <c r="H351" s="23" t="s">
        <v>288</v>
      </c>
      <c r="I351" s="23" t="s">
        <v>288</v>
      </c>
      <c r="J351" s="23" t="s">
        <v>288</v>
      </c>
      <c r="K351" s="18"/>
      <c r="L351" s="13">
        <f t="shared" si="21"/>
        <v>0</v>
      </c>
      <c r="M351" s="8"/>
      <c r="N351" s="164"/>
    </row>
    <row r="352" spans="1:43" s="12" customFormat="1" ht="12.2" customHeight="1" thickTop="1" thickBot="1" x14ac:dyDescent="0.25">
      <c r="A352" s="43" t="s">
        <v>420</v>
      </c>
      <c r="B352" s="37">
        <v>14</v>
      </c>
      <c r="C352" s="47">
        <v>16</v>
      </c>
      <c r="D352" s="36" t="s">
        <v>431</v>
      </c>
      <c r="E352" s="37"/>
      <c r="F352" s="42" t="s">
        <v>288</v>
      </c>
      <c r="G352" s="42" t="s">
        <v>288</v>
      </c>
      <c r="H352" s="42" t="s">
        <v>288</v>
      </c>
      <c r="I352" s="42" t="s">
        <v>288</v>
      </c>
      <c r="J352" s="42" t="s">
        <v>288</v>
      </c>
      <c r="K352" s="38">
        <f>SUM(K342:K351)</f>
        <v>0</v>
      </c>
      <c r="L352" s="38">
        <f>SUM(L342:L351)</f>
        <v>0</v>
      </c>
      <c r="M352"/>
      <c r="N352" s="130"/>
      <c r="O352"/>
      <c r="P352"/>
      <c r="Q352"/>
      <c r="R352" s="3"/>
      <c r="S352" s="3"/>
      <c r="T352" s="3"/>
      <c r="U352" s="3"/>
      <c r="V352" s="3"/>
      <c r="AH352"/>
      <c r="AI352"/>
      <c r="AJ352"/>
      <c r="AK352"/>
      <c r="AL352"/>
      <c r="AM352"/>
      <c r="AN352"/>
      <c r="AO352"/>
      <c r="AP352"/>
      <c r="AQ352"/>
    </row>
    <row r="353" spans="1:22" s="3" customFormat="1" ht="12.2" customHeight="1" thickTop="1" x14ac:dyDescent="0.15">
      <c r="A353" s="35" t="s">
        <v>469</v>
      </c>
      <c r="B353" s="37">
        <v>14</v>
      </c>
      <c r="C353" s="37">
        <v>17</v>
      </c>
      <c r="D353" s="36" t="s">
        <v>431</v>
      </c>
      <c r="E353" s="37"/>
      <c r="F353" s="38">
        <f>F339</f>
        <v>636220.3899999999</v>
      </c>
      <c r="G353" s="38">
        <f>G339</f>
        <v>89821.95</v>
      </c>
      <c r="H353" s="38">
        <f>H339</f>
        <v>219631.90000000002</v>
      </c>
      <c r="I353" s="38">
        <f>I339</f>
        <v>260128</v>
      </c>
      <c r="J353" s="38">
        <f>J339</f>
        <v>17712.96</v>
      </c>
      <c r="K353" s="38">
        <f>K339+K352</f>
        <v>18250.919999999998</v>
      </c>
      <c r="L353" s="38">
        <f>L339+L352</f>
        <v>1241766.1200000001</v>
      </c>
      <c r="M353" s="8"/>
      <c r="N353" s="164"/>
    </row>
    <row r="354" spans="1:22" s="3" customFormat="1" ht="12.2" customHeight="1" x14ac:dyDescent="0.15">
      <c r="A354" s="28"/>
      <c r="B354" s="6"/>
      <c r="C354" s="22"/>
      <c r="D354" s="22"/>
      <c r="E354" s="22"/>
      <c r="F354" s="13"/>
      <c r="G354" s="13"/>
      <c r="H354" s="13"/>
      <c r="I354" s="13"/>
      <c r="J354" s="13"/>
      <c r="K354" s="13"/>
      <c r="L354" s="13"/>
      <c r="M354" s="8"/>
      <c r="N354" s="164"/>
    </row>
    <row r="355" spans="1:22" s="3" customFormat="1" ht="12.2" customHeight="1" x14ac:dyDescent="0.2">
      <c r="A355" s="32"/>
      <c r="B355"/>
      <c r="C355"/>
      <c r="D355"/>
      <c r="E355"/>
      <c r="F355" s="15" t="s">
        <v>689</v>
      </c>
      <c r="G355" s="15" t="s">
        <v>690</v>
      </c>
      <c r="H355" s="15" t="s">
        <v>691</v>
      </c>
      <c r="I355" s="15" t="s">
        <v>692</v>
      </c>
      <c r="J355" s="15" t="s">
        <v>693</v>
      </c>
      <c r="K355" s="15" t="s">
        <v>694</v>
      </c>
      <c r="L355" s="19"/>
      <c r="M355" s="8"/>
      <c r="N355" s="164"/>
    </row>
    <row r="356" spans="1:22" s="3" customFormat="1" ht="12.2" customHeight="1" x14ac:dyDescent="0.15">
      <c r="A356" s="28" t="s">
        <v>281</v>
      </c>
      <c r="F356" s="79" t="s">
        <v>54</v>
      </c>
      <c r="G356" s="79" t="s">
        <v>55</v>
      </c>
      <c r="H356" s="79" t="s">
        <v>56</v>
      </c>
      <c r="I356" s="79" t="s">
        <v>57</v>
      </c>
      <c r="J356" s="79" t="s">
        <v>58</v>
      </c>
      <c r="K356" s="79" t="s">
        <v>59</v>
      </c>
      <c r="L356" s="79" t="s">
        <v>5</v>
      </c>
      <c r="M356" s="8"/>
      <c r="N356" s="164"/>
    </row>
    <row r="357" spans="1:22" s="3" customFormat="1" ht="12.2" customHeight="1" x14ac:dyDescent="0.15">
      <c r="A357" s="26" t="s">
        <v>460</v>
      </c>
      <c r="B357" s="7"/>
      <c r="C357" s="7"/>
      <c r="D357" s="7"/>
      <c r="E357" s="6">
        <v>3000</v>
      </c>
      <c r="F357" s="23" t="s">
        <v>288</v>
      </c>
      <c r="G357" s="23" t="s">
        <v>288</v>
      </c>
      <c r="H357" s="23" t="s">
        <v>288</v>
      </c>
      <c r="I357" s="23" t="s">
        <v>288</v>
      </c>
      <c r="J357" s="23" t="s">
        <v>288</v>
      </c>
      <c r="K357" s="23" t="s">
        <v>288</v>
      </c>
      <c r="L357" s="23" t="s">
        <v>288</v>
      </c>
      <c r="M357" s="8"/>
      <c r="N357" s="164"/>
    </row>
    <row r="358" spans="1:22" ht="12.2" customHeight="1" x14ac:dyDescent="0.2">
      <c r="A358" s="29" t="s">
        <v>364</v>
      </c>
      <c r="B358" s="2"/>
      <c r="C358" s="2"/>
      <c r="D358" s="2"/>
      <c r="E358" s="6">
        <v>3100</v>
      </c>
      <c r="F358" s="23" t="s">
        <v>288</v>
      </c>
      <c r="G358" s="23" t="s">
        <v>288</v>
      </c>
      <c r="H358" s="23" t="s">
        <v>288</v>
      </c>
      <c r="I358" s="23" t="s">
        <v>288</v>
      </c>
      <c r="J358" s="23" t="s">
        <v>288</v>
      </c>
      <c r="K358" s="23" t="s">
        <v>288</v>
      </c>
      <c r="L358" s="23" t="s">
        <v>288</v>
      </c>
      <c r="N358" s="130"/>
      <c r="R358" s="3"/>
      <c r="S358" s="3"/>
      <c r="T358" s="3"/>
      <c r="U358" s="3"/>
      <c r="V358" s="3"/>
    </row>
    <row r="359" spans="1:22" s="3" customFormat="1" ht="12.2" customHeight="1" x14ac:dyDescent="0.15">
      <c r="A359" s="3" t="s">
        <v>541</v>
      </c>
      <c r="B359" s="2" t="s">
        <v>366</v>
      </c>
      <c r="C359" s="6">
        <v>1</v>
      </c>
      <c r="D359" s="2" t="s">
        <v>431</v>
      </c>
      <c r="E359" s="6"/>
      <c r="F359" s="18">
        <v>125921.75</v>
      </c>
      <c r="G359" s="18">
        <v>53968.45</v>
      </c>
      <c r="H359" s="18">
        <v>5757.03</v>
      </c>
      <c r="I359" s="18">
        <f>7569.99+141558.11</f>
        <v>149128.09999999998</v>
      </c>
      <c r="J359" s="18">
        <v>21151.43</v>
      </c>
      <c r="K359" s="18">
        <v>360</v>
      </c>
      <c r="L359" s="13">
        <f>SUM(F359:K359)</f>
        <v>356286.75999999995</v>
      </c>
      <c r="M359" s="8"/>
      <c r="N359" s="164"/>
    </row>
    <row r="360" spans="1:22" s="3" customFormat="1" ht="12.2" customHeight="1" x14ac:dyDescent="0.15">
      <c r="A360" s="1" t="s">
        <v>542</v>
      </c>
      <c r="B360" s="2" t="s">
        <v>366</v>
      </c>
      <c r="C360" s="6">
        <v>2</v>
      </c>
      <c r="D360" s="2" t="s">
        <v>431</v>
      </c>
      <c r="E360" s="6"/>
      <c r="F360" s="18"/>
      <c r="G360" s="18"/>
      <c r="H360" s="18"/>
      <c r="I360" s="18"/>
      <c r="J360" s="18"/>
      <c r="K360" s="18"/>
      <c r="L360" s="13">
        <f>SUM(F360:K360)</f>
        <v>0</v>
      </c>
      <c r="M360" s="8"/>
      <c r="N360" s="164"/>
    </row>
    <row r="361" spans="1:22" s="3" customFormat="1" ht="12.2" customHeight="1" x14ac:dyDescent="0.15">
      <c r="A361" s="3" t="s">
        <v>543</v>
      </c>
      <c r="B361" s="2" t="s">
        <v>366</v>
      </c>
      <c r="C361" s="6">
        <v>3</v>
      </c>
      <c r="D361" s="2" t="s">
        <v>431</v>
      </c>
      <c r="E361" s="6"/>
      <c r="F361" s="18">
        <v>153904.35999999999</v>
      </c>
      <c r="G361" s="18">
        <v>65961.440000000002</v>
      </c>
      <c r="H361" s="18">
        <v>7036.37</v>
      </c>
      <c r="I361" s="18">
        <f>9252.22+173015.7</f>
        <v>182267.92</v>
      </c>
      <c r="J361" s="18">
        <v>25851.74</v>
      </c>
      <c r="K361" s="18">
        <v>440</v>
      </c>
      <c r="L361" s="13">
        <f>SUM(F361:K361)</f>
        <v>435461.82999999996</v>
      </c>
      <c r="M361" s="8"/>
      <c r="N361" s="164"/>
    </row>
    <row r="362" spans="1:22" s="3" customFormat="1" ht="12.2" customHeight="1" thickBot="1" x14ac:dyDescent="0.2">
      <c r="A362" s="1" t="s">
        <v>368</v>
      </c>
      <c r="B362" s="2" t="s">
        <v>366</v>
      </c>
      <c r="C362" s="6">
        <v>4</v>
      </c>
      <c r="D362" s="2" t="s">
        <v>431</v>
      </c>
      <c r="E362" s="6">
        <v>5200</v>
      </c>
      <c r="F362" s="23" t="s">
        <v>288</v>
      </c>
      <c r="G362" s="23" t="s">
        <v>288</v>
      </c>
      <c r="H362" s="23" t="s">
        <v>288</v>
      </c>
      <c r="I362" s="23" t="s">
        <v>288</v>
      </c>
      <c r="J362" s="23" t="s">
        <v>288</v>
      </c>
      <c r="K362" s="18"/>
      <c r="L362" s="13">
        <f>SUM(F362:K362)</f>
        <v>0</v>
      </c>
      <c r="M362" s="8"/>
      <c r="N362" s="164"/>
    </row>
    <row r="363" spans="1:22" s="3" customFormat="1" ht="12.2" customHeight="1" thickTop="1" x14ac:dyDescent="0.15">
      <c r="A363" s="43" t="s">
        <v>469</v>
      </c>
      <c r="B363" s="36" t="s">
        <v>366</v>
      </c>
      <c r="C363" s="37">
        <v>5</v>
      </c>
      <c r="D363" s="36" t="s">
        <v>431</v>
      </c>
      <c r="E363" s="37"/>
      <c r="F363" s="38">
        <f t="shared" ref="F363:L363" si="22">SUM(F359:F362)</f>
        <v>279826.11</v>
      </c>
      <c r="G363" s="38">
        <f t="shared" si="22"/>
        <v>119929.89</v>
      </c>
      <c r="H363" s="38">
        <f t="shared" si="22"/>
        <v>12793.4</v>
      </c>
      <c r="I363" s="38">
        <f t="shared" si="22"/>
        <v>331396.02</v>
      </c>
      <c r="J363" s="38">
        <f t="shared" si="22"/>
        <v>47003.17</v>
      </c>
      <c r="K363" s="38">
        <f t="shared" si="22"/>
        <v>800</v>
      </c>
      <c r="L363" s="38">
        <f t="shared" si="22"/>
        <v>791748.58999999985</v>
      </c>
      <c r="M363" s="8"/>
      <c r="N363" s="164"/>
    </row>
    <row r="364" spans="1:22" s="3" customFormat="1" ht="12.2" customHeight="1" x14ac:dyDescent="0.15">
      <c r="A364" s="33"/>
      <c r="B364" s="2"/>
      <c r="C364" s="6"/>
      <c r="D364" s="6"/>
      <c r="E364" s="6"/>
      <c r="F364" s="13"/>
      <c r="G364" s="13"/>
      <c r="H364" s="13"/>
      <c r="I364" s="13"/>
      <c r="J364" s="13"/>
      <c r="K364" s="13"/>
      <c r="L364" s="13"/>
      <c r="M364" s="8"/>
      <c r="N364" s="164"/>
    </row>
    <row r="365" spans="1:22" s="3" customFormat="1" ht="12.2" customHeight="1" x14ac:dyDescent="0.15">
      <c r="A365" s="33" t="s">
        <v>369</v>
      </c>
      <c r="B365" s="2"/>
      <c r="C365" s="6"/>
      <c r="D365" s="6"/>
      <c r="E365" s="6"/>
      <c r="F365" s="13"/>
      <c r="G365" s="13"/>
      <c r="H365" s="13"/>
      <c r="I365" s="13"/>
      <c r="J365" s="13"/>
      <c r="K365" s="13"/>
      <c r="L365" s="13"/>
      <c r="M365" s="8"/>
      <c r="N365" s="164"/>
    </row>
    <row r="366" spans="1:22" s="3" customFormat="1" ht="12.2" customHeight="1" x14ac:dyDescent="0.15">
      <c r="A366" s="33"/>
      <c r="B366" s="2"/>
      <c r="C366" s="6"/>
      <c r="D366" s="6"/>
      <c r="E366" s="6"/>
      <c r="F366" s="48" t="s">
        <v>264</v>
      </c>
      <c r="G366" s="48" t="s">
        <v>265</v>
      </c>
      <c r="H366" s="48" t="s">
        <v>266</v>
      </c>
      <c r="I366" s="48" t="s">
        <v>267</v>
      </c>
      <c r="J366" s="13"/>
      <c r="K366" s="13"/>
      <c r="L366" s="13"/>
      <c r="M366" s="8"/>
      <c r="N366" s="164"/>
    </row>
    <row r="367" spans="1:22" s="3" customFormat="1" ht="12.2" customHeight="1" x14ac:dyDescent="0.15">
      <c r="A367" s="33"/>
      <c r="B367" s="2"/>
      <c r="C367" s="6"/>
      <c r="D367" s="6"/>
      <c r="E367" s="6"/>
      <c r="F367" s="49" t="s">
        <v>365</v>
      </c>
      <c r="G367" s="50" t="s">
        <v>370</v>
      </c>
      <c r="H367" s="50" t="s">
        <v>367</v>
      </c>
      <c r="I367" s="50" t="s">
        <v>340</v>
      </c>
      <c r="J367" s="23" t="s">
        <v>288</v>
      </c>
      <c r="K367" s="23" t="s">
        <v>288</v>
      </c>
      <c r="L367" s="23" t="s">
        <v>288</v>
      </c>
      <c r="M367" s="8"/>
      <c r="N367" s="164"/>
    </row>
    <row r="368" spans="1:22" s="3" customFormat="1" ht="12.2" customHeight="1" x14ac:dyDescent="0.15">
      <c r="A368" s="3" t="s">
        <v>371</v>
      </c>
      <c r="B368" s="2" t="s">
        <v>366</v>
      </c>
      <c r="C368" s="2" t="s">
        <v>295</v>
      </c>
      <c r="D368" s="2" t="s">
        <v>432</v>
      </c>
      <c r="E368" s="2"/>
      <c r="F368" s="18">
        <f>141558.11</f>
        <v>141558.10999999999</v>
      </c>
      <c r="G368" s="18"/>
      <c r="H368" s="18">
        <v>173015.7</v>
      </c>
      <c r="I368" s="13">
        <f>SUM(F368:H368)</f>
        <v>314573.81</v>
      </c>
      <c r="J368" s="23" t="s">
        <v>288</v>
      </c>
      <c r="K368" s="23" t="s">
        <v>288</v>
      </c>
      <c r="L368" s="23" t="s">
        <v>288</v>
      </c>
      <c r="M368" s="8"/>
      <c r="N368" s="164"/>
    </row>
    <row r="369" spans="1:14" s="3" customFormat="1" ht="12.2" customHeight="1" thickBot="1" x14ac:dyDescent="0.2">
      <c r="A369" s="51" t="s">
        <v>372</v>
      </c>
      <c r="B369" s="52" t="s">
        <v>366</v>
      </c>
      <c r="C369" s="52" t="s">
        <v>296</v>
      </c>
      <c r="D369" s="2" t="s">
        <v>432</v>
      </c>
      <c r="E369" s="52"/>
      <c r="F369" s="53">
        <v>7569.99</v>
      </c>
      <c r="G369" s="53"/>
      <c r="H369" s="53">
        <v>9252.2199999999993</v>
      </c>
      <c r="I369" s="13">
        <f>SUM(F369:H369)</f>
        <v>16822.21</v>
      </c>
      <c r="J369" s="23" t="s">
        <v>288</v>
      </c>
      <c r="K369" s="23" t="s">
        <v>288</v>
      </c>
      <c r="L369" s="23" t="s">
        <v>288</v>
      </c>
      <c r="M369" s="8"/>
      <c r="N369" s="164"/>
    </row>
    <row r="370" spans="1:14" s="3" customFormat="1" ht="12.2" customHeight="1" thickTop="1" x14ac:dyDescent="0.15">
      <c r="A370" s="33" t="s">
        <v>340</v>
      </c>
      <c r="B370" s="2" t="s">
        <v>366</v>
      </c>
      <c r="C370" s="2" t="s">
        <v>297</v>
      </c>
      <c r="D370" s="36" t="s">
        <v>432</v>
      </c>
      <c r="E370" s="2"/>
      <c r="F370" s="38">
        <f>SUM(F368:F369)</f>
        <v>149128.09999999998</v>
      </c>
      <c r="G370" s="38">
        <f>SUM(G368:G369)</f>
        <v>0</v>
      </c>
      <c r="H370" s="38">
        <f>SUM(H368:H369)</f>
        <v>182267.92</v>
      </c>
      <c r="I370" s="38">
        <f>SUM(I368:I369)</f>
        <v>331396.02</v>
      </c>
      <c r="J370" s="23" t="s">
        <v>288</v>
      </c>
      <c r="K370" s="23" t="s">
        <v>288</v>
      </c>
      <c r="L370" s="23" t="s">
        <v>288</v>
      </c>
      <c r="M370" s="8"/>
      <c r="N370" s="164"/>
    </row>
    <row r="371" spans="1:14" s="3" customFormat="1" ht="12.2" customHeight="1" x14ac:dyDescent="0.15">
      <c r="A371" s="33"/>
      <c r="B371" s="2"/>
      <c r="C371" s="2"/>
      <c r="D371" s="2"/>
      <c r="E371" s="2"/>
      <c r="F371" s="18"/>
      <c r="G371" s="18"/>
      <c r="H371" s="18"/>
      <c r="I371" s="13"/>
      <c r="J371" s="13"/>
      <c r="K371" s="13"/>
      <c r="L371" s="13"/>
      <c r="M371" s="8"/>
      <c r="N371" s="164"/>
    </row>
    <row r="372" spans="1:14" s="3" customFormat="1" ht="12.2" customHeight="1" x14ac:dyDescent="0.15">
      <c r="A372" s="33" t="s">
        <v>283</v>
      </c>
      <c r="B372" s="2"/>
      <c r="C372" s="2"/>
      <c r="D372" s="2"/>
      <c r="E372" s="2"/>
      <c r="F372" s="15" t="s">
        <v>689</v>
      </c>
      <c r="G372" s="15" t="s">
        <v>690</v>
      </c>
      <c r="H372" s="15" t="s">
        <v>691</v>
      </c>
      <c r="I372" s="15" t="s">
        <v>692</v>
      </c>
      <c r="J372" s="15" t="s">
        <v>693</v>
      </c>
      <c r="K372" s="15" t="s">
        <v>694</v>
      </c>
      <c r="L372" s="13"/>
      <c r="M372" s="8"/>
      <c r="N372" s="164"/>
    </row>
    <row r="373" spans="1:14" s="3" customFormat="1" ht="12.2" customHeight="1" x14ac:dyDescent="0.15">
      <c r="A373" s="33" t="s">
        <v>363</v>
      </c>
      <c r="B373" s="2"/>
      <c r="C373" s="2"/>
      <c r="D373" s="2"/>
      <c r="E373" s="2"/>
      <c r="F373" s="79" t="s">
        <v>54</v>
      </c>
      <c r="G373" s="79" t="s">
        <v>55</v>
      </c>
      <c r="H373" s="79" t="s">
        <v>56</v>
      </c>
      <c r="I373" s="79" t="s">
        <v>57</v>
      </c>
      <c r="J373" s="79" t="s">
        <v>58</v>
      </c>
      <c r="K373" s="79" t="s">
        <v>59</v>
      </c>
      <c r="L373" s="79" t="s">
        <v>5</v>
      </c>
      <c r="M373" s="8"/>
      <c r="N373" s="164"/>
    </row>
    <row r="374" spans="1:14" s="3" customFormat="1" ht="12.2" customHeight="1" x14ac:dyDescent="0.15">
      <c r="A374" s="26" t="s">
        <v>373</v>
      </c>
      <c r="B374" s="2"/>
      <c r="C374" s="2"/>
      <c r="D374" s="2"/>
      <c r="E374" s="6">
        <v>4000</v>
      </c>
      <c r="F374" s="23" t="s">
        <v>288</v>
      </c>
      <c r="G374" s="23" t="s">
        <v>288</v>
      </c>
      <c r="H374" s="23" t="s">
        <v>288</v>
      </c>
      <c r="I374" s="23" t="s">
        <v>288</v>
      </c>
      <c r="J374" s="23" t="s">
        <v>288</v>
      </c>
      <c r="K374" s="23" t="s">
        <v>288</v>
      </c>
      <c r="L374" s="23" t="s">
        <v>288</v>
      </c>
      <c r="M374" s="8"/>
      <c r="N374" s="164"/>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164"/>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164"/>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164"/>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164"/>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164"/>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164"/>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164"/>
    </row>
    <row r="382" spans="1:14" s="3" customFormat="1" ht="12.2" customHeight="1" thickBot="1" x14ac:dyDescent="0.2">
      <c r="A382" s="1" t="s">
        <v>368</v>
      </c>
      <c r="B382" s="2" t="s">
        <v>366</v>
      </c>
      <c r="C382" s="2" t="s">
        <v>348</v>
      </c>
      <c r="D382" s="2" t="s">
        <v>431</v>
      </c>
      <c r="E382" s="6">
        <v>5200</v>
      </c>
      <c r="F382" s="23" t="s">
        <v>288</v>
      </c>
      <c r="G382" s="23" t="s">
        <v>288</v>
      </c>
      <c r="H382" s="23" t="s">
        <v>288</v>
      </c>
      <c r="I382" s="23" t="s">
        <v>288</v>
      </c>
      <c r="J382" s="23" t="s">
        <v>288</v>
      </c>
      <c r="K382" s="18"/>
      <c r="L382" s="13">
        <f t="shared" si="23"/>
        <v>0</v>
      </c>
      <c r="M382" s="8"/>
      <c r="N382" s="164"/>
    </row>
    <row r="383" spans="1:14" s="3" customFormat="1" ht="12.2" customHeight="1" thickTop="1" x14ac:dyDescent="0.15">
      <c r="A383" s="43" t="s">
        <v>469</v>
      </c>
      <c r="B383" s="36" t="s">
        <v>366</v>
      </c>
      <c r="C383" s="36" t="s">
        <v>349</v>
      </c>
      <c r="D383" s="36" t="s">
        <v>431</v>
      </c>
      <c r="E383" s="36"/>
      <c r="F383" s="97">
        <f>SUM(F375:F382)</f>
        <v>0</v>
      </c>
      <c r="G383" s="97">
        <f t="shared" ref="G383:L383" si="24">SUM(G375:G382)</f>
        <v>0</v>
      </c>
      <c r="H383" s="97">
        <f t="shared" si="24"/>
        <v>0</v>
      </c>
      <c r="I383" s="38">
        <f t="shared" si="24"/>
        <v>0</v>
      </c>
      <c r="J383" s="38">
        <f t="shared" si="24"/>
        <v>0</v>
      </c>
      <c r="K383" s="38">
        <f t="shared" si="24"/>
        <v>0</v>
      </c>
      <c r="L383" s="38">
        <f t="shared" si="24"/>
        <v>0</v>
      </c>
      <c r="M383" s="8"/>
      <c r="N383" s="164"/>
    </row>
    <row r="384" spans="1:14" s="3" customFormat="1" ht="12.2" customHeight="1" x14ac:dyDescent="0.15">
      <c r="A384" s="28"/>
      <c r="B384" s="2"/>
      <c r="C384" s="2"/>
      <c r="D384" s="2"/>
      <c r="E384" s="2"/>
      <c r="F384" s="55"/>
      <c r="G384" s="55"/>
      <c r="H384" s="55"/>
      <c r="I384" s="13"/>
      <c r="J384" s="13"/>
      <c r="K384" s="13"/>
      <c r="L384" s="13"/>
      <c r="M384" s="8"/>
      <c r="N384" s="164"/>
    </row>
    <row r="385" spans="1:14" s="3" customFormat="1" ht="12.2" customHeight="1" x14ac:dyDescent="0.15">
      <c r="A385" s="25" t="s">
        <v>482</v>
      </c>
      <c r="B385" s="60"/>
      <c r="C385" s="60"/>
      <c r="D385" s="60"/>
      <c r="E385" s="60"/>
      <c r="F385" s="55"/>
      <c r="G385" s="55"/>
      <c r="H385" s="55"/>
      <c r="I385" s="13"/>
      <c r="J385" s="13"/>
      <c r="K385" s="13"/>
      <c r="L385" s="13"/>
      <c r="M385" s="8"/>
      <c r="N385" s="164"/>
    </row>
    <row r="386" spans="1:14" s="3" customFormat="1" ht="12.2" customHeight="1" x14ac:dyDescent="0.15">
      <c r="A386" s="25" t="s">
        <v>483</v>
      </c>
      <c r="B386" s="2"/>
      <c r="C386" s="2"/>
      <c r="D386" s="2"/>
      <c r="E386" s="2"/>
      <c r="F386" s="16"/>
      <c r="G386" s="16" t="s">
        <v>374</v>
      </c>
      <c r="H386" s="16" t="s">
        <v>375</v>
      </c>
      <c r="I386" s="16" t="s">
        <v>310</v>
      </c>
      <c r="J386" s="13"/>
      <c r="K386" s="13"/>
      <c r="L386" s="13"/>
      <c r="M386" s="8"/>
      <c r="N386" s="164"/>
    </row>
    <row r="387" spans="1:14" s="3" customFormat="1" ht="12.2" customHeight="1" x14ac:dyDescent="0.15">
      <c r="A387" s="25" t="s">
        <v>376</v>
      </c>
      <c r="B387" s="2"/>
      <c r="C387" s="2"/>
      <c r="D387" s="2"/>
      <c r="F387" s="16" t="s">
        <v>377</v>
      </c>
      <c r="G387" s="16" t="s">
        <v>378</v>
      </c>
      <c r="H387" s="16" t="s">
        <v>379</v>
      </c>
      <c r="I387" s="16" t="s">
        <v>380</v>
      </c>
      <c r="J387" s="13"/>
      <c r="K387" s="13"/>
      <c r="L387" s="16" t="s">
        <v>340</v>
      </c>
      <c r="M387" s="8"/>
      <c r="N387" s="164"/>
    </row>
    <row r="388" spans="1:14" s="3" customFormat="1" ht="12.2" customHeight="1" x14ac:dyDescent="0.15">
      <c r="A388" s="62" t="s">
        <v>550</v>
      </c>
      <c r="B388" s="2" t="s">
        <v>381</v>
      </c>
      <c r="C388" s="6">
        <v>1</v>
      </c>
      <c r="D388" s="2" t="s">
        <v>432</v>
      </c>
      <c r="F388" s="18"/>
      <c r="G388" s="18"/>
      <c r="H388" s="18"/>
      <c r="I388" s="18"/>
      <c r="J388" s="23" t="s">
        <v>288</v>
      </c>
      <c r="K388" s="23" t="s">
        <v>288</v>
      </c>
      <c r="L388" s="13">
        <f t="shared" ref="L388:L393" si="25">SUM(F388:K388)</f>
        <v>0</v>
      </c>
      <c r="M388" s="8"/>
      <c r="N388" s="164"/>
    </row>
    <row r="389" spans="1:14" s="3" customFormat="1" ht="12.2" customHeight="1" x14ac:dyDescent="0.15">
      <c r="A389" s="62" t="s">
        <v>551</v>
      </c>
      <c r="B389" s="2" t="s">
        <v>381</v>
      </c>
      <c r="C389" s="6">
        <v>2</v>
      </c>
      <c r="D389" s="2" t="s">
        <v>432</v>
      </c>
      <c r="E389" s="6"/>
      <c r="F389" s="18"/>
      <c r="G389" s="18"/>
      <c r="H389" s="18"/>
      <c r="I389" s="18"/>
      <c r="J389" s="23" t="s">
        <v>288</v>
      </c>
      <c r="K389" s="23" t="s">
        <v>288</v>
      </c>
      <c r="L389" s="13">
        <f t="shared" si="25"/>
        <v>0</v>
      </c>
      <c r="M389" s="8"/>
      <c r="N389" s="164"/>
    </row>
    <row r="390" spans="1:14" s="3" customFormat="1" ht="12.2" customHeight="1" x14ac:dyDescent="0.15">
      <c r="A390" s="62" t="s">
        <v>552</v>
      </c>
      <c r="B390" s="2" t="s">
        <v>381</v>
      </c>
      <c r="C390" s="6">
        <v>3</v>
      </c>
      <c r="D390" s="2" t="s">
        <v>432</v>
      </c>
      <c r="E390" s="6"/>
      <c r="F390" s="18"/>
      <c r="G390" s="18">
        <v>205000</v>
      </c>
      <c r="H390" s="18">
        <f>15352-5166.31+33091-7409.08</f>
        <v>35867.61</v>
      </c>
      <c r="I390" s="18"/>
      <c r="J390" s="23" t="s">
        <v>288</v>
      </c>
      <c r="K390" s="23" t="s">
        <v>288</v>
      </c>
      <c r="L390" s="13">
        <f t="shared" si="25"/>
        <v>240867.61</v>
      </c>
      <c r="M390" s="8"/>
      <c r="N390" s="164"/>
    </row>
    <row r="391" spans="1:14" s="3" customFormat="1" ht="12.2" customHeight="1" x14ac:dyDescent="0.15">
      <c r="A391" s="62" t="s">
        <v>553</v>
      </c>
      <c r="B391" s="2" t="s">
        <v>381</v>
      </c>
      <c r="C391" s="6">
        <v>4</v>
      </c>
      <c r="D391" s="2" t="s">
        <v>432</v>
      </c>
      <c r="E391" s="6"/>
      <c r="F391" s="18"/>
      <c r="G391" s="18"/>
      <c r="H391" s="18"/>
      <c r="I391" s="18"/>
      <c r="J391" s="23" t="s">
        <v>288</v>
      </c>
      <c r="K391" s="23" t="s">
        <v>288</v>
      </c>
      <c r="L391" s="13">
        <f t="shared" si="25"/>
        <v>0</v>
      </c>
      <c r="M391" s="8"/>
      <c r="N391" s="164"/>
    </row>
    <row r="392" spans="1:14" s="3" customFormat="1" ht="12.2" customHeight="1" x14ac:dyDescent="0.15">
      <c r="A392" s="62" t="s">
        <v>554</v>
      </c>
      <c r="B392" s="2" t="s">
        <v>381</v>
      </c>
      <c r="C392" s="6">
        <v>5</v>
      </c>
      <c r="D392" s="2" t="s">
        <v>432</v>
      </c>
      <c r="E392" s="6"/>
      <c r="F392" s="18"/>
      <c r="G392" s="18"/>
      <c r="H392" s="18"/>
      <c r="I392" s="18"/>
      <c r="J392" s="23" t="s">
        <v>288</v>
      </c>
      <c r="K392" s="23" t="s">
        <v>288</v>
      </c>
      <c r="L392" s="13">
        <f t="shared" si="25"/>
        <v>0</v>
      </c>
      <c r="M392" s="8"/>
      <c r="N392" s="164"/>
    </row>
    <row r="393" spans="1:14" s="3" customFormat="1" ht="12.2" customHeight="1" thickBot="1" x14ac:dyDescent="0.2">
      <c r="A393" s="62" t="s">
        <v>555</v>
      </c>
      <c r="B393" s="2" t="s">
        <v>381</v>
      </c>
      <c r="C393" s="6">
        <v>6</v>
      </c>
      <c r="D393" s="2" t="s">
        <v>432</v>
      </c>
      <c r="E393" s="6"/>
      <c r="F393" s="18"/>
      <c r="G393" s="18"/>
      <c r="H393" s="18"/>
      <c r="I393" s="18"/>
      <c r="J393" s="23" t="s">
        <v>288</v>
      </c>
      <c r="K393" s="23" t="s">
        <v>288</v>
      </c>
      <c r="L393" s="13">
        <f t="shared" si="25"/>
        <v>0</v>
      </c>
      <c r="M393" s="8"/>
      <c r="N393" s="164"/>
    </row>
    <row r="394" spans="1:14" s="3" customFormat="1" ht="12.2" customHeight="1" thickTop="1" x14ac:dyDescent="0.15">
      <c r="A394" s="116" t="s">
        <v>471</v>
      </c>
      <c r="B394" s="2" t="s">
        <v>381</v>
      </c>
      <c r="C394" s="6">
        <v>7</v>
      </c>
      <c r="D394" s="2" t="s">
        <v>432</v>
      </c>
      <c r="E394" s="37">
        <v>5251</v>
      </c>
      <c r="F394" s="97">
        <f>SUM(F388:F393)</f>
        <v>0</v>
      </c>
      <c r="G394" s="97">
        <f>SUM(G388:G393)</f>
        <v>205000</v>
      </c>
      <c r="H394" s="97">
        <f>SUM(H388:H393)</f>
        <v>35867.61</v>
      </c>
      <c r="I394" s="54">
        <f>SUM(I388:I393)</f>
        <v>0</v>
      </c>
      <c r="J394" s="42" t="s">
        <v>288</v>
      </c>
      <c r="K394" s="42" t="s">
        <v>288</v>
      </c>
      <c r="L394" s="38">
        <f>SUM(L388:L393)</f>
        <v>240867.61</v>
      </c>
      <c r="M394" s="8"/>
      <c r="N394" s="164"/>
    </row>
    <row r="395" spans="1:14" s="3" customFormat="1" ht="12.2" customHeight="1" x14ac:dyDescent="0.15">
      <c r="A395" s="61" t="s">
        <v>382</v>
      </c>
      <c r="B395" s="2"/>
      <c r="C395" s="6"/>
      <c r="D395" s="6"/>
      <c r="F395" s="23" t="s">
        <v>288</v>
      </c>
      <c r="G395" s="23" t="s">
        <v>288</v>
      </c>
      <c r="H395" s="23" t="s">
        <v>288</v>
      </c>
      <c r="I395" s="23" t="s">
        <v>288</v>
      </c>
      <c r="J395" s="23" t="s">
        <v>288</v>
      </c>
      <c r="K395" s="23" t="s">
        <v>288</v>
      </c>
      <c r="L395" s="23" t="s">
        <v>288</v>
      </c>
      <c r="M395" s="8"/>
      <c r="N395" s="164"/>
    </row>
    <row r="396" spans="1:14" s="3" customFormat="1" ht="12.2" customHeight="1" x14ac:dyDescent="0.15">
      <c r="A396" s="62" t="s">
        <v>556</v>
      </c>
      <c r="B396" s="2" t="s">
        <v>381</v>
      </c>
      <c r="C396" s="6">
        <v>8</v>
      </c>
      <c r="D396" s="2" t="s">
        <v>432</v>
      </c>
      <c r="E396" s="6"/>
      <c r="F396" s="18"/>
      <c r="G396" s="18"/>
      <c r="H396" s="18"/>
      <c r="I396" s="18"/>
      <c r="J396" s="23" t="s">
        <v>288</v>
      </c>
      <c r="K396" s="23" t="s">
        <v>288</v>
      </c>
      <c r="L396" s="13">
        <f t="shared" ref="L396:L401" si="26">SUM(F396:K396)</f>
        <v>0</v>
      </c>
      <c r="M396" s="8"/>
      <c r="N396" s="164"/>
    </row>
    <row r="397" spans="1:14" s="3" customFormat="1" ht="12.2" customHeight="1" x14ac:dyDescent="0.15">
      <c r="A397" s="62" t="s">
        <v>557</v>
      </c>
      <c r="B397" s="2" t="s">
        <v>381</v>
      </c>
      <c r="C397" s="6">
        <v>9</v>
      </c>
      <c r="D397" s="2" t="s">
        <v>432</v>
      </c>
      <c r="E397" s="6"/>
      <c r="F397" s="18"/>
      <c r="G397" s="18">
        <v>250000</v>
      </c>
      <c r="H397" s="18">
        <f>16930-3307.8</f>
        <v>13622.2</v>
      </c>
      <c r="I397" s="18"/>
      <c r="J397" s="23" t="s">
        <v>288</v>
      </c>
      <c r="K397" s="23" t="s">
        <v>288</v>
      </c>
      <c r="L397" s="13">
        <f t="shared" si="26"/>
        <v>263622.2</v>
      </c>
      <c r="M397" s="8"/>
      <c r="N397" s="164"/>
    </row>
    <row r="398" spans="1:14" s="3" customFormat="1" ht="12.2" customHeight="1" x14ac:dyDescent="0.15">
      <c r="A398" s="62" t="s">
        <v>515</v>
      </c>
      <c r="B398" s="2" t="s">
        <v>381</v>
      </c>
      <c r="C398" s="6">
        <v>10</v>
      </c>
      <c r="D398" s="2" t="s">
        <v>432</v>
      </c>
      <c r="E398" s="6"/>
      <c r="F398" s="18"/>
      <c r="G398" s="18"/>
      <c r="H398" s="18">
        <f>44219-25541.5</f>
        <v>18677.5</v>
      </c>
      <c r="I398" s="18"/>
      <c r="J398" s="23" t="s">
        <v>288</v>
      </c>
      <c r="K398" s="23" t="s">
        <v>288</v>
      </c>
      <c r="L398" s="13">
        <f t="shared" si="26"/>
        <v>18677.5</v>
      </c>
      <c r="M398" s="8"/>
      <c r="N398" s="164"/>
    </row>
    <row r="399" spans="1:14" s="3" customFormat="1" ht="12.2" customHeight="1" x14ac:dyDescent="0.15">
      <c r="A399" s="62" t="s">
        <v>558</v>
      </c>
      <c r="B399" s="2" t="s">
        <v>381</v>
      </c>
      <c r="C399" s="6">
        <v>11</v>
      </c>
      <c r="D399" s="2" t="s">
        <v>432</v>
      </c>
      <c r="E399" s="6"/>
      <c r="F399" s="18"/>
      <c r="G399" s="18"/>
      <c r="H399" s="18"/>
      <c r="I399" s="18"/>
      <c r="J399" s="23" t="s">
        <v>288</v>
      </c>
      <c r="K399" s="23" t="s">
        <v>288</v>
      </c>
      <c r="L399" s="13">
        <f t="shared" si="26"/>
        <v>0</v>
      </c>
      <c r="M399" s="8"/>
      <c r="N399" s="164"/>
    </row>
    <row r="400" spans="1:14" s="3" customFormat="1" ht="12.2" customHeight="1" x14ac:dyDescent="0.15">
      <c r="A400" s="62" t="s">
        <v>559</v>
      </c>
      <c r="B400" s="2" t="s">
        <v>381</v>
      </c>
      <c r="C400" s="6">
        <v>12</v>
      </c>
      <c r="D400" s="2" t="s">
        <v>432</v>
      </c>
      <c r="E400" s="6"/>
      <c r="F400" s="18"/>
      <c r="G400" s="18"/>
      <c r="H400" s="18">
        <f>4985+7845.86</f>
        <v>12830.86</v>
      </c>
      <c r="I400" s="18"/>
      <c r="J400" s="23" t="s">
        <v>288</v>
      </c>
      <c r="K400" s="23" t="s">
        <v>288</v>
      </c>
      <c r="L400" s="13">
        <f t="shared" si="26"/>
        <v>12830.86</v>
      </c>
      <c r="M400" s="8"/>
      <c r="N400" s="164"/>
    </row>
    <row r="401" spans="1:21" s="3" customFormat="1" ht="12.2" customHeight="1" thickBot="1" x14ac:dyDescent="0.2">
      <c r="A401" s="62" t="s">
        <v>510</v>
      </c>
      <c r="B401" s="2" t="s">
        <v>381</v>
      </c>
      <c r="C401" s="6">
        <v>13</v>
      </c>
      <c r="D401" s="2" t="s">
        <v>432</v>
      </c>
      <c r="E401" s="6"/>
      <c r="F401" s="18"/>
      <c r="G401" s="18">
        <f>7000+25000</f>
        <v>32000</v>
      </c>
      <c r="H401" s="18">
        <f>15887-5087.02+3440-823.73+7082-2504.04</f>
        <v>17994.21</v>
      </c>
      <c r="I401" s="18"/>
      <c r="J401" s="23" t="s">
        <v>288</v>
      </c>
      <c r="K401" s="23" t="s">
        <v>288</v>
      </c>
      <c r="L401" s="13">
        <f t="shared" si="26"/>
        <v>49994.21</v>
      </c>
      <c r="M401" s="8"/>
      <c r="N401" s="164"/>
    </row>
    <row r="402" spans="1:21" s="3" customFormat="1" ht="12.2" customHeight="1" thickTop="1" x14ac:dyDescent="0.15">
      <c r="A402" s="116" t="s">
        <v>470</v>
      </c>
      <c r="B402" s="2" t="s">
        <v>381</v>
      </c>
      <c r="C402" s="6">
        <v>14</v>
      </c>
      <c r="D402" s="2" t="s">
        <v>432</v>
      </c>
      <c r="E402" s="37">
        <v>5252</v>
      </c>
      <c r="F402" s="38">
        <f>SUM(F396:F401)</f>
        <v>0</v>
      </c>
      <c r="G402" s="38">
        <f>SUM(G396:G401)</f>
        <v>282000</v>
      </c>
      <c r="H402" s="38">
        <f>SUM(H396:H401)</f>
        <v>63124.77</v>
      </c>
      <c r="I402" s="38">
        <f>SUM(I396:I401)</f>
        <v>0</v>
      </c>
      <c r="J402" s="42" t="s">
        <v>288</v>
      </c>
      <c r="K402" s="42" t="s">
        <v>288</v>
      </c>
      <c r="L402" s="38">
        <f>SUM(L396:L401)</f>
        <v>345124.77</v>
      </c>
      <c r="M402" s="8"/>
      <c r="N402" s="164"/>
    </row>
    <row r="403" spans="1:21" s="3" customFormat="1" ht="12.2" customHeight="1" x14ac:dyDescent="0.15">
      <c r="A403" s="61" t="s">
        <v>383</v>
      </c>
      <c r="B403" s="2"/>
      <c r="C403" s="2"/>
      <c r="D403" s="2"/>
      <c r="F403" s="23" t="s">
        <v>288</v>
      </c>
      <c r="G403" s="23" t="s">
        <v>288</v>
      </c>
      <c r="H403" s="23" t="s">
        <v>288</v>
      </c>
      <c r="I403" s="23" t="s">
        <v>288</v>
      </c>
      <c r="J403" s="23" t="s">
        <v>288</v>
      </c>
      <c r="K403" s="23" t="s">
        <v>288</v>
      </c>
      <c r="L403" s="23" t="s">
        <v>288</v>
      </c>
      <c r="M403" s="8"/>
      <c r="N403" s="164"/>
    </row>
    <row r="404" spans="1:21" s="3" customFormat="1" ht="12.2" customHeight="1" x14ac:dyDescent="0.15">
      <c r="A404" s="82"/>
      <c r="B404" s="2" t="s">
        <v>381</v>
      </c>
      <c r="C404" s="6">
        <v>15</v>
      </c>
      <c r="D404" s="2" t="s">
        <v>432</v>
      </c>
      <c r="E404" s="6"/>
      <c r="F404" s="18"/>
      <c r="G404" s="18"/>
      <c r="H404" s="18"/>
      <c r="I404" s="18"/>
      <c r="J404" s="23" t="s">
        <v>288</v>
      </c>
      <c r="K404" s="23" t="s">
        <v>288</v>
      </c>
      <c r="L404" s="13">
        <f>SUM(F404:K404)</f>
        <v>0</v>
      </c>
      <c r="M404" s="8"/>
      <c r="N404" s="164"/>
    </row>
    <row r="405" spans="1:21" s="3" customFormat="1" ht="12.2" customHeight="1" x14ac:dyDescent="0.15">
      <c r="A405" s="82"/>
      <c r="B405" s="2" t="s">
        <v>381</v>
      </c>
      <c r="C405" s="6">
        <v>16</v>
      </c>
      <c r="D405" s="2" t="s">
        <v>432</v>
      </c>
      <c r="E405" s="6"/>
      <c r="F405" s="18"/>
      <c r="G405" s="18"/>
      <c r="H405" s="18"/>
      <c r="I405" s="18"/>
      <c r="J405" s="23" t="s">
        <v>288</v>
      </c>
      <c r="K405" s="23" t="s">
        <v>288</v>
      </c>
      <c r="L405" s="13">
        <f>SUM(F405:K405)</f>
        <v>0</v>
      </c>
      <c r="M405" s="8"/>
      <c r="N405" s="164"/>
    </row>
    <row r="406" spans="1:21" s="3" customFormat="1" ht="12.2" customHeight="1" x14ac:dyDescent="0.15">
      <c r="A406" s="82"/>
      <c r="B406" s="2" t="s">
        <v>381</v>
      </c>
      <c r="C406" s="6">
        <v>17</v>
      </c>
      <c r="D406" s="2" t="s">
        <v>432</v>
      </c>
      <c r="E406" s="6"/>
      <c r="F406" s="18"/>
      <c r="G406" s="18"/>
      <c r="H406" s="18"/>
      <c r="I406" s="18"/>
      <c r="J406" s="23" t="s">
        <v>288</v>
      </c>
      <c r="K406" s="23" t="s">
        <v>288</v>
      </c>
      <c r="L406" s="13">
        <f>SUM(F406:K406)</f>
        <v>0</v>
      </c>
      <c r="M406" s="8"/>
      <c r="N406" s="164"/>
    </row>
    <row r="407" spans="1:21" s="3" customFormat="1" ht="12.2" customHeight="1" thickBot="1" x14ac:dyDescent="0.2">
      <c r="A407" s="82"/>
      <c r="B407" s="2" t="s">
        <v>381</v>
      </c>
      <c r="C407" s="6">
        <v>18</v>
      </c>
      <c r="D407" s="2" t="s">
        <v>432</v>
      </c>
      <c r="E407" s="6"/>
      <c r="F407" s="18"/>
      <c r="G407" s="18"/>
      <c r="H407" s="18"/>
      <c r="I407" s="18"/>
      <c r="J407" s="23" t="s">
        <v>288</v>
      </c>
      <c r="K407" s="23" t="s">
        <v>288</v>
      </c>
      <c r="L407" s="13">
        <f>SUM(F407:K407)</f>
        <v>0</v>
      </c>
      <c r="M407" s="8"/>
      <c r="N407" s="164"/>
    </row>
    <row r="408" spans="1:21" s="3" customFormat="1" ht="12.2" customHeight="1" thickTop="1" thickBot="1" x14ac:dyDescent="0.2">
      <c r="A408" s="116" t="s">
        <v>472</v>
      </c>
      <c r="B408" s="2" t="s">
        <v>381</v>
      </c>
      <c r="C408" s="6">
        <v>19</v>
      </c>
      <c r="D408" s="2" t="s">
        <v>432</v>
      </c>
      <c r="E408" s="37">
        <v>5253</v>
      </c>
      <c r="F408" s="38">
        <f>SUM(F404:F407)</f>
        <v>0</v>
      </c>
      <c r="G408" s="38">
        <f>SUM(G404:G407)</f>
        <v>0</v>
      </c>
      <c r="H408" s="38">
        <f>SUM(H404:H407)</f>
        <v>0</v>
      </c>
      <c r="I408" s="38">
        <f>SUM(I404:I407)</f>
        <v>0</v>
      </c>
      <c r="J408" s="45" t="s">
        <v>288</v>
      </c>
      <c r="K408" s="45" t="s">
        <v>288</v>
      </c>
      <c r="L408" s="38">
        <f>SUM(L404:L407)</f>
        <v>0</v>
      </c>
      <c r="M408" s="8"/>
      <c r="N408" s="164"/>
    </row>
    <row r="409" spans="1:21" s="3" customFormat="1" ht="12.2" customHeight="1" thickTop="1" x14ac:dyDescent="0.15">
      <c r="A409" s="61" t="s">
        <v>421</v>
      </c>
      <c r="B409" s="2" t="s">
        <v>381</v>
      </c>
      <c r="C409" s="6">
        <v>20</v>
      </c>
      <c r="D409" s="6"/>
      <c r="E409" s="37"/>
      <c r="F409" s="38">
        <f>F394+F402+F408</f>
        <v>0</v>
      </c>
      <c r="G409" s="38">
        <f>G394+G402+G408</f>
        <v>487000</v>
      </c>
      <c r="H409" s="38">
        <f>H394+H402+H408</f>
        <v>98992.38</v>
      </c>
      <c r="I409" s="38">
        <f>I394+I402+I408</f>
        <v>0</v>
      </c>
      <c r="J409" s="23" t="s">
        <v>288</v>
      </c>
      <c r="K409" s="23" t="s">
        <v>288</v>
      </c>
      <c r="L409" s="38">
        <f>L394+L402+L408</f>
        <v>585992.38</v>
      </c>
      <c r="M409" s="8"/>
      <c r="N409" s="164"/>
    </row>
    <row r="410" spans="1:21" s="3" customFormat="1" ht="12.2" customHeight="1" x14ac:dyDescent="0.15">
      <c r="A410" s="61"/>
      <c r="B410" s="2"/>
      <c r="C410" s="6"/>
      <c r="D410" s="6"/>
      <c r="E410" s="6"/>
      <c r="F410" s="15" t="s">
        <v>689</v>
      </c>
      <c r="G410" s="15" t="s">
        <v>690</v>
      </c>
      <c r="H410" s="15" t="s">
        <v>691</v>
      </c>
      <c r="I410" s="15" t="s">
        <v>692</v>
      </c>
      <c r="J410" s="15" t="s">
        <v>693</v>
      </c>
      <c r="K410" s="15" t="s">
        <v>694</v>
      </c>
      <c r="L410" s="13"/>
      <c r="M410" s="8"/>
      <c r="N410" s="164"/>
    </row>
    <row r="411" spans="1:21" s="3" customFormat="1" ht="12.2" customHeight="1" x14ac:dyDescent="0.15">
      <c r="A411" s="25" t="s">
        <v>482</v>
      </c>
      <c r="B411" s="60"/>
      <c r="C411" s="60"/>
      <c r="D411" s="60"/>
      <c r="E411" s="60"/>
      <c r="F411" s="55"/>
      <c r="G411" s="16" t="s">
        <v>384</v>
      </c>
      <c r="H411" s="16" t="s">
        <v>385</v>
      </c>
      <c r="I411" s="13"/>
      <c r="J411" s="13"/>
      <c r="K411" s="13"/>
      <c r="L411" s="13"/>
      <c r="M411" s="8"/>
      <c r="N411" s="164"/>
    </row>
    <row r="412" spans="1:21" s="3" customFormat="1" ht="12.2" customHeight="1" x14ac:dyDescent="0.15">
      <c r="A412" s="25" t="s">
        <v>484</v>
      </c>
      <c r="B412" s="2"/>
      <c r="C412" s="2"/>
      <c r="D412" s="2"/>
      <c r="E412" s="2"/>
      <c r="F412" s="16" t="s">
        <v>336</v>
      </c>
      <c r="G412" s="16" t="s">
        <v>337</v>
      </c>
      <c r="H412" s="16" t="s">
        <v>386</v>
      </c>
      <c r="I412" s="16" t="s">
        <v>338</v>
      </c>
      <c r="J412" s="13" t="s">
        <v>339</v>
      </c>
      <c r="K412" s="13" t="s">
        <v>356</v>
      </c>
      <c r="L412" s="16" t="s">
        <v>340</v>
      </c>
      <c r="M412" s="8"/>
      <c r="N412" s="164"/>
    </row>
    <row r="413" spans="1:21" s="3" customFormat="1" ht="12.2" customHeight="1" x14ac:dyDescent="0.15">
      <c r="A413" s="25" t="s">
        <v>376</v>
      </c>
      <c r="B413" s="2"/>
      <c r="C413" s="2"/>
      <c r="D413" s="2"/>
      <c r="F413" s="23" t="s">
        <v>288</v>
      </c>
      <c r="G413" s="23" t="s">
        <v>288</v>
      </c>
      <c r="H413" s="23" t="s">
        <v>288</v>
      </c>
      <c r="I413" s="23" t="s">
        <v>288</v>
      </c>
      <c r="J413" s="23" t="s">
        <v>288</v>
      </c>
      <c r="K413" s="23" t="s">
        <v>288</v>
      </c>
      <c r="L413" s="23" t="s">
        <v>288</v>
      </c>
      <c r="M413" s="8"/>
      <c r="N413" s="164"/>
    </row>
    <row r="414" spans="1:21" s="12" customFormat="1" ht="12.2" customHeight="1" thickBot="1" x14ac:dyDescent="0.25">
      <c r="A414" s="62" t="s">
        <v>550</v>
      </c>
      <c r="B414" s="6">
        <v>17</v>
      </c>
      <c r="C414" s="6">
        <v>1</v>
      </c>
      <c r="D414" s="2" t="s">
        <v>432</v>
      </c>
      <c r="E414" s="6"/>
      <c r="F414" s="18"/>
      <c r="G414" s="18"/>
      <c r="H414" s="18"/>
      <c r="I414" s="18"/>
      <c r="J414" s="18"/>
      <c r="K414" s="18"/>
      <c r="L414" s="13">
        <f t="shared" ref="L414:L419" si="27">SUM(F414:K414)</f>
        <v>0</v>
      </c>
      <c r="M414"/>
      <c r="N414" s="130"/>
      <c r="O414"/>
      <c r="P414"/>
      <c r="Q414"/>
      <c r="R414"/>
      <c r="S414"/>
      <c r="T414"/>
      <c r="U414"/>
    </row>
    <row r="415" spans="1:21" s="3" customFormat="1" ht="12.2" customHeight="1" x14ac:dyDescent="0.15">
      <c r="A415" s="62" t="s">
        <v>551</v>
      </c>
      <c r="B415" s="6">
        <v>17</v>
      </c>
      <c r="C415" s="6">
        <v>2</v>
      </c>
      <c r="D415" s="2" t="s">
        <v>432</v>
      </c>
      <c r="E415" s="6"/>
      <c r="F415" s="18"/>
      <c r="G415" s="18"/>
      <c r="H415" s="18">
        <f>96152+56894</f>
        <v>153046</v>
      </c>
      <c r="I415" s="18"/>
      <c r="J415" s="18"/>
      <c r="K415" s="18"/>
      <c r="L415" s="13">
        <f t="shared" si="27"/>
        <v>153046</v>
      </c>
      <c r="N415" s="164"/>
    </row>
    <row r="416" spans="1:21" s="3" customFormat="1" ht="12.2" customHeight="1" x14ac:dyDescent="0.15">
      <c r="A416" s="62" t="s">
        <v>552</v>
      </c>
      <c r="B416" s="6">
        <v>17</v>
      </c>
      <c r="C416" s="6">
        <v>3</v>
      </c>
      <c r="D416" s="2" t="s">
        <v>432</v>
      </c>
      <c r="E416" s="6"/>
      <c r="F416" s="18"/>
      <c r="G416" s="18"/>
      <c r="H416" s="18"/>
      <c r="I416" s="18"/>
      <c r="J416" s="18"/>
      <c r="K416" s="18"/>
      <c r="L416" s="13">
        <f t="shared" si="27"/>
        <v>0</v>
      </c>
      <c r="M416" s="8"/>
      <c r="N416" s="164"/>
    </row>
    <row r="417" spans="1:21" s="3" customFormat="1" ht="12.2" customHeight="1" x14ac:dyDescent="0.15">
      <c r="A417" s="62" t="s">
        <v>553</v>
      </c>
      <c r="B417" s="6">
        <v>17</v>
      </c>
      <c r="C417" s="6">
        <v>4</v>
      </c>
      <c r="D417" s="2" t="s">
        <v>432</v>
      </c>
      <c r="E417" s="6"/>
      <c r="F417" s="18"/>
      <c r="G417" s="18"/>
      <c r="H417" s="18"/>
      <c r="I417" s="18"/>
      <c r="J417" s="18"/>
      <c r="K417" s="18"/>
      <c r="L417" s="13">
        <f t="shared" si="27"/>
        <v>0</v>
      </c>
      <c r="M417" s="8"/>
      <c r="N417" s="164"/>
    </row>
    <row r="418" spans="1:21" s="3" customFormat="1" ht="12.2" customHeight="1" x14ac:dyDescent="0.15">
      <c r="A418" s="62" t="s">
        <v>554</v>
      </c>
      <c r="B418" s="6">
        <v>17</v>
      </c>
      <c r="C418" s="6">
        <v>5</v>
      </c>
      <c r="D418" s="2" t="s">
        <v>432</v>
      </c>
      <c r="E418" s="6"/>
      <c r="F418" s="18"/>
      <c r="G418" s="18"/>
      <c r="H418" s="18"/>
      <c r="I418" s="18"/>
      <c r="J418" s="18"/>
      <c r="K418" s="18"/>
      <c r="L418" s="13">
        <f t="shared" si="27"/>
        <v>0</v>
      </c>
      <c r="M418" s="8"/>
      <c r="N418" s="164"/>
    </row>
    <row r="419" spans="1:21" s="3" customFormat="1" ht="12.2" customHeight="1" thickBot="1" x14ac:dyDescent="0.2">
      <c r="A419" s="62" t="s">
        <v>555</v>
      </c>
      <c r="B419" s="6">
        <v>17</v>
      </c>
      <c r="C419" s="6">
        <v>6</v>
      </c>
      <c r="D419" s="2" t="s">
        <v>432</v>
      </c>
      <c r="E419" s="6"/>
      <c r="F419" s="18"/>
      <c r="G419" s="18"/>
      <c r="H419" s="18"/>
      <c r="I419" s="18"/>
      <c r="J419" s="18"/>
      <c r="K419" s="18"/>
      <c r="L419" s="13">
        <f t="shared" si="27"/>
        <v>0</v>
      </c>
      <c r="M419" s="8"/>
      <c r="N419" s="164"/>
    </row>
    <row r="420" spans="1:21" s="3" customFormat="1" ht="12.2" customHeight="1" thickTop="1" x14ac:dyDescent="0.15">
      <c r="A420" s="116" t="s">
        <v>471</v>
      </c>
      <c r="B420" s="6">
        <v>17</v>
      </c>
      <c r="C420" s="6">
        <v>7</v>
      </c>
      <c r="D420" s="2" t="s">
        <v>432</v>
      </c>
      <c r="E420" s="37">
        <v>5251</v>
      </c>
      <c r="F420" s="97">
        <f t="shared" ref="F420:L420" si="28">SUM(F414:F419)</f>
        <v>0</v>
      </c>
      <c r="G420" s="97">
        <f t="shared" si="28"/>
        <v>0</v>
      </c>
      <c r="H420" s="97">
        <f t="shared" si="28"/>
        <v>153046</v>
      </c>
      <c r="I420" s="97">
        <f t="shared" si="28"/>
        <v>0</v>
      </c>
      <c r="J420" s="97">
        <f t="shared" si="28"/>
        <v>0</v>
      </c>
      <c r="K420" s="97">
        <f t="shared" si="28"/>
        <v>0</v>
      </c>
      <c r="L420" s="38">
        <f t="shared" si="28"/>
        <v>153046</v>
      </c>
      <c r="M420" s="8"/>
      <c r="N420" s="164"/>
    </row>
    <row r="421" spans="1:21" s="3" customFormat="1" ht="12.2" customHeight="1" x14ac:dyDescent="0.15">
      <c r="A421" s="61" t="s">
        <v>382</v>
      </c>
      <c r="B421" s="2"/>
      <c r="C421" s="6"/>
      <c r="D421" s="6"/>
      <c r="F421" s="23" t="s">
        <v>288</v>
      </c>
      <c r="G421" s="23" t="s">
        <v>288</v>
      </c>
      <c r="H421" s="23" t="s">
        <v>288</v>
      </c>
      <c r="I421" s="23" t="s">
        <v>288</v>
      </c>
      <c r="J421" s="23" t="s">
        <v>288</v>
      </c>
      <c r="K421" s="23" t="s">
        <v>288</v>
      </c>
      <c r="L421" s="23" t="s">
        <v>288</v>
      </c>
      <c r="M421" s="8"/>
      <c r="N421" s="164"/>
    </row>
    <row r="422" spans="1:21" s="3" customFormat="1" ht="12.2" customHeight="1" x14ac:dyDescent="0.15">
      <c r="A422" s="62" t="s">
        <v>556</v>
      </c>
      <c r="B422" s="6">
        <v>17</v>
      </c>
      <c r="C422" s="6">
        <v>8</v>
      </c>
      <c r="D422" s="2" t="s">
        <v>432</v>
      </c>
      <c r="E422" s="6"/>
      <c r="F422" s="18"/>
      <c r="G422" s="18"/>
      <c r="H422" s="18"/>
      <c r="I422" s="18"/>
      <c r="J422" s="18"/>
      <c r="K422" s="18"/>
      <c r="L422" s="13">
        <f t="shared" ref="L422:L427" si="29">SUM(F422:K422)</f>
        <v>0</v>
      </c>
      <c r="M422" s="8"/>
      <c r="N422" s="164"/>
    </row>
    <row r="423" spans="1:21" s="3" customFormat="1" ht="12.2" customHeight="1" x14ac:dyDescent="0.15">
      <c r="A423" s="62" t="s">
        <v>557</v>
      </c>
      <c r="B423" s="6">
        <v>17</v>
      </c>
      <c r="C423" s="6">
        <v>9</v>
      </c>
      <c r="D423" s="2" t="s">
        <v>432</v>
      </c>
      <c r="E423" s="6"/>
      <c r="F423" s="18"/>
      <c r="G423" s="18"/>
      <c r="H423" s="18">
        <v>0</v>
      </c>
      <c r="I423" s="18">
        <v>6568</v>
      </c>
      <c r="J423" s="18">
        <v>35980</v>
      </c>
      <c r="K423" s="18"/>
      <c r="L423" s="13">
        <f t="shared" si="29"/>
        <v>42548</v>
      </c>
      <c r="M423" s="8"/>
      <c r="N423" s="164"/>
    </row>
    <row r="424" spans="1:21" s="3" customFormat="1" ht="12.2" customHeight="1" x14ac:dyDescent="0.15">
      <c r="A424" s="62" t="s">
        <v>515</v>
      </c>
      <c r="B424" s="6">
        <v>17</v>
      </c>
      <c r="C424" s="6">
        <v>10</v>
      </c>
      <c r="D424" s="2" t="s">
        <v>432</v>
      </c>
      <c r="E424" s="6"/>
      <c r="F424" s="18"/>
      <c r="G424" s="18"/>
      <c r="H424" s="18"/>
      <c r="I424" s="18"/>
      <c r="J424" s="18"/>
      <c r="K424" s="18"/>
      <c r="L424" s="13">
        <f t="shared" si="29"/>
        <v>0</v>
      </c>
      <c r="M424" s="8"/>
      <c r="N424" s="164"/>
    </row>
    <row r="425" spans="1:21" s="3" customFormat="1" ht="12.2" customHeight="1" x14ac:dyDescent="0.15">
      <c r="A425" s="62" t="s">
        <v>558</v>
      </c>
      <c r="B425" s="6">
        <v>17</v>
      </c>
      <c r="C425" s="6">
        <v>11</v>
      </c>
      <c r="D425" s="2" t="s">
        <v>432</v>
      </c>
      <c r="E425" s="6"/>
      <c r="F425" s="18"/>
      <c r="G425" s="18"/>
      <c r="H425" s="18"/>
      <c r="I425" s="18"/>
      <c r="J425" s="18"/>
      <c r="K425" s="18"/>
      <c r="L425" s="13">
        <f t="shared" si="29"/>
        <v>0</v>
      </c>
      <c r="M425" s="8"/>
      <c r="N425" s="164"/>
    </row>
    <row r="426" spans="1:21" s="3" customFormat="1" ht="12.2" customHeight="1" x14ac:dyDescent="0.15">
      <c r="A426" s="62" t="s">
        <v>559</v>
      </c>
      <c r="B426" s="6">
        <v>17</v>
      </c>
      <c r="C426" s="6">
        <v>12</v>
      </c>
      <c r="D426" s="2" t="s">
        <v>432</v>
      </c>
      <c r="E426" s="6"/>
      <c r="F426" s="18"/>
      <c r="G426" s="18"/>
      <c r="H426" s="18"/>
      <c r="I426" s="18"/>
      <c r="J426" s="18"/>
      <c r="K426" s="18"/>
      <c r="L426" s="13">
        <f t="shared" si="29"/>
        <v>0</v>
      </c>
      <c r="M426" s="8"/>
      <c r="N426" s="164"/>
    </row>
    <row r="427" spans="1:21" s="3" customFormat="1" ht="12.2" customHeight="1" thickBot="1" x14ac:dyDescent="0.2">
      <c r="A427" s="62" t="s">
        <v>510</v>
      </c>
      <c r="B427" s="6">
        <v>17</v>
      </c>
      <c r="C427" s="6">
        <v>13</v>
      </c>
      <c r="D427" s="2" t="s">
        <v>432</v>
      </c>
      <c r="E427" s="6"/>
      <c r="F427" s="18"/>
      <c r="G427" s="18"/>
      <c r="H427" s="18">
        <v>120977</v>
      </c>
      <c r="I427" s="18"/>
      <c r="J427" s="18">
        <v>33145</v>
      </c>
      <c r="K427" s="18"/>
      <c r="L427" s="13">
        <f t="shared" si="29"/>
        <v>154122</v>
      </c>
      <c r="M427" s="8"/>
      <c r="N427" s="164"/>
    </row>
    <row r="428" spans="1:21" s="11" customFormat="1" ht="12.2" customHeight="1" thickTop="1" x14ac:dyDescent="0.15">
      <c r="A428" s="116" t="s">
        <v>470</v>
      </c>
      <c r="B428" s="6">
        <v>17</v>
      </c>
      <c r="C428" s="6">
        <v>14</v>
      </c>
      <c r="D428" s="2" t="s">
        <v>432</v>
      </c>
      <c r="E428" s="37">
        <v>5252</v>
      </c>
      <c r="F428" s="38">
        <f t="shared" ref="F428:L428" si="30">SUM(F422:F427)</f>
        <v>0</v>
      </c>
      <c r="G428" s="38">
        <f t="shared" si="30"/>
        <v>0</v>
      </c>
      <c r="H428" s="38">
        <f t="shared" si="30"/>
        <v>120977</v>
      </c>
      <c r="I428" s="38">
        <f t="shared" si="30"/>
        <v>6568</v>
      </c>
      <c r="J428" s="38">
        <f t="shared" si="30"/>
        <v>69125</v>
      </c>
      <c r="K428" s="38">
        <f t="shared" si="30"/>
        <v>0</v>
      </c>
      <c r="L428" s="38">
        <f t="shared" si="30"/>
        <v>196670</v>
      </c>
      <c r="M428" s="8"/>
      <c r="N428" s="164"/>
      <c r="O428" s="3"/>
      <c r="P428" s="3"/>
      <c r="Q428" s="3"/>
      <c r="R428" s="3"/>
      <c r="S428" s="3"/>
      <c r="T428" s="3"/>
      <c r="U428" s="3"/>
    </row>
    <row r="429" spans="1:21" s="3" customFormat="1" ht="12.2" customHeight="1" x14ac:dyDescent="0.15">
      <c r="A429" s="61" t="s">
        <v>383</v>
      </c>
      <c r="B429" s="2"/>
      <c r="C429" s="2"/>
      <c r="D429" s="2"/>
      <c r="F429" s="23" t="s">
        <v>288</v>
      </c>
      <c r="G429" s="23" t="s">
        <v>288</v>
      </c>
      <c r="H429" s="23" t="s">
        <v>288</v>
      </c>
      <c r="I429" s="23" t="s">
        <v>288</v>
      </c>
      <c r="J429" s="23" t="s">
        <v>288</v>
      </c>
      <c r="K429" s="23" t="s">
        <v>288</v>
      </c>
      <c r="L429" s="23" t="s">
        <v>288</v>
      </c>
      <c r="M429" s="8"/>
      <c r="N429" s="164"/>
    </row>
    <row r="430" spans="1:21" s="3" customFormat="1" ht="12.2" customHeight="1" x14ac:dyDescent="0.15">
      <c r="A430" s="82"/>
      <c r="B430" s="6">
        <v>17</v>
      </c>
      <c r="C430" s="6">
        <v>15</v>
      </c>
      <c r="D430" s="2" t="s">
        <v>432</v>
      </c>
      <c r="E430" s="6"/>
      <c r="F430" s="18"/>
      <c r="G430" s="18"/>
      <c r="H430" s="18"/>
      <c r="I430" s="18"/>
      <c r="J430" s="18"/>
      <c r="K430" s="18"/>
      <c r="L430" s="13">
        <f>SUM(F430:K430)</f>
        <v>0</v>
      </c>
      <c r="M430" s="8"/>
      <c r="N430" s="164"/>
    </row>
    <row r="431" spans="1:21" ht="12.2" customHeight="1" x14ac:dyDescent="0.2">
      <c r="A431" s="82"/>
      <c r="B431" s="6">
        <v>17</v>
      </c>
      <c r="C431" s="6">
        <v>16</v>
      </c>
      <c r="D431" s="2" t="s">
        <v>432</v>
      </c>
      <c r="E431" s="6"/>
      <c r="F431" s="18"/>
      <c r="G431" s="18"/>
      <c r="H431" s="18"/>
      <c r="I431" s="18"/>
      <c r="J431" s="18"/>
      <c r="K431" s="18"/>
      <c r="L431" s="13">
        <f>SUM(F431:K431)</f>
        <v>0</v>
      </c>
      <c r="N431" s="130"/>
    </row>
    <row r="432" spans="1:21" s="3" customFormat="1" ht="12.2" customHeight="1" x14ac:dyDescent="0.15">
      <c r="A432" s="82"/>
      <c r="B432" s="6">
        <v>17</v>
      </c>
      <c r="C432" s="6">
        <v>17</v>
      </c>
      <c r="D432" s="2" t="s">
        <v>432</v>
      </c>
      <c r="E432" s="6"/>
      <c r="F432" s="18"/>
      <c r="G432" s="18"/>
      <c r="H432" s="18"/>
      <c r="I432" s="18"/>
      <c r="J432" s="18"/>
      <c r="K432" s="18"/>
      <c r="L432" s="13">
        <f>SUM(F432:K432)</f>
        <v>0</v>
      </c>
      <c r="M432" s="8"/>
      <c r="N432" s="164"/>
    </row>
    <row r="433" spans="1:14" s="3" customFormat="1" ht="12.2" customHeight="1" thickBot="1" x14ac:dyDescent="0.2">
      <c r="A433" s="82"/>
      <c r="B433" s="6">
        <v>17</v>
      </c>
      <c r="C433" s="6">
        <v>18</v>
      </c>
      <c r="D433" s="2" t="s">
        <v>432</v>
      </c>
      <c r="E433" s="6"/>
      <c r="F433" s="18"/>
      <c r="G433" s="18"/>
      <c r="H433" s="18"/>
      <c r="I433" s="18"/>
      <c r="J433" s="18"/>
      <c r="K433" s="18"/>
      <c r="L433" s="13">
        <f>SUM(F433:K433)</f>
        <v>0</v>
      </c>
      <c r="M433" s="8"/>
      <c r="N433" s="164"/>
    </row>
    <row r="434" spans="1:14" s="3" customFormat="1" ht="12.2" customHeight="1" thickTop="1" thickBot="1" x14ac:dyDescent="0.2">
      <c r="A434" s="116" t="s">
        <v>472</v>
      </c>
      <c r="B434" s="6">
        <v>17</v>
      </c>
      <c r="C434" s="6">
        <v>19</v>
      </c>
      <c r="D434" s="2" t="s">
        <v>432</v>
      </c>
      <c r="E434" s="37">
        <v>5253</v>
      </c>
      <c r="F434" s="38">
        <f t="shared" ref="F434:L434" si="31">SUM(F430:F433)</f>
        <v>0</v>
      </c>
      <c r="G434" s="38">
        <f t="shared" si="31"/>
        <v>0</v>
      </c>
      <c r="H434" s="38">
        <f t="shared" si="31"/>
        <v>0</v>
      </c>
      <c r="I434" s="38">
        <f t="shared" si="31"/>
        <v>0</v>
      </c>
      <c r="J434" s="38">
        <f t="shared" si="31"/>
        <v>0</v>
      </c>
      <c r="K434" s="38">
        <f t="shared" si="31"/>
        <v>0</v>
      </c>
      <c r="L434" s="38">
        <f t="shared" si="31"/>
        <v>0</v>
      </c>
      <c r="M434" s="8"/>
      <c r="N434" s="164"/>
    </row>
    <row r="435" spans="1:14" s="3" customFormat="1" ht="12.2" customHeight="1" thickTop="1" x14ac:dyDescent="0.15">
      <c r="A435" s="61" t="s">
        <v>422</v>
      </c>
      <c r="B435" s="6">
        <v>17</v>
      </c>
      <c r="C435" s="6">
        <v>20</v>
      </c>
      <c r="D435" s="2" t="s">
        <v>432</v>
      </c>
      <c r="E435" s="37"/>
      <c r="F435" s="38">
        <f t="shared" ref="F435:L435" si="32">F420+F428+F434</f>
        <v>0</v>
      </c>
      <c r="G435" s="38">
        <f t="shared" si="32"/>
        <v>0</v>
      </c>
      <c r="H435" s="38">
        <f t="shared" si="32"/>
        <v>274023</v>
      </c>
      <c r="I435" s="38">
        <f t="shared" si="32"/>
        <v>6568</v>
      </c>
      <c r="J435" s="38">
        <f t="shared" si="32"/>
        <v>69125</v>
      </c>
      <c r="K435" s="38">
        <f t="shared" si="32"/>
        <v>0</v>
      </c>
      <c r="L435" s="38">
        <f t="shared" si="32"/>
        <v>349716</v>
      </c>
      <c r="M435" s="8"/>
      <c r="N435" s="164"/>
    </row>
    <row r="436" spans="1:14" s="3" customFormat="1" ht="12.2" customHeight="1" x14ac:dyDescent="0.15">
      <c r="A436" s="61"/>
      <c r="B436" s="6"/>
      <c r="C436" s="6"/>
      <c r="D436" s="6"/>
      <c r="E436" s="6"/>
      <c r="F436" s="13"/>
      <c r="G436" s="13"/>
      <c r="H436" s="13"/>
      <c r="I436" s="13"/>
      <c r="J436" s="13"/>
      <c r="K436" s="13"/>
      <c r="L436" s="13"/>
      <c r="M436" s="8"/>
      <c r="N436" s="164"/>
    </row>
    <row r="437" spans="1:14" s="3" customFormat="1" ht="12.2" customHeight="1" x14ac:dyDescent="0.15">
      <c r="A437" s="33" t="s">
        <v>0</v>
      </c>
      <c r="K437" s="13"/>
      <c r="L437" s="13"/>
      <c r="M437" s="8"/>
      <c r="N437" s="164"/>
    </row>
    <row r="438" spans="1:14" s="3" customFormat="1" ht="12.2" customHeight="1" x14ac:dyDescent="0.15">
      <c r="A438" s="33" t="s">
        <v>1</v>
      </c>
      <c r="F438" s="22" t="s">
        <v>2</v>
      </c>
      <c r="G438" s="22" t="s">
        <v>3</v>
      </c>
      <c r="H438" s="22" t="s">
        <v>4</v>
      </c>
      <c r="I438" s="22" t="s">
        <v>5</v>
      </c>
      <c r="M438" s="8"/>
      <c r="N438" s="164"/>
    </row>
    <row r="439" spans="1:14" s="3" customFormat="1" ht="12.2" customHeight="1" x14ac:dyDescent="0.15">
      <c r="A439" s="33" t="s">
        <v>6</v>
      </c>
      <c r="B439" s="22"/>
      <c r="C439" s="22"/>
      <c r="D439" s="22"/>
      <c r="E439" s="22"/>
      <c r="F439" s="23" t="s">
        <v>288</v>
      </c>
      <c r="G439" s="23" t="s">
        <v>288</v>
      </c>
      <c r="H439" s="23" t="s">
        <v>288</v>
      </c>
      <c r="I439" s="23" t="s">
        <v>288</v>
      </c>
      <c r="J439" s="23" t="s">
        <v>288</v>
      </c>
      <c r="K439" s="23" t="s">
        <v>288</v>
      </c>
      <c r="L439" s="23" t="s">
        <v>288</v>
      </c>
      <c r="M439" s="8"/>
      <c r="N439" s="164"/>
    </row>
    <row r="440" spans="1:14" s="3" customFormat="1" ht="12.2" customHeight="1" x14ac:dyDescent="0.15">
      <c r="A440" s="3" t="s">
        <v>561</v>
      </c>
      <c r="B440" s="22">
        <v>18</v>
      </c>
      <c r="C440" s="6">
        <v>1</v>
      </c>
      <c r="D440" s="2" t="s">
        <v>432</v>
      </c>
      <c r="E440" s="6">
        <v>100</v>
      </c>
      <c r="F440" s="18">
        <f>441134+167154</f>
        <v>608288</v>
      </c>
      <c r="G440" s="18">
        <f>129739+397319+91055+38918+392243+31187</f>
        <v>1080461</v>
      </c>
      <c r="H440" s="18"/>
      <c r="I440" s="13">
        <f t="shared" ref="I440:I446" si="33">SUM(F440:H440)</f>
        <v>1688749</v>
      </c>
      <c r="J440" s="23" t="s">
        <v>288</v>
      </c>
      <c r="K440" s="23" t="s">
        <v>288</v>
      </c>
      <c r="L440" s="23" t="s">
        <v>288</v>
      </c>
      <c r="M440" s="8"/>
      <c r="N440" s="164"/>
    </row>
    <row r="441" spans="1:14" s="3" customFormat="1" ht="12.2" customHeight="1" x14ac:dyDescent="0.15">
      <c r="A441" s="1" t="s">
        <v>562</v>
      </c>
      <c r="B441" s="22">
        <v>18</v>
      </c>
      <c r="C441" s="6">
        <v>2</v>
      </c>
      <c r="D441" s="2" t="s">
        <v>432</v>
      </c>
      <c r="E441" s="6">
        <v>110</v>
      </c>
      <c r="F441" s="18"/>
      <c r="G441" s="18"/>
      <c r="H441" s="18"/>
      <c r="I441" s="13">
        <f t="shared" si="33"/>
        <v>0</v>
      </c>
      <c r="J441" s="23" t="s">
        <v>288</v>
      </c>
      <c r="K441" s="23" t="s">
        <v>288</v>
      </c>
      <c r="L441" s="23" t="s">
        <v>288</v>
      </c>
      <c r="M441" s="8"/>
      <c r="N441" s="164"/>
    </row>
    <row r="442" spans="1:14" s="3" customFormat="1" ht="12.2" customHeight="1" x14ac:dyDescent="0.15">
      <c r="A442" s="1" t="s">
        <v>603</v>
      </c>
      <c r="B442" s="22">
        <v>18</v>
      </c>
      <c r="C442" s="6">
        <v>3</v>
      </c>
      <c r="D442" s="2" t="s">
        <v>432</v>
      </c>
      <c r="E442" s="6">
        <v>130</v>
      </c>
      <c r="F442" s="18"/>
      <c r="G442" s="18"/>
      <c r="H442" s="18"/>
      <c r="I442" s="13">
        <f t="shared" si="33"/>
        <v>0</v>
      </c>
      <c r="J442" s="23" t="s">
        <v>288</v>
      </c>
      <c r="K442" s="23" t="s">
        <v>288</v>
      </c>
      <c r="L442" s="23" t="s">
        <v>288</v>
      </c>
      <c r="M442" s="8"/>
      <c r="N442" s="164"/>
    </row>
    <row r="443" spans="1:14" s="3" customFormat="1" ht="12.2" customHeight="1" x14ac:dyDescent="0.15">
      <c r="A443" s="1" t="s">
        <v>604</v>
      </c>
      <c r="B443" s="22">
        <v>18</v>
      </c>
      <c r="C443" s="6">
        <v>4</v>
      </c>
      <c r="D443" s="2" t="s">
        <v>432</v>
      </c>
      <c r="E443" s="6">
        <v>140</v>
      </c>
      <c r="F443" s="18"/>
      <c r="G443" s="18"/>
      <c r="H443" s="18"/>
      <c r="I443" s="13">
        <f t="shared" si="33"/>
        <v>0</v>
      </c>
      <c r="J443" s="23" t="s">
        <v>288</v>
      </c>
      <c r="K443" s="23" t="s">
        <v>288</v>
      </c>
      <c r="L443" s="23" t="s">
        <v>288</v>
      </c>
      <c r="M443" s="8"/>
      <c r="N443" s="164"/>
    </row>
    <row r="444" spans="1:14" s="3" customFormat="1" ht="12.2" customHeight="1" x14ac:dyDescent="0.15">
      <c r="A444" s="1" t="s">
        <v>565</v>
      </c>
      <c r="B444" s="22">
        <v>18</v>
      </c>
      <c r="C444" s="6">
        <v>5</v>
      </c>
      <c r="D444" s="2" t="s">
        <v>432</v>
      </c>
      <c r="E444" s="6">
        <v>150</v>
      </c>
      <c r="F444" s="18"/>
      <c r="G444" s="18"/>
      <c r="H444" s="18"/>
      <c r="I444" s="13">
        <f t="shared" si="33"/>
        <v>0</v>
      </c>
      <c r="J444" s="23" t="s">
        <v>288</v>
      </c>
      <c r="K444" s="23" t="s">
        <v>288</v>
      </c>
      <c r="L444" s="23" t="s">
        <v>288</v>
      </c>
      <c r="M444" s="8"/>
      <c r="N444" s="164"/>
    </row>
    <row r="445" spans="1:14" s="3" customFormat="1" ht="12.2" customHeight="1" x14ac:dyDescent="0.15">
      <c r="A445" s="1" t="s">
        <v>605</v>
      </c>
      <c r="B445" s="22">
        <v>18</v>
      </c>
      <c r="C445" s="6">
        <v>6</v>
      </c>
      <c r="D445" s="2" t="s">
        <v>432</v>
      </c>
      <c r="E445" s="6">
        <v>180</v>
      </c>
      <c r="F445" s="18"/>
      <c r="G445" s="18"/>
      <c r="H445" s="18"/>
      <c r="I445" s="13">
        <f t="shared" si="33"/>
        <v>0</v>
      </c>
      <c r="J445" s="23" t="s">
        <v>288</v>
      </c>
      <c r="K445" s="23" t="s">
        <v>288</v>
      </c>
      <c r="L445" s="23" t="s">
        <v>288</v>
      </c>
      <c r="M445" s="8"/>
      <c r="N445" s="164"/>
    </row>
    <row r="446" spans="1:14" s="3" customFormat="1" ht="12.2" customHeight="1" x14ac:dyDescent="0.15">
      <c r="A446" s="1" t="s">
        <v>606</v>
      </c>
      <c r="B446" s="22">
        <v>18</v>
      </c>
      <c r="C446" s="6">
        <v>7</v>
      </c>
      <c r="D446" s="2" t="s">
        <v>432</v>
      </c>
      <c r="E446" s="6">
        <v>190</v>
      </c>
      <c r="F446" s="18"/>
      <c r="G446" s="18"/>
      <c r="H446" s="18"/>
      <c r="I446" s="13">
        <f t="shared" si="33"/>
        <v>0</v>
      </c>
      <c r="J446" s="23" t="s">
        <v>288</v>
      </c>
      <c r="K446" s="23" t="s">
        <v>288</v>
      </c>
      <c r="L446" s="23" t="s">
        <v>288</v>
      </c>
      <c r="M446" s="8"/>
      <c r="N446" s="164"/>
    </row>
    <row r="447" spans="1:14" s="3" customFormat="1" ht="12.2" customHeight="1" thickBot="1" x14ac:dyDescent="0.2">
      <c r="A447" s="28" t="s">
        <v>404</v>
      </c>
      <c r="B447" s="22">
        <v>18</v>
      </c>
      <c r="C447" s="6">
        <v>8</v>
      </c>
      <c r="D447" s="2" t="s">
        <v>432</v>
      </c>
      <c r="E447" s="6"/>
      <c r="F447" s="13">
        <f>SUM(F440:F446)</f>
        <v>608288</v>
      </c>
      <c r="G447" s="13">
        <f>SUM(G440:G446)</f>
        <v>1080461</v>
      </c>
      <c r="H447" s="13">
        <f>SUM(H440:H446)</f>
        <v>0</v>
      </c>
      <c r="I447" s="13">
        <f>SUM(I440:I446)</f>
        <v>1688749</v>
      </c>
      <c r="J447" s="23" t="s">
        <v>288</v>
      </c>
      <c r="K447" s="23" t="s">
        <v>288</v>
      </c>
      <c r="L447" s="23" t="s">
        <v>288</v>
      </c>
      <c r="M447" s="8"/>
      <c r="N447" s="164"/>
    </row>
    <row r="448" spans="1:14" s="3" customFormat="1" ht="12.2" customHeight="1" thickTop="1" x14ac:dyDescent="0.15">
      <c r="A448" s="35" t="s">
        <v>7</v>
      </c>
      <c r="B448" s="41"/>
      <c r="C448" s="37"/>
      <c r="D448" s="37"/>
      <c r="E448" s="37"/>
      <c r="F448" s="42" t="s">
        <v>288</v>
      </c>
      <c r="G448" s="42" t="s">
        <v>288</v>
      </c>
      <c r="H448" s="42" t="s">
        <v>288</v>
      </c>
      <c r="I448" s="42" t="s">
        <v>288</v>
      </c>
      <c r="J448" s="23" t="s">
        <v>288</v>
      </c>
      <c r="K448" s="23" t="s">
        <v>288</v>
      </c>
      <c r="L448" s="23" t="s">
        <v>288</v>
      </c>
      <c r="M448" s="8"/>
      <c r="N448" s="164"/>
    </row>
    <row r="449" spans="1:86" s="3" customFormat="1" ht="12.2" customHeight="1" x14ac:dyDescent="0.15">
      <c r="A449" s="1" t="s">
        <v>569</v>
      </c>
      <c r="B449" s="22">
        <v>18</v>
      </c>
      <c r="C449" s="6">
        <v>9</v>
      </c>
      <c r="D449" s="2" t="s">
        <v>432</v>
      </c>
      <c r="E449" s="6">
        <v>400</v>
      </c>
      <c r="F449" s="18"/>
      <c r="G449" s="18"/>
      <c r="H449" s="18"/>
      <c r="I449" s="13">
        <f>SUM(F449:H449)</f>
        <v>0</v>
      </c>
      <c r="J449" s="23" t="s">
        <v>288</v>
      </c>
      <c r="K449" s="23" t="s">
        <v>288</v>
      </c>
      <c r="L449" s="23" t="s">
        <v>288</v>
      </c>
      <c r="M449" s="8"/>
      <c r="N449" s="164"/>
    </row>
    <row r="450" spans="1:86" s="3" customFormat="1" ht="12.2" customHeight="1" x14ac:dyDescent="0.15">
      <c r="A450" s="1" t="s">
        <v>607</v>
      </c>
      <c r="B450" s="22">
        <v>18</v>
      </c>
      <c r="C450" s="6">
        <v>10</v>
      </c>
      <c r="D450" s="2" t="s">
        <v>432</v>
      </c>
      <c r="E450" s="6">
        <v>410</v>
      </c>
      <c r="F450" s="18"/>
      <c r="G450" s="18"/>
      <c r="H450" s="18"/>
      <c r="I450" s="13">
        <f>SUM(F450:H450)</f>
        <v>0</v>
      </c>
      <c r="J450" s="23" t="s">
        <v>288</v>
      </c>
      <c r="K450" s="23" t="s">
        <v>288</v>
      </c>
      <c r="L450" s="23" t="s">
        <v>288</v>
      </c>
      <c r="M450" s="8"/>
      <c r="N450" s="164"/>
    </row>
    <row r="451" spans="1:86" s="3" customFormat="1" ht="12.2" customHeight="1" x14ac:dyDescent="0.15">
      <c r="A451" s="1" t="s">
        <v>570</v>
      </c>
      <c r="B451" s="22">
        <v>18</v>
      </c>
      <c r="C451" s="6">
        <v>11</v>
      </c>
      <c r="D451" s="2" t="s">
        <v>432</v>
      </c>
      <c r="E451" s="6">
        <v>420</v>
      </c>
      <c r="F451" s="18"/>
      <c r="G451" s="18"/>
      <c r="H451" s="18"/>
      <c r="I451" s="13">
        <f>SUM(F451:H451)</f>
        <v>0</v>
      </c>
      <c r="J451" s="23" t="s">
        <v>288</v>
      </c>
      <c r="K451" s="23" t="s">
        <v>288</v>
      </c>
      <c r="L451" s="23" t="s">
        <v>288</v>
      </c>
      <c r="M451" s="8"/>
      <c r="N451" s="164"/>
    </row>
    <row r="452" spans="1:86" s="3" customFormat="1" ht="12.2" customHeight="1" x14ac:dyDescent="0.15">
      <c r="A452" s="1" t="s">
        <v>608</v>
      </c>
      <c r="B452" s="22">
        <v>18</v>
      </c>
      <c r="C452" s="6">
        <v>12</v>
      </c>
      <c r="D452" s="2" t="s">
        <v>432</v>
      </c>
      <c r="E452" s="6">
        <v>490</v>
      </c>
      <c r="F452" s="18"/>
      <c r="G452" s="18"/>
      <c r="H452" s="18"/>
      <c r="I452" s="13">
        <f>SUM(F452:H452)</f>
        <v>0</v>
      </c>
      <c r="J452" s="23" t="s">
        <v>288</v>
      </c>
      <c r="K452" s="23" t="s">
        <v>288</v>
      </c>
      <c r="L452" s="23" t="s">
        <v>288</v>
      </c>
      <c r="M452" s="8"/>
      <c r="N452" s="164"/>
    </row>
    <row r="453" spans="1:86" s="3" customFormat="1" ht="12.2" customHeight="1" thickBot="1" x14ac:dyDescent="0.2">
      <c r="A453" s="59" t="s">
        <v>423</v>
      </c>
      <c r="B453" s="58">
        <v>18</v>
      </c>
      <c r="C453" s="56">
        <v>13</v>
      </c>
      <c r="D453" s="2" t="s">
        <v>432</v>
      </c>
      <c r="E453" s="56"/>
      <c r="F453" s="57">
        <f>SUM(F449:F452)</f>
        <v>0</v>
      </c>
      <c r="G453" s="57">
        <f>SUM(G449:G452)</f>
        <v>0</v>
      </c>
      <c r="H453" s="57">
        <f>SUM(H449:H452)</f>
        <v>0</v>
      </c>
      <c r="I453" s="57">
        <f>SUM(I449:I452)</f>
        <v>0</v>
      </c>
      <c r="J453" s="23" t="s">
        <v>288</v>
      </c>
      <c r="K453" s="23" t="s">
        <v>288</v>
      </c>
      <c r="L453" s="23" t="s">
        <v>288</v>
      </c>
      <c r="M453" s="8"/>
      <c r="N453" s="164"/>
    </row>
    <row r="454" spans="1:86" s="3" customFormat="1" ht="12.2" customHeight="1" thickTop="1" x14ac:dyDescent="0.15">
      <c r="A454" s="33" t="s">
        <v>8</v>
      </c>
      <c r="B454" s="2"/>
      <c r="C454" s="22"/>
      <c r="D454" s="22"/>
      <c r="E454" s="22"/>
      <c r="F454" s="23" t="s">
        <v>288</v>
      </c>
      <c r="G454" s="23" t="s">
        <v>288</v>
      </c>
      <c r="H454" s="23" t="s">
        <v>288</v>
      </c>
      <c r="I454" s="23" t="s">
        <v>288</v>
      </c>
      <c r="J454" s="23" t="s">
        <v>288</v>
      </c>
      <c r="K454" s="23" t="s">
        <v>288</v>
      </c>
      <c r="L454" s="23" t="s">
        <v>288</v>
      </c>
      <c r="M454" s="8"/>
      <c r="N454" s="164"/>
    </row>
    <row r="455" spans="1:86" s="3" customFormat="1" ht="12.2" customHeight="1" x14ac:dyDescent="0.15">
      <c r="A455" s="1" t="s">
        <v>854</v>
      </c>
      <c r="B455" s="22">
        <v>18</v>
      </c>
      <c r="C455" s="6">
        <v>14</v>
      </c>
      <c r="D455" s="2" t="s">
        <v>432</v>
      </c>
      <c r="E455" s="6">
        <v>753</v>
      </c>
      <c r="F455" s="18"/>
      <c r="G455" s="18"/>
      <c r="H455" s="18"/>
      <c r="I455" s="13">
        <f t="shared" ref="I455:I460" si="34">SUM(F455:H455)</f>
        <v>0</v>
      </c>
      <c r="J455" s="23" t="s">
        <v>288</v>
      </c>
      <c r="K455" s="23" t="s">
        <v>288</v>
      </c>
      <c r="L455" s="23" t="s">
        <v>288</v>
      </c>
      <c r="M455" s="8"/>
      <c r="N455" s="164"/>
    </row>
    <row r="456" spans="1:86" s="3" customFormat="1" ht="12.2" customHeight="1" x14ac:dyDescent="0.15">
      <c r="A456" s="1" t="s">
        <v>847</v>
      </c>
      <c r="B456" s="22">
        <v>18</v>
      </c>
      <c r="C456" s="6">
        <v>15</v>
      </c>
      <c r="D456" s="2"/>
      <c r="E456" s="6">
        <v>753</v>
      </c>
      <c r="F456" s="18"/>
      <c r="G456" s="18"/>
      <c r="H456" s="18"/>
      <c r="I456" s="13">
        <f t="shared" si="34"/>
        <v>0</v>
      </c>
      <c r="J456" s="23"/>
      <c r="K456" s="23"/>
      <c r="L456" s="23"/>
      <c r="M456" s="8"/>
      <c r="N456" s="164"/>
    </row>
    <row r="457" spans="1:86" s="3" customFormat="1" ht="12.2" customHeight="1" x14ac:dyDescent="0.15">
      <c r="A457" s="1" t="s">
        <v>609</v>
      </c>
      <c r="B457" s="22">
        <v>18</v>
      </c>
      <c r="C457" s="6">
        <v>16</v>
      </c>
      <c r="D457" s="2" t="s">
        <v>432</v>
      </c>
      <c r="E457" s="6">
        <v>754</v>
      </c>
      <c r="F457" s="18"/>
      <c r="G457" s="18"/>
      <c r="H457" s="18"/>
      <c r="I457" s="13">
        <f t="shared" si="34"/>
        <v>0</v>
      </c>
      <c r="J457" s="23" t="s">
        <v>288</v>
      </c>
      <c r="K457" s="23" t="s">
        <v>288</v>
      </c>
      <c r="L457" s="23" t="s">
        <v>288</v>
      </c>
      <c r="M457" s="8"/>
      <c r="N457" s="164"/>
    </row>
    <row r="458" spans="1:86" s="12" customFormat="1" ht="12.2" customHeight="1" thickBot="1" x14ac:dyDescent="0.25">
      <c r="A458" s="1" t="s">
        <v>850</v>
      </c>
      <c r="B458" s="22">
        <v>18</v>
      </c>
      <c r="C458" s="6">
        <v>17</v>
      </c>
      <c r="D458" s="2" t="s">
        <v>432</v>
      </c>
      <c r="E458" s="6">
        <v>756</v>
      </c>
      <c r="F458" s="18"/>
      <c r="G458" s="18"/>
      <c r="H458" s="18"/>
      <c r="I458" s="13">
        <f t="shared" si="34"/>
        <v>0</v>
      </c>
      <c r="J458" s="23" t="s">
        <v>288</v>
      </c>
      <c r="K458" s="23" t="s">
        <v>288</v>
      </c>
      <c r="L458" s="23" t="s">
        <v>288</v>
      </c>
      <c r="M458"/>
      <c r="N458" s="130"/>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2" customHeight="1" thickBot="1" x14ac:dyDescent="0.25">
      <c r="A459" s="1" t="s">
        <v>851</v>
      </c>
      <c r="B459" s="22">
        <v>18</v>
      </c>
      <c r="C459" s="6">
        <v>18</v>
      </c>
      <c r="D459" s="2"/>
      <c r="E459" s="6">
        <v>756</v>
      </c>
      <c r="F459" s="18"/>
      <c r="G459" s="18"/>
      <c r="H459" s="18"/>
      <c r="I459" s="13">
        <f t="shared" si="34"/>
        <v>0</v>
      </c>
      <c r="J459" s="23"/>
      <c r="K459" s="23"/>
      <c r="L459" s="23"/>
      <c r="M459"/>
      <c r="N459" s="130"/>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2" customHeight="1" thickBot="1" x14ac:dyDescent="0.25">
      <c r="A460" s="1" t="s">
        <v>579</v>
      </c>
      <c r="B460" s="22">
        <v>18</v>
      </c>
      <c r="C460" s="6">
        <v>19</v>
      </c>
      <c r="D460" s="2" t="s">
        <v>432</v>
      </c>
      <c r="E460" s="6">
        <v>760</v>
      </c>
      <c r="F460" s="18">
        <v>608288</v>
      </c>
      <c r="G460" s="18">
        <v>1080461</v>
      </c>
      <c r="H460" s="18"/>
      <c r="I460" s="13">
        <f t="shared" si="34"/>
        <v>1688749</v>
      </c>
      <c r="J460" s="23" t="s">
        <v>288</v>
      </c>
      <c r="K460" s="23" t="s">
        <v>288</v>
      </c>
      <c r="L460" s="23" t="s">
        <v>288</v>
      </c>
      <c r="N460" s="130"/>
    </row>
    <row r="461" spans="1:86" ht="12.2" customHeight="1" thickTop="1" thickBot="1" x14ac:dyDescent="0.25">
      <c r="A461" s="46" t="s">
        <v>407</v>
      </c>
      <c r="B461" s="63">
        <v>18</v>
      </c>
      <c r="C461" s="47">
        <v>20</v>
      </c>
      <c r="D461" s="44" t="s">
        <v>432</v>
      </c>
      <c r="E461" s="47"/>
      <c r="F461" s="65">
        <f>SUM(F455:F460)</f>
        <v>608288</v>
      </c>
      <c r="G461" s="65">
        <f>SUM(G455:G460)</f>
        <v>1080461</v>
      </c>
      <c r="H461" s="65">
        <f>SUM(H455:H460)</f>
        <v>0</v>
      </c>
      <c r="I461" s="65">
        <f>SUM(I455:I460)</f>
        <v>1688749</v>
      </c>
      <c r="J461" s="23" t="s">
        <v>288</v>
      </c>
      <c r="K461" s="23" t="s">
        <v>288</v>
      </c>
      <c r="L461" s="23" t="s">
        <v>288</v>
      </c>
      <c r="N461" s="130"/>
    </row>
    <row r="462" spans="1:86" ht="12.2" customHeight="1" thickTop="1" x14ac:dyDescent="0.2">
      <c r="A462" s="40" t="s">
        <v>424</v>
      </c>
      <c r="B462" s="41">
        <v>18</v>
      </c>
      <c r="C462" s="64">
        <v>21</v>
      </c>
      <c r="D462" s="114" t="s">
        <v>432</v>
      </c>
      <c r="E462" s="64"/>
      <c r="F462" s="39">
        <f>F453+F461</f>
        <v>608288</v>
      </c>
      <c r="G462" s="39">
        <f>G453+G461</f>
        <v>1080461</v>
      </c>
      <c r="H462" s="39">
        <f>H453+H461</f>
        <v>0</v>
      </c>
      <c r="I462" s="39">
        <f>I453+I461</f>
        <v>1688749</v>
      </c>
      <c r="J462" s="23" t="s">
        <v>288</v>
      </c>
      <c r="K462" s="23" t="s">
        <v>288</v>
      </c>
      <c r="L462" s="23" t="s">
        <v>288</v>
      </c>
      <c r="N462" s="130"/>
    </row>
    <row r="463" spans="1:86" ht="12.2" customHeight="1" x14ac:dyDescent="0.2">
      <c r="A463" s="32"/>
      <c r="B463" s="22"/>
      <c r="C463" s="31"/>
      <c r="D463" s="31"/>
      <c r="E463" s="31"/>
      <c r="N463" s="130"/>
    </row>
    <row r="464" spans="1:86" ht="12.2" customHeight="1" x14ac:dyDescent="0.2">
      <c r="A464" s="32" t="s">
        <v>9</v>
      </c>
      <c r="B464" s="22"/>
      <c r="C464" s="31"/>
      <c r="D464" s="31"/>
      <c r="E464" s="31"/>
      <c r="F464" s="22" t="s">
        <v>273</v>
      </c>
      <c r="G464" s="22" t="s">
        <v>274</v>
      </c>
      <c r="H464" s="22" t="s">
        <v>275</v>
      </c>
      <c r="I464" s="22" t="s">
        <v>276</v>
      </c>
      <c r="J464" s="22" t="s">
        <v>277</v>
      </c>
      <c r="N464" s="130"/>
    </row>
    <row r="465" spans="1:14" ht="12.2" customHeight="1" x14ac:dyDescent="0.2">
      <c r="A465" s="32"/>
      <c r="B465" s="22"/>
      <c r="C465" s="31"/>
      <c r="D465" s="31"/>
      <c r="E465" s="31"/>
      <c r="F465" s="66" t="s">
        <v>10</v>
      </c>
      <c r="G465" s="66" t="s">
        <v>11</v>
      </c>
      <c r="H465" s="66" t="s">
        <v>12</v>
      </c>
      <c r="I465" s="66" t="s">
        <v>13</v>
      </c>
      <c r="J465" s="66" t="s">
        <v>14</v>
      </c>
      <c r="N465" s="130"/>
    </row>
    <row r="466" spans="1:14" ht="12.2" customHeight="1" x14ac:dyDescent="0.2">
      <c r="A466" s="137" t="s">
        <v>1784</v>
      </c>
      <c r="B466" s="22">
        <v>19</v>
      </c>
      <c r="C466" s="31">
        <v>1</v>
      </c>
      <c r="D466" s="2" t="s">
        <v>432</v>
      </c>
      <c r="E466" s="31"/>
      <c r="F466" s="18">
        <v>956220.38</v>
      </c>
      <c r="G466" s="18">
        <v>412909.91</v>
      </c>
      <c r="H466" s="18">
        <v>2050.19</v>
      </c>
      <c r="I466" s="18">
        <v>0</v>
      </c>
      <c r="J466" s="18">
        <v>1452472.62</v>
      </c>
      <c r="K466" s="23" t="s">
        <v>288</v>
      </c>
      <c r="L466" s="23" t="s">
        <v>288</v>
      </c>
      <c r="N466" s="130"/>
    </row>
    <row r="467" spans="1:14" ht="12.2" customHeight="1" x14ac:dyDescent="0.2">
      <c r="A467" s="23" t="s">
        <v>288</v>
      </c>
      <c r="B467" s="23" t="s">
        <v>288</v>
      </c>
      <c r="C467" s="23" t="s">
        <v>288</v>
      </c>
      <c r="D467" s="23"/>
      <c r="E467" s="23"/>
      <c r="F467" s="23" t="s">
        <v>288</v>
      </c>
      <c r="G467" s="23" t="s">
        <v>288</v>
      </c>
      <c r="H467" s="23" t="s">
        <v>288</v>
      </c>
      <c r="I467" s="23" t="s">
        <v>288</v>
      </c>
      <c r="J467" s="23" t="s">
        <v>288</v>
      </c>
      <c r="K467" s="23" t="s">
        <v>288</v>
      </c>
      <c r="L467" s="23" t="s">
        <v>288</v>
      </c>
      <c r="N467" s="130"/>
    </row>
    <row r="468" spans="1:14" ht="12.2" customHeight="1" x14ac:dyDescent="0.2">
      <c r="A468" s="72" t="s">
        <v>15</v>
      </c>
      <c r="B468" s="23" t="s">
        <v>288</v>
      </c>
      <c r="C468" s="23" t="s">
        <v>288</v>
      </c>
      <c r="D468" s="23"/>
      <c r="E468" s="23"/>
      <c r="F468" s="23" t="s">
        <v>288</v>
      </c>
      <c r="G468" s="23" t="s">
        <v>288</v>
      </c>
      <c r="H468" s="23" t="s">
        <v>288</v>
      </c>
      <c r="I468" s="23" t="s">
        <v>288</v>
      </c>
      <c r="J468" s="23" t="s">
        <v>288</v>
      </c>
      <c r="K468" s="23" t="s">
        <v>288</v>
      </c>
      <c r="L468" s="23" t="s">
        <v>288</v>
      </c>
      <c r="N468" s="130"/>
    </row>
    <row r="469" spans="1:14" ht="12.2" customHeight="1" x14ac:dyDescent="0.2">
      <c r="A469" s="71" t="s">
        <v>610</v>
      </c>
      <c r="B469" s="22">
        <v>19</v>
      </c>
      <c r="C469" s="31">
        <v>2</v>
      </c>
      <c r="D469" s="2" t="s">
        <v>432</v>
      </c>
      <c r="E469" s="31"/>
      <c r="F469" s="18">
        <f>29182953.8-328407.54</f>
        <v>28854546.260000002</v>
      </c>
      <c r="G469" s="18">
        <v>774293.42</v>
      </c>
      <c r="H469" s="18">
        <f>927577.05+328407.54</f>
        <v>1255984.5900000001</v>
      </c>
      <c r="I469" s="18"/>
      <c r="J469" s="18">
        <f>487000+140986-41993.62</f>
        <v>585992.38</v>
      </c>
      <c r="K469" s="23" t="s">
        <v>288</v>
      </c>
      <c r="L469" s="23" t="s">
        <v>288</v>
      </c>
      <c r="N469" s="130"/>
    </row>
    <row r="470" spans="1:14" ht="12.2" customHeight="1" x14ac:dyDescent="0.2">
      <c r="A470" s="71" t="s">
        <v>611</v>
      </c>
      <c r="B470" s="22">
        <v>19</v>
      </c>
      <c r="C470" s="31">
        <v>3</v>
      </c>
      <c r="D470" s="2" t="s">
        <v>432</v>
      </c>
      <c r="E470" s="31"/>
      <c r="F470" s="18"/>
      <c r="G470" s="18">
        <f>463335.93-412909.91</f>
        <v>50426.020000000019</v>
      </c>
      <c r="H470" s="18">
        <v>10307.81</v>
      </c>
      <c r="I470" s="18"/>
      <c r="J470" s="18"/>
      <c r="K470" s="23" t="s">
        <v>288</v>
      </c>
      <c r="L470" s="23" t="s">
        <v>288</v>
      </c>
      <c r="N470" s="130"/>
    </row>
    <row r="471" spans="1:14" ht="12.2" customHeight="1" x14ac:dyDescent="0.2">
      <c r="A471" s="32" t="s">
        <v>425</v>
      </c>
      <c r="B471" s="22">
        <v>19</v>
      </c>
      <c r="C471" s="31">
        <v>4</v>
      </c>
      <c r="D471" s="2" t="s">
        <v>432</v>
      </c>
      <c r="E471" s="31"/>
      <c r="F471" s="19">
        <f>SUM(F469:F470)</f>
        <v>28854546.260000002</v>
      </c>
      <c r="G471" s="19">
        <f>SUM(G469:G470)</f>
        <v>824719.44000000006</v>
      </c>
      <c r="H471" s="19">
        <f>SUM(H469:H470)</f>
        <v>1266292.4000000001</v>
      </c>
      <c r="I471" s="19">
        <f>SUM(I469:I470)</f>
        <v>0</v>
      </c>
      <c r="J471" s="19">
        <f>SUM(J469:J470)</f>
        <v>585992.38</v>
      </c>
      <c r="K471" s="23" t="s">
        <v>288</v>
      </c>
      <c r="L471" s="23" t="s">
        <v>288</v>
      </c>
      <c r="N471" s="130"/>
    </row>
    <row r="472" spans="1:14" ht="12.2" customHeight="1" x14ac:dyDescent="0.2">
      <c r="A472" s="72" t="s">
        <v>16</v>
      </c>
      <c r="B472" s="23" t="s">
        <v>288</v>
      </c>
      <c r="C472" s="23" t="s">
        <v>288</v>
      </c>
      <c r="D472" s="23"/>
      <c r="E472" s="23"/>
      <c r="F472" s="23" t="s">
        <v>288</v>
      </c>
      <c r="G472" s="23" t="s">
        <v>288</v>
      </c>
      <c r="H472" s="23" t="s">
        <v>288</v>
      </c>
      <c r="I472" s="23" t="s">
        <v>288</v>
      </c>
      <c r="J472" s="23" t="s">
        <v>288</v>
      </c>
      <c r="K472" s="23" t="s">
        <v>288</v>
      </c>
      <c r="L472" s="23" t="s">
        <v>288</v>
      </c>
      <c r="N472" s="130"/>
    </row>
    <row r="473" spans="1:14" ht="12.2" customHeight="1" x14ac:dyDescent="0.2">
      <c r="A473" s="71" t="s">
        <v>612</v>
      </c>
      <c r="B473" s="22">
        <v>19</v>
      </c>
      <c r="C473" s="31">
        <v>5</v>
      </c>
      <c r="D473" s="2" t="s">
        <v>432</v>
      </c>
      <c r="E473" s="31"/>
      <c r="F473" s="18">
        <f>29660570.39-328407.54</f>
        <v>29332162.850000001</v>
      </c>
      <c r="G473" s="18">
        <v>791748.59</v>
      </c>
      <c r="H473" s="18">
        <f>913358.57+328407.55</f>
        <v>1241766.1199999999</v>
      </c>
      <c r="I473" s="18"/>
      <c r="J473" s="18">
        <v>349716</v>
      </c>
      <c r="K473" s="23" t="s">
        <v>288</v>
      </c>
      <c r="L473" s="23" t="s">
        <v>288</v>
      </c>
      <c r="N473" s="130"/>
    </row>
    <row r="474" spans="1:14" ht="12.2" customHeight="1" x14ac:dyDescent="0.2">
      <c r="A474" s="71" t="s">
        <v>613</v>
      </c>
      <c r="B474" s="22">
        <v>19</v>
      </c>
      <c r="C474" s="31">
        <v>6</v>
      </c>
      <c r="D474" s="2" t="s">
        <v>432</v>
      </c>
      <c r="E474" s="31"/>
      <c r="F474" s="18">
        <v>291988.86</v>
      </c>
      <c r="G474" s="18"/>
      <c r="H474" s="18"/>
      <c r="I474" s="18"/>
      <c r="J474" s="18"/>
      <c r="K474" s="23" t="s">
        <v>288</v>
      </c>
      <c r="L474" s="23" t="s">
        <v>288</v>
      </c>
      <c r="N474" s="130"/>
    </row>
    <row r="475" spans="1:14" ht="12.2" customHeight="1" x14ac:dyDescent="0.2">
      <c r="A475" s="32" t="s">
        <v>426</v>
      </c>
      <c r="B475" s="22">
        <v>19</v>
      </c>
      <c r="C475" s="31">
        <v>7</v>
      </c>
      <c r="D475" s="2" t="s">
        <v>432</v>
      </c>
      <c r="E475" s="31"/>
      <c r="F475" s="19">
        <f>SUM(F473:F474)</f>
        <v>29624151.710000001</v>
      </c>
      <c r="G475" s="19">
        <f>SUM(G473:G474)</f>
        <v>791748.59</v>
      </c>
      <c r="H475" s="19">
        <f>SUM(H473:H474)</f>
        <v>1241766.1199999999</v>
      </c>
      <c r="I475" s="19">
        <f>SUM(I473:I474)</f>
        <v>0</v>
      </c>
      <c r="J475" s="19">
        <f>SUM(J473:J474)</f>
        <v>349716</v>
      </c>
      <c r="K475" s="23" t="s">
        <v>288</v>
      </c>
      <c r="L475" s="23" t="s">
        <v>288</v>
      </c>
      <c r="N475" s="130"/>
    </row>
    <row r="476" spans="1:14" ht="12.2" customHeight="1" x14ac:dyDescent="0.2">
      <c r="A476" s="23" t="s">
        <v>288</v>
      </c>
      <c r="B476" s="23" t="s">
        <v>288</v>
      </c>
      <c r="C476" s="23" t="s">
        <v>288</v>
      </c>
      <c r="D476" s="23"/>
      <c r="E476" s="23"/>
      <c r="F476" s="23" t="s">
        <v>288</v>
      </c>
      <c r="G476" s="23" t="s">
        <v>288</v>
      </c>
      <c r="H476" s="23" t="s">
        <v>288</v>
      </c>
      <c r="I476" s="23" t="s">
        <v>288</v>
      </c>
      <c r="J476" s="23" t="s">
        <v>288</v>
      </c>
      <c r="K476" s="23" t="s">
        <v>288</v>
      </c>
      <c r="L476" s="23" t="s">
        <v>288</v>
      </c>
      <c r="N476" s="130"/>
    </row>
    <row r="477" spans="1:14" ht="12.2" customHeight="1" x14ac:dyDescent="0.2">
      <c r="A477" s="138" t="s">
        <v>1785</v>
      </c>
      <c r="B477" s="22">
        <v>19</v>
      </c>
      <c r="C477" s="22">
        <v>8</v>
      </c>
      <c r="D477" s="2" t="s">
        <v>432</v>
      </c>
      <c r="E477" s="22"/>
      <c r="F477" s="19">
        <f>(F466+F471)- F475</f>
        <v>186614.9299999997</v>
      </c>
      <c r="G477" s="19">
        <f>(G466+G471)- G475</f>
        <v>445880.76000000013</v>
      </c>
      <c r="H477" s="19">
        <f>(H466+H471)- H475</f>
        <v>26576.470000000205</v>
      </c>
      <c r="I477" s="19">
        <f>(I466+I471)- I475</f>
        <v>0</v>
      </c>
      <c r="J477" s="19">
        <f>(J466+J471)- J475</f>
        <v>1688749</v>
      </c>
      <c r="K477" s="23" t="s">
        <v>288</v>
      </c>
      <c r="L477" s="23" t="s">
        <v>288</v>
      </c>
      <c r="N477" s="130"/>
    </row>
    <row r="478" spans="1:14" ht="12.2" customHeight="1" x14ac:dyDescent="0.2">
      <c r="A478" s="73"/>
      <c r="B478" s="73"/>
      <c r="C478" s="73"/>
      <c r="D478" s="73"/>
      <c r="E478" s="73"/>
      <c r="F478" s="73"/>
      <c r="G478" s="73"/>
      <c r="H478" s="73"/>
      <c r="I478" s="73"/>
      <c r="J478" s="73"/>
      <c r="K478" s="73"/>
      <c r="L478" s="73"/>
      <c r="N478" s="130"/>
    </row>
    <row r="479" spans="1:14" ht="12.2" customHeight="1" x14ac:dyDescent="0.2">
      <c r="A479" s="73" t="s">
        <v>657</v>
      </c>
      <c r="B479" s="73"/>
      <c r="C479" s="73"/>
      <c r="D479" s="73"/>
      <c r="E479" s="73"/>
      <c r="F479" s="73"/>
      <c r="G479" s="73"/>
      <c r="H479" s="73"/>
      <c r="I479" s="73"/>
      <c r="J479" s="73"/>
      <c r="K479" s="73"/>
      <c r="L479" s="73"/>
      <c r="N479" s="130"/>
    </row>
    <row r="480" spans="1:14" ht="12.2" customHeight="1" x14ac:dyDescent="0.2">
      <c r="A480" s="73" t="s">
        <v>695</v>
      </c>
      <c r="B480" s="73"/>
      <c r="C480" s="73"/>
      <c r="D480" s="73"/>
      <c r="E480" s="73"/>
      <c r="F480" s="73"/>
      <c r="G480" s="73"/>
      <c r="H480" s="73"/>
      <c r="I480" s="73" t="s">
        <v>17</v>
      </c>
      <c r="J480" s="73"/>
      <c r="K480" s="73"/>
      <c r="L480" s="73"/>
      <c r="N480" s="130"/>
    </row>
    <row r="481" spans="1:14" ht="12.2" customHeight="1" x14ac:dyDescent="0.2">
      <c r="A481" s="18"/>
      <c r="B481" s="73"/>
      <c r="C481" s="73"/>
      <c r="D481" s="73"/>
      <c r="E481" s="73"/>
      <c r="F481" s="73"/>
      <c r="G481" s="73"/>
      <c r="H481" s="73"/>
      <c r="I481" s="73" t="s">
        <v>401</v>
      </c>
      <c r="J481" s="73"/>
      <c r="K481" s="73"/>
      <c r="L481" s="73"/>
      <c r="N481" s="130"/>
    </row>
    <row r="482" spans="1:14" ht="12.2" customHeight="1" x14ac:dyDescent="0.2">
      <c r="A482" s="20"/>
      <c r="B482" s="73"/>
      <c r="C482" s="73"/>
      <c r="D482" s="73"/>
      <c r="E482" s="73"/>
      <c r="F482" s="73"/>
      <c r="G482" s="73"/>
      <c r="H482" s="73"/>
      <c r="I482" s="73" t="s">
        <v>650</v>
      </c>
      <c r="J482" s="73"/>
      <c r="K482" s="73"/>
      <c r="L482" s="73"/>
      <c r="N482" s="130"/>
    </row>
    <row r="483" spans="1:14" ht="12.2" customHeight="1" x14ac:dyDescent="0.2">
      <c r="A483" s="73" t="s">
        <v>696</v>
      </c>
      <c r="B483" s="73"/>
      <c r="C483" s="73"/>
      <c r="D483" s="73"/>
      <c r="E483" s="73"/>
      <c r="F483" s="73"/>
      <c r="G483" s="73"/>
      <c r="H483" s="73"/>
      <c r="I483" s="73" t="s">
        <v>473</v>
      </c>
      <c r="J483" s="73"/>
      <c r="K483" s="73"/>
      <c r="L483" s="73"/>
      <c r="N483" s="130"/>
    </row>
    <row r="484" spans="1:14" ht="12.2" customHeight="1" x14ac:dyDescent="0.2">
      <c r="A484" s="55"/>
      <c r="B484" s="73"/>
      <c r="C484" s="73"/>
      <c r="D484" s="73"/>
      <c r="E484" s="73"/>
      <c r="F484" s="73"/>
      <c r="G484" s="73"/>
      <c r="H484" s="73"/>
      <c r="I484" s="73" t="s">
        <v>18</v>
      </c>
      <c r="J484" s="73"/>
      <c r="K484" s="73"/>
      <c r="L484" s="73"/>
      <c r="N484" s="130"/>
    </row>
    <row r="485" spans="1:14" ht="12.2" customHeight="1" x14ac:dyDescent="0.2">
      <c r="A485" s="55"/>
      <c r="B485" s="73"/>
      <c r="C485" s="73"/>
      <c r="D485" s="73"/>
      <c r="E485" s="73"/>
      <c r="F485" s="73"/>
      <c r="G485" s="73"/>
      <c r="H485" s="73"/>
      <c r="I485" s="73" t="s">
        <v>474</v>
      </c>
      <c r="J485" s="73"/>
      <c r="K485" s="73"/>
      <c r="L485" s="73"/>
      <c r="N485" s="130"/>
    </row>
    <row r="486" spans="1:14" ht="12.2" customHeight="1" x14ac:dyDescent="0.2">
      <c r="A486" s="55"/>
      <c r="B486" s="73"/>
      <c r="C486" s="73"/>
      <c r="D486" s="73"/>
      <c r="E486" s="73"/>
      <c r="F486" s="73"/>
      <c r="G486" s="73"/>
      <c r="H486" s="73"/>
      <c r="I486" s="73" t="s">
        <v>475</v>
      </c>
      <c r="J486" s="73"/>
      <c r="K486" s="73"/>
      <c r="L486" s="73"/>
      <c r="N486" s="130"/>
    </row>
    <row r="487" spans="1:14" ht="12.2" customHeight="1" x14ac:dyDescent="0.2">
      <c r="A487" s="21"/>
      <c r="B487" s="73"/>
      <c r="C487" s="73"/>
      <c r="D487" s="73"/>
      <c r="E487" s="73"/>
      <c r="F487" s="73"/>
      <c r="G487" s="73"/>
      <c r="H487" s="73"/>
      <c r="I487" s="73"/>
      <c r="J487" s="73"/>
      <c r="K487" s="73"/>
      <c r="L487" s="73"/>
      <c r="N487" s="130"/>
    </row>
    <row r="488" spans="1:14" ht="12.2" customHeight="1" x14ac:dyDescent="0.2">
      <c r="A488" s="74" t="s">
        <v>19</v>
      </c>
      <c r="B488" s="22"/>
      <c r="C488" s="22"/>
      <c r="D488" s="22"/>
      <c r="E488" s="22"/>
      <c r="N488" s="130"/>
    </row>
    <row r="489" spans="1:14" ht="12.2" customHeight="1" x14ac:dyDescent="0.2">
      <c r="A489" s="260" t="s">
        <v>1786</v>
      </c>
      <c r="B489" s="22"/>
      <c r="C489" s="22"/>
      <c r="D489" s="22"/>
      <c r="E489" s="22"/>
      <c r="F489" s="15" t="s">
        <v>264</v>
      </c>
      <c r="G489" s="15" t="s">
        <v>265</v>
      </c>
      <c r="H489" s="15" t="s">
        <v>266</v>
      </c>
      <c r="I489" s="15" t="s">
        <v>267</v>
      </c>
      <c r="J489" s="15" t="s">
        <v>268</v>
      </c>
      <c r="K489" s="15" t="s">
        <v>269</v>
      </c>
      <c r="N489" s="130"/>
    </row>
    <row r="490" spans="1:14" ht="12.2" customHeight="1" x14ac:dyDescent="0.2">
      <c r="A490" s="74" t="s">
        <v>21</v>
      </c>
      <c r="B490" s="22"/>
      <c r="C490" s="22"/>
      <c r="D490" s="22"/>
      <c r="E490" s="22"/>
      <c r="F490" s="84" t="s">
        <v>22</v>
      </c>
      <c r="G490" s="84" t="s">
        <v>23</v>
      </c>
      <c r="H490" s="84" t="s">
        <v>24</v>
      </c>
      <c r="I490" s="84" t="s">
        <v>25</v>
      </c>
      <c r="J490" s="84" t="s">
        <v>26</v>
      </c>
      <c r="K490" s="84" t="s">
        <v>340</v>
      </c>
      <c r="N490" s="130"/>
    </row>
    <row r="491" spans="1:14" ht="12.2" customHeight="1" x14ac:dyDescent="0.2">
      <c r="A491" s="21" t="s">
        <v>614</v>
      </c>
      <c r="B491" s="22">
        <v>20</v>
      </c>
      <c r="C491" s="22">
        <v>1</v>
      </c>
      <c r="D491" s="2" t="s">
        <v>432</v>
      </c>
      <c r="E491" s="22"/>
      <c r="F491" s="111"/>
      <c r="G491" s="111"/>
      <c r="H491" s="111"/>
      <c r="I491" s="111"/>
      <c r="J491" s="111"/>
      <c r="K491" s="23" t="s">
        <v>288</v>
      </c>
      <c r="L491" s="23" t="s">
        <v>288</v>
      </c>
      <c r="N491" s="130"/>
    </row>
    <row r="492" spans="1:14" ht="12.2" customHeight="1" x14ac:dyDescent="0.2">
      <c r="A492" s="21" t="s">
        <v>615</v>
      </c>
      <c r="B492" s="22">
        <v>20</v>
      </c>
      <c r="C492" s="22">
        <v>2</v>
      </c>
      <c r="D492" s="2" t="s">
        <v>432</v>
      </c>
      <c r="E492" s="22"/>
      <c r="F492" s="112"/>
      <c r="G492" s="112"/>
      <c r="H492" s="111"/>
      <c r="I492" s="111"/>
      <c r="J492" s="111"/>
      <c r="K492" s="23" t="s">
        <v>288</v>
      </c>
      <c r="L492" s="23" t="s">
        <v>288</v>
      </c>
      <c r="N492" s="130"/>
    </row>
    <row r="493" spans="1:14" ht="12.2" customHeight="1" x14ac:dyDescent="0.2">
      <c r="A493" s="21" t="s">
        <v>616</v>
      </c>
      <c r="B493" s="22">
        <v>20</v>
      </c>
      <c r="C493" s="22">
        <v>3</v>
      </c>
      <c r="D493" s="2" t="s">
        <v>432</v>
      </c>
      <c r="E493" s="22"/>
      <c r="F493" s="112"/>
      <c r="G493" s="112"/>
      <c r="H493" s="111"/>
      <c r="I493" s="111"/>
      <c r="J493" s="111"/>
      <c r="K493" s="23" t="s">
        <v>288</v>
      </c>
      <c r="L493" s="23" t="s">
        <v>288</v>
      </c>
      <c r="N493" s="130"/>
    </row>
    <row r="494" spans="1:14" ht="12.2" customHeight="1" x14ac:dyDescent="0.2">
      <c r="A494" s="21" t="s">
        <v>617</v>
      </c>
      <c r="B494" s="22">
        <v>20</v>
      </c>
      <c r="C494" s="22">
        <v>4</v>
      </c>
      <c r="D494" s="2" t="s">
        <v>432</v>
      </c>
      <c r="E494" s="22"/>
      <c r="F494" s="18"/>
      <c r="G494" s="18"/>
      <c r="H494" s="18"/>
      <c r="I494" s="18"/>
      <c r="J494" s="18"/>
      <c r="K494" s="23" t="s">
        <v>288</v>
      </c>
      <c r="L494" s="23" t="s">
        <v>288</v>
      </c>
      <c r="N494" s="130"/>
    </row>
    <row r="495" spans="1:14" ht="12.2" customHeight="1" x14ac:dyDescent="0.2">
      <c r="A495" s="21" t="s">
        <v>618</v>
      </c>
      <c r="B495" s="22">
        <v>20</v>
      </c>
      <c r="C495" s="22">
        <v>5</v>
      </c>
      <c r="D495" s="2" t="s">
        <v>432</v>
      </c>
      <c r="E495" s="22"/>
      <c r="F495" s="18"/>
      <c r="G495" s="18"/>
      <c r="H495" s="18"/>
      <c r="I495" s="18"/>
      <c r="J495" s="18"/>
      <c r="K495" s="23" t="s">
        <v>288</v>
      </c>
      <c r="L495" s="23" t="s">
        <v>288</v>
      </c>
      <c r="N495" s="130"/>
    </row>
    <row r="496" spans="1:14" ht="12.2" customHeight="1" x14ac:dyDescent="0.2">
      <c r="A496" s="21" t="s">
        <v>619</v>
      </c>
      <c r="B496" s="22">
        <v>20</v>
      </c>
      <c r="C496" s="22">
        <v>6</v>
      </c>
      <c r="D496" s="2" t="s">
        <v>432</v>
      </c>
      <c r="E496" s="22"/>
      <c r="F496" s="18"/>
      <c r="G496" s="18"/>
      <c r="H496" s="18"/>
      <c r="I496" s="18"/>
      <c r="J496" s="18"/>
      <c r="K496" s="19">
        <f>SUM(F496:J496)</f>
        <v>0</v>
      </c>
      <c r="L496" s="23" t="s">
        <v>288</v>
      </c>
      <c r="N496" s="130"/>
    </row>
    <row r="497" spans="1:14" ht="12.2" customHeight="1" x14ac:dyDescent="0.2">
      <c r="A497" s="21" t="s">
        <v>620</v>
      </c>
      <c r="B497" s="22">
        <v>20</v>
      </c>
      <c r="C497" s="22">
        <v>7</v>
      </c>
      <c r="D497" s="2" t="s">
        <v>432</v>
      </c>
      <c r="E497" s="22"/>
      <c r="F497" s="18"/>
      <c r="G497" s="18"/>
      <c r="H497" s="18"/>
      <c r="I497" s="18"/>
      <c r="J497" s="18"/>
      <c r="K497" s="19">
        <f t="shared" ref="K497:K504" si="35">SUM(F497:J497)</f>
        <v>0</v>
      </c>
      <c r="L497" s="23" t="s">
        <v>288</v>
      </c>
      <c r="N497" s="130"/>
    </row>
    <row r="498" spans="1:14" ht="12.2" customHeight="1" x14ac:dyDescent="0.2">
      <c r="A498" s="21" t="s">
        <v>621</v>
      </c>
      <c r="B498" s="22">
        <v>20</v>
      </c>
      <c r="C498" s="22">
        <v>8</v>
      </c>
      <c r="D498" s="2" t="s">
        <v>432</v>
      </c>
      <c r="E498" s="22"/>
      <c r="F498" s="18"/>
      <c r="G498" s="18"/>
      <c r="H498" s="18"/>
      <c r="I498" s="18"/>
      <c r="J498" s="18"/>
      <c r="K498" s="19">
        <f t="shared" si="35"/>
        <v>0</v>
      </c>
      <c r="L498" s="23" t="s">
        <v>288</v>
      </c>
      <c r="N498" s="130"/>
    </row>
    <row r="499" spans="1:14" ht="12.2" customHeight="1" x14ac:dyDescent="0.2">
      <c r="A499" s="143" t="s">
        <v>622</v>
      </c>
      <c r="B499" s="144">
        <v>20</v>
      </c>
      <c r="C499" s="144">
        <v>9</v>
      </c>
      <c r="D499" s="145" t="s">
        <v>432</v>
      </c>
      <c r="E499" s="144"/>
      <c r="F499" s="146"/>
      <c r="G499" s="146"/>
      <c r="H499" s="146"/>
      <c r="I499" s="146"/>
      <c r="J499" s="146"/>
      <c r="K499" s="147">
        <f t="shared" si="35"/>
        <v>0</v>
      </c>
      <c r="L499" s="148" t="s">
        <v>288</v>
      </c>
      <c r="N499" s="130"/>
    </row>
    <row r="500" spans="1:14" ht="12.2" customHeight="1" thickBot="1" x14ac:dyDescent="0.25">
      <c r="A500" s="21" t="s">
        <v>623</v>
      </c>
      <c r="B500" s="22">
        <v>20</v>
      </c>
      <c r="C500" s="22">
        <v>10</v>
      </c>
      <c r="D500" s="2" t="s">
        <v>432</v>
      </c>
      <c r="E500" s="22"/>
      <c r="F500" s="18"/>
      <c r="G500" s="18"/>
      <c r="H500" s="18"/>
      <c r="I500" s="18"/>
      <c r="J500" s="18"/>
      <c r="K500" s="19">
        <f t="shared" si="35"/>
        <v>0</v>
      </c>
      <c r="L500" s="23" t="s">
        <v>288</v>
      </c>
      <c r="N500" s="130"/>
    </row>
    <row r="501" spans="1:14" ht="12.2" customHeight="1" thickTop="1" x14ac:dyDescent="0.2">
      <c r="A501" s="97" t="s">
        <v>624</v>
      </c>
      <c r="B501" s="41">
        <v>20</v>
      </c>
      <c r="C501" s="41">
        <v>11</v>
      </c>
      <c r="D501" s="36" t="s">
        <v>432</v>
      </c>
      <c r="E501" s="41"/>
      <c r="F501" s="39">
        <f>SUM(F499:F500)</f>
        <v>0</v>
      </c>
      <c r="G501" s="39">
        <f>SUM(G499:G500)</f>
        <v>0</v>
      </c>
      <c r="H501" s="39">
        <f>SUM(H499:H500)</f>
        <v>0</v>
      </c>
      <c r="I501" s="39">
        <f>SUM(I499:I500)</f>
        <v>0</v>
      </c>
      <c r="J501" s="39">
        <f>SUM(J499:J500)</f>
        <v>0</v>
      </c>
      <c r="K501" s="39">
        <f t="shared" si="35"/>
        <v>0</v>
      </c>
      <c r="L501" s="42" t="s">
        <v>288</v>
      </c>
      <c r="N501" s="130"/>
    </row>
    <row r="502" spans="1:14" ht="12.2" customHeight="1" x14ac:dyDescent="0.2">
      <c r="A502" s="143" t="s">
        <v>651</v>
      </c>
      <c r="B502" s="144">
        <v>20</v>
      </c>
      <c r="C502" s="144">
        <v>12</v>
      </c>
      <c r="D502" s="145" t="s">
        <v>432</v>
      </c>
      <c r="E502" s="144"/>
      <c r="F502" s="146"/>
      <c r="G502" s="146"/>
      <c r="H502" s="146"/>
      <c r="I502" s="146"/>
      <c r="J502" s="146"/>
      <c r="K502" s="147">
        <f t="shared" si="35"/>
        <v>0</v>
      </c>
      <c r="L502" s="148" t="s">
        <v>288</v>
      </c>
      <c r="N502" s="130"/>
    </row>
    <row r="503" spans="1:14" ht="12.2" customHeight="1" thickBot="1" x14ac:dyDescent="0.25">
      <c r="A503" s="21" t="s">
        <v>625</v>
      </c>
      <c r="B503" s="22">
        <v>20</v>
      </c>
      <c r="C503" s="22">
        <v>13</v>
      </c>
      <c r="D503" s="2" t="s">
        <v>432</v>
      </c>
      <c r="E503" s="22"/>
      <c r="F503" s="18"/>
      <c r="G503" s="18"/>
      <c r="H503" s="18"/>
      <c r="I503" s="18"/>
      <c r="J503" s="18"/>
      <c r="K503" s="19">
        <f t="shared" si="35"/>
        <v>0</v>
      </c>
      <c r="L503" s="23" t="s">
        <v>288</v>
      </c>
      <c r="N503" s="130"/>
    </row>
    <row r="504" spans="1:14" ht="12.2" customHeight="1" thickTop="1" x14ac:dyDescent="0.2">
      <c r="A504" s="97" t="s">
        <v>626</v>
      </c>
      <c r="B504" s="41">
        <v>20</v>
      </c>
      <c r="C504" s="41">
        <v>14</v>
      </c>
      <c r="D504" s="36" t="s">
        <v>432</v>
      </c>
      <c r="E504" s="41"/>
      <c r="F504" s="39">
        <f>SUM(F502:F503)</f>
        <v>0</v>
      </c>
      <c r="G504" s="39">
        <f>SUM(G502:G503)</f>
        <v>0</v>
      </c>
      <c r="H504" s="39">
        <f>SUM(H502:H503)</f>
        <v>0</v>
      </c>
      <c r="I504" s="39">
        <f>SUM(I502:I503)</f>
        <v>0</v>
      </c>
      <c r="J504" s="39">
        <f>SUM(J502:J503)</f>
        <v>0</v>
      </c>
      <c r="K504" s="39">
        <f t="shared" si="35"/>
        <v>0</v>
      </c>
      <c r="L504" s="42" t="s">
        <v>288</v>
      </c>
      <c r="N504" s="130"/>
    </row>
    <row r="505" spans="1:14" ht="12.2" customHeight="1" x14ac:dyDescent="0.2">
      <c r="A505" s="74"/>
      <c r="B505" s="22"/>
      <c r="C505" s="22"/>
      <c r="D505" s="22"/>
      <c r="E505" s="22"/>
      <c r="F505" s="79"/>
      <c r="G505" s="79"/>
      <c r="H505" s="77"/>
      <c r="I505" s="77"/>
      <c r="J505" s="77"/>
      <c r="K505" s="77"/>
      <c r="L505" s="77"/>
      <c r="N505" s="130"/>
    </row>
    <row r="506" spans="1:14" ht="12.2" customHeight="1" x14ac:dyDescent="0.2">
      <c r="C506" s="22"/>
      <c r="D506" s="22"/>
      <c r="E506" s="22"/>
      <c r="F506" s="79"/>
      <c r="G506" s="79"/>
      <c r="H506" s="77"/>
      <c r="I506" s="77"/>
      <c r="J506" s="77"/>
      <c r="K506" s="77"/>
      <c r="L506" s="77"/>
      <c r="N506" s="130"/>
    </row>
    <row r="507" spans="1:14" ht="12.2" customHeight="1" x14ac:dyDescent="0.2">
      <c r="B507" s="22"/>
      <c r="F507" t="s">
        <v>41</v>
      </c>
      <c r="G507" s="79" t="s">
        <v>42</v>
      </c>
      <c r="H507" s="79" t="s">
        <v>43</v>
      </c>
      <c r="I507" s="77" t="s">
        <v>44</v>
      </c>
      <c r="J507" s="23" t="s">
        <v>288</v>
      </c>
      <c r="K507" s="23" t="s">
        <v>288</v>
      </c>
      <c r="L507" s="23" t="s">
        <v>288</v>
      </c>
      <c r="N507" s="130"/>
    </row>
    <row r="508" spans="1:14" ht="12.2" customHeight="1" x14ac:dyDescent="0.2">
      <c r="A508" s="74" t="s">
        <v>40</v>
      </c>
      <c r="B508" s="22">
        <v>20</v>
      </c>
      <c r="C508" s="22">
        <v>15</v>
      </c>
      <c r="D508" s="2" t="s">
        <v>432</v>
      </c>
      <c r="E508" s="22"/>
      <c r="F508" s="101"/>
      <c r="G508" s="101"/>
      <c r="H508" s="101"/>
      <c r="I508" s="101"/>
      <c r="J508" s="23" t="s">
        <v>288</v>
      </c>
      <c r="K508" s="23" t="s">
        <v>288</v>
      </c>
      <c r="L508" s="23" t="s">
        <v>288</v>
      </c>
      <c r="N508" s="130"/>
    </row>
    <row r="509" spans="1:14" ht="12.2" customHeight="1" x14ac:dyDescent="0.2">
      <c r="A509" s="74" t="s">
        <v>45</v>
      </c>
      <c r="B509" s="21"/>
      <c r="C509" s="21"/>
      <c r="D509" s="21"/>
      <c r="E509" s="21"/>
      <c r="F509" s="21"/>
      <c r="G509" s="21"/>
      <c r="H509" s="21"/>
      <c r="I509" s="21"/>
      <c r="N509" s="130"/>
    </row>
    <row r="510" spans="1:14" ht="12.2" customHeight="1" x14ac:dyDescent="0.2">
      <c r="A510" s="260" t="s">
        <v>1787</v>
      </c>
      <c r="B510" s="21"/>
      <c r="C510" s="21"/>
      <c r="D510" s="21"/>
      <c r="E510" s="21"/>
      <c r="F510" s="88" t="s">
        <v>46</v>
      </c>
      <c r="G510" s="88"/>
      <c r="H510" s="89" t="s">
        <v>47</v>
      </c>
      <c r="I510" s="89"/>
      <c r="N510" s="130"/>
    </row>
    <row r="511" spans="1:14" ht="12.2" customHeight="1" x14ac:dyDescent="0.2">
      <c r="A511" s="74"/>
      <c r="B511" s="21"/>
      <c r="C511" s="21"/>
      <c r="D511" s="21"/>
      <c r="E511" s="21"/>
      <c r="F511" s="83" t="s">
        <v>48</v>
      </c>
      <c r="G511" s="83" t="s">
        <v>49</v>
      </c>
      <c r="H511" s="76" t="s">
        <v>48</v>
      </c>
      <c r="I511" s="76" t="s">
        <v>49</v>
      </c>
      <c r="N511" s="130"/>
    </row>
    <row r="512" spans="1:14" ht="12.2" customHeight="1" x14ac:dyDescent="0.2">
      <c r="A512" s="21" t="s">
        <v>627</v>
      </c>
      <c r="B512" s="22">
        <v>20</v>
      </c>
      <c r="C512" s="22">
        <v>16</v>
      </c>
      <c r="D512" s="2" t="s">
        <v>432</v>
      </c>
      <c r="E512" s="22">
        <v>210</v>
      </c>
      <c r="F512" s="18"/>
      <c r="G512" s="23" t="s">
        <v>288</v>
      </c>
      <c r="H512" s="18"/>
      <c r="I512" s="23" t="s">
        <v>288</v>
      </c>
      <c r="J512" s="23" t="s">
        <v>288</v>
      </c>
      <c r="K512" s="23" t="s">
        <v>288</v>
      </c>
      <c r="L512" s="23" t="s">
        <v>288</v>
      </c>
      <c r="N512" s="130"/>
    </row>
    <row r="513" spans="1:14" ht="12.2" customHeight="1" x14ac:dyDescent="0.2">
      <c r="A513" s="21" t="s">
        <v>628</v>
      </c>
      <c r="B513" s="22">
        <v>20</v>
      </c>
      <c r="C513" s="22">
        <v>17</v>
      </c>
      <c r="D513" s="2" t="s">
        <v>432</v>
      </c>
      <c r="E513" s="22">
        <v>220</v>
      </c>
      <c r="F513" s="18"/>
      <c r="G513" s="23" t="s">
        <v>288</v>
      </c>
      <c r="H513" s="18"/>
      <c r="I513" s="23" t="s">
        <v>288</v>
      </c>
      <c r="J513" s="23" t="s">
        <v>288</v>
      </c>
      <c r="K513" s="23" t="s">
        <v>288</v>
      </c>
      <c r="L513" s="23" t="s">
        <v>288</v>
      </c>
      <c r="N513" s="130"/>
    </row>
    <row r="514" spans="1:14" ht="12.2" customHeight="1" x14ac:dyDescent="0.2">
      <c r="A514" s="21" t="s">
        <v>629</v>
      </c>
      <c r="B514" s="22">
        <v>20</v>
      </c>
      <c r="C514" s="22">
        <v>18</v>
      </c>
      <c r="D514" s="2" t="s">
        <v>432</v>
      </c>
      <c r="E514" s="22">
        <v>230</v>
      </c>
      <c r="F514" s="18"/>
      <c r="G514" s="23" t="s">
        <v>288</v>
      </c>
      <c r="H514" s="18"/>
      <c r="I514" s="23" t="s">
        <v>288</v>
      </c>
      <c r="J514" s="23" t="s">
        <v>288</v>
      </c>
      <c r="K514" s="23" t="s">
        <v>288</v>
      </c>
      <c r="L514" s="23" t="s">
        <v>288</v>
      </c>
      <c r="N514" s="130"/>
    </row>
    <row r="515" spans="1:14" ht="12.2" customHeight="1" x14ac:dyDescent="0.2">
      <c r="A515" s="21" t="s">
        <v>630</v>
      </c>
      <c r="B515" s="22">
        <v>20</v>
      </c>
      <c r="C515" s="22">
        <v>19</v>
      </c>
      <c r="D515" s="2" t="s">
        <v>432</v>
      </c>
      <c r="E515" s="22">
        <v>240</v>
      </c>
      <c r="F515" s="18"/>
      <c r="G515" s="23" t="s">
        <v>288</v>
      </c>
      <c r="H515" s="18"/>
      <c r="I515" s="23" t="s">
        <v>288</v>
      </c>
      <c r="J515" s="23" t="s">
        <v>288</v>
      </c>
      <c r="K515" s="23" t="s">
        <v>288</v>
      </c>
      <c r="L515" s="23" t="s">
        <v>288</v>
      </c>
      <c r="N515" s="130"/>
    </row>
    <row r="516" spans="1:14" ht="12.2" customHeight="1" x14ac:dyDescent="0.2">
      <c r="A516" s="21" t="s">
        <v>631</v>
      </c>
      <c r="B516" s="22">
        <v>20</v>
      </c>
      <c r="C516" s="22">
        <v>20</v>
      </c>
      <c r="D516" s="2" t="s">
        <v>432</v>
      </c>
      <c r="E516" s="22">
        <v>250</v>
      </c>
      <c r="F516" s="18"/>
      <c r="G516" s="23" t="s">
        <v>288</v>
      </c>
      <c r="H516" s="18"/>
      <c r="I516" s="23" t="s">
        <v>288</v>
      </c>
      <c r="J516" s="23" t="s">
        <v>288</v>
      </c>
      <c r="K516" s="23" t="s">
        <v>288</v>
      </c>
      <c r="L516" s="23" t="s">
        <v>288</v>
      </c>
      <c r="N516" s="130"/>
    </row>
    <row r="517" spans="1:14" ht="12.2" customHeight="1" thickBot="1" x14ac:dyDescent="0.25">
      <c r="A517" s="21" t="s">
        <v>632</v>
      </c>
      <c r="B517" s="22">
        <v>20</v>
      </c>
      <c r="C517" s="22">
        <v>21</v>
      </c>
      <c r="D517" s="2" t="s">
        <v>432</v>
      </c>
      <c r="E517" s="22">
        <v>710</v>
      </c>
      <c r="F517" s="23" t="s">
        <v>288</v>
      </c>
      <c r="G517" s="18"/>
      <c r="H517" s="23" t="s">
        <v>288</v>
      </c>
      <c r="I517" s="18"/>
      <c r="J517" s="23" t="s">
        <v>288</v>
      </c>
      <c r="K517" s="23" t="s">
        <v>288</v>
      </c>
      <c r="L517" s="23" t="s">
        <v>288</v>
      </c>
      <c r="N517" s="130"/>
    </row>
    <row r="518" spans="1:14" ht="12.2" customHeight="1" thickTop="1" x14ac:dyDescent="0.2">
      <c r="A518" s="74" t="s">
        <v>427</v>
      </c>
      <c r="B518" s="22">
        <v>20</v>
      </c>
      <c r="C518" s="22">
        <v>22</v>
      </c>
      <c r="D518" s="2" t="s">
        <v>432</v>
      </c>
      <c r="E518" s="22"/>
      <c r="F518" s="39">
        <f>SUM(F512:F517)</f>
        <v>0</v>
      </c>
      <c r="G518" s="39">
        <f>SUM(G512:G517)</f>
        <v>0</v>
      </c>
      <c r="H518" s="39">
        <f>SUM(H512:H517)</f>
        <v>0</v>
      </c>
      <c r="I518" s="39">
        <f>SUM(I512:I517)</f>
        <v>0</v>
      </c>
      <c r="J518" s="23" t="s">
        <v>288</v>
      </c>
      <c r="K518" s="23" t="s">
        <v>288</v>
      </c>
      <c r="L518" s="23" t="s">
        <v>288</v>
      </c>
      <c r="N518" s="130"/>
    </row>
    <row r="519" spans="1:14" ht="12.2" customHeight="1" x14ac:dyDescent="0.2">
      <c r="A519" s="74" t="s">
        <v>698</v>
      </c>
      <c r="B519" s="22"/>
      <c r="C519" s="22"/>
      <c r="D519" s="22"/>
      <c r="E519" s="22"/>
      <c r="F519" s="15" t="s">
        <v>689</v>
      </c>
      <c r="G519" s="15" t="s">
        <v>690</v>
      </c>
      <c r="H519" s="15" t="s">
        <v>691</v>
      </c>
      <c r="I519" s="15" t="s">
        <v>692</v>
      </c>
      <c r="J519" s="15" t="s">
        <v>693</v>
      </c>
      <c r="K519" s="15" t="s">
        <v>694</v>
      </c>
      <c r="L519" s="77"/>
      <c r="N519" s="130"/>
    </row>
    <row r="520" spans="1:14" ht="12.2" customHeight="1" x14ac:dyDescent="0.2">
      <c r="A520" s="127" t="s">
        <v>697</v>
      </c>
      <c r="B520" s="22"/>
      <c r="C520" s="22"/>
      <c r="D520" s="22"/>
      <c r="E520" s="22"/>
      <c r="F520" s="79" t="s">
        <v>54</v>
      </c>
      <c r="G520" s="79" t="s">
        <v>55</v>
      </c>
      <c r="H520" s="77" t="s">
        <v>56</v>
      </c>
      <c r="I520" s="77" t="s">
        <v>57</v>
      </c>
      <c r="J520" s="77" t="s">
        <v>58</v>
      </c>
      <c r="K520" s="77" t="s">
        <v>59</v>
      </c>
      <c r="L520" s="77" t="s">
        <v>5</v>
      </c>
      <c r="N520" s="130"/>
    </row>
    <row r="521" spans="1:14" ht="12.2" customHeight="1" x14ac:dyDescent="0.2">
      <c r="A521" s="74" t="s">
        <v>60</v>
      </c>
      <c r="B521" s="22"/>
      <c r="C521" s="22"/>
      <c r="D521" s="22"/>
      <c r="E521" s="22"/>
      <c r="F521" s="23" t="s">
        <v>288</v>
      </c>
      <c r="G521" s="23" t="s">
        <v>288</v>
      </c>
      <c r="H521" s="23" t="s">
        <v>288</v>
      </c>
      <c r="I521" s="23" t="s">
        <v>288</v>
      </c>
      <c r="J521" s="23" t="s">
        <v>288</v>
      </c>
      <c r="K521" s="23" t="s">
        <v>288</v>
      </c>
      <c r="L521" s="23" t="s">
        <v>288</v>
      </c>
      <c r="N521" s="130"/>
    </row>
    <row r="522" spans="1:14" ht="12.2" customHeight="1" x14ac:dyDescent="0.2">
      <c r="A522" s="21" t="s">
        <v>633</v>
      </c>
      <c r="B522" s="22">
        <v>21</v>
      </c>
      <c r="C522" s="22">
        <v>1</v>
      </c>
      <c r="D522" s="2" t="s">
        <v>432</v>
      </c>
      <c r="E522" s="22"/>
      <c r="F522" s="18">
        <f>F199</f>
        <v>1426244.05</v>
      </c>
      <c r="G522" s="18">
        <f t="shared" ref="G522:K522" si="36">G199</f>
        <v>950322.63</v>
      </c>
      <c r="H522" s="18">
        <f t="shared" si="36"/>
        <v>1455108.89</v>
      </c>
      <c r="I522" s="18">
        <f t="shared" si="36"/>
        <v>2584.88</v>
      </c>
      <c r="J522" s="18">
        <f t="shared" si="36"/>
        <v>0</v>
      </c>
      <c r="K522" s="18">
        <f t="shared" si="36"/>
        <v>0</v>
      </c>
      <c r="L522" s="69">
        <f>SUM(F522:K522)</f>
        <v>3834260.45</v>
      </c>
      <c r="N522" s="130"/>
    </row>
    <row r="523" spans="1:14" ht="12.2" customHeight="1" x14ac:dyDescent="0.2">
      <c r="A523" s="21" t="s">
        <v>634</v>
      </c>
      <c r="B523" s="22">
        <v>21</v>
      </c>
      <c r="C523" s="22">
        <v>2</v>
      </c>
      <c r="D523" s="2" t="s">
        <v>432</v>
      </c>
      <c r="E523" s="22"/>
      <c r="F523" s="18"/>
      <c r="G523" s="18"/>
      <c r="H523" s="18"/>
      <c r="I523" s="18"/>
      <c r="J523" s="18"/>
      <c r="K523" s="18"/>
      <c r="L523" s="69">
        <f>SUM(F523:K523)</f>
        <v>0</v>
      </c>
      <c r="N523" s="130"/>
    </row>
    <row r="524" spans="1:14" ht="12.2" customHeight="1" thickBot="1" x14ac:dyDescent="0.25">
      <c r="A524" s="21" t="s">
        <v>635</v>
      </c>
      <c r="B524" s="22">
        <v>21</v>
      </c>
      <c r="C524" s="22">
        <v>3</v>
      </c>
      <c r="D524" s="2" t="s">
        <v>432</v>
      </c>
      <c r="E524" s="22"/>
      <c r="F524" s="18">
        <f>F235</f>
        <v>910166.23</v>
      </c>
      <c r="G524" s="18">
        <f t="shared" ref="G524:K524" si="37">G235</f>
        <v>592427.21</v>
      </c>
      <c r="H524" s="18">
        <f t="shared" si="37"/>
        <v>412460.17</v>
      </c>
      <c r="I524" s="18">
        <f t="shared" si="37"/>
        <v>6665.09</v>
      </c>
      <c r="J524" s="18">
        <f t="shared" si="37"/>
        <v>0</v>
      </c>
      <c r="K524" s="18">
        <f t="shared" si="37"/>
        <v>0</v>
      </c>
      <c r="L524" s="69">
        <f>SUM(F524:K524)</f>
        <v>1921718.7</v>
      </c>
      <c r="N524" s="130"/>
    </row>
    <row r="525" spans="1:14" ht="12.2" customHeight="1" thickTop="1" x14ac:dyDescent="0.2">
      <c r="A525" s="97" t="s">
        <v>63</v>
      </c>
      <c r="B525" s="41">
        <v>21</v>
      </c>
      <c r="C525" s="41">
        <v>4</v>
      </c>
      <c r="D525" s="115" t="s">
        <v>432</v>
      </c>
      <c r="E525" s="41"/>
      <c r="F525" s="81">
        <f>SUM(F522:F524)</f>
        <v>2336410.2800000003</v>
      </c>
      <c r="G525" s="81">
        <f t="shared" ref="G525:L525" si="38">SUM(G522:G524)</f>
        <v>1542749.8399999999</v>
      </c>
      <c r="H525" s="81">
        <f t="shared" si="38"/>
        <v>1867569.0599999998</v>
      </c>
      <c r="I525" s="81">
        <f t="shared" si="38"/>
        <v>9249.9700000000012</v>
      </c>
      <c r="J525" s="81">
        <f t="shared" si="38"/>
        <v>0</v>
      </c>
      <c r="K525" s="81">
        <f t="shared" si="38"/>
        <v>0</v>
      </c>
      <c r="L525" s="70">
        <f t="shared" si="38"/>
        <v>5755979.1500000004</v>
      </c>
      <c r="N525" s="130"/>
    </row>
    <row r="526" spans="1:14" s="3" customFormat="1" ht="12.2" customHeight="1" x14ac:dyDescent="0.15">
      <c r="A526" s="74" t="s">
        <v>64</v>
      </c>
      <c r="B526" s="22"/>
      <c r="C526" s="22"/>
      <c r="D526" s="22"/>
      <c r="E526" s="22"/>
      <c r="F526" s="23" t="s">
        <v>288</v>
      </c>
      <c r="G526" s="23" t="s">
        <v>288</v>
      </c>
      <c r="H526" s="23" t="s">
        <v>288</v>
      </c>
      <c r="I526" s="23" t="s">
        <v>288</v>
      </c>
      <c r="J526" s="23" t="s">
        <v>288</v>
      </c>
      <c r="K526" s="23" t="s">
        <v>288</v>
      </c>
      <c r="L526" s="23" t="s">
        <v>288</v>
      </c>
      <c r="M526" s="8"/>
      <c r="N526" s="164"/>
    </row>
    <row r="527" spans="1:14" s="3" customFormat="1" ht="12.2" customHeight="1" x14ac:dyDescent="0.15">
      <c r="A527" s="21" t="s">
        <v>633</v>
      </c>
      <c r="B527" s="22">
        <v>21</v>
      </c>
      <c r="C527" s="22">
        <v>5</v>
      </c>
      <c r="D527" s="2" t="s">
        <v>432</v>
      </c>
      <c r="E527" s="22"/>
      <c r="F527" s="18"/>
      <c r="G527" s="18"/>
      <c r="H527" s="18">
        <f>H203</f>
        <v>531890.74</v>
      </c>
      <c r="I527" s="18"/>
      <c r="J527" s="18"/>
      <c r="K527" s="18"/>
      <c r="L527" s="69">
        <f>SUM(F527:K527)</f>
        <v>531890.74</v>
      </c>
      <c r="M527" s="8"/>
      <c r="N527" s="164"/>
    </row>
    <row r="528" spans="1:14" s="3" customFormat="1" ht="12.2" customHeight="1" x14ac:dyDescent="0.15">
      <c r="A528" s="21" t="s">
        <v>634</v>
      </c>
      <c r="B528" s="22">
        <v>21</v>
      </c>
      <c r="C528" s="22">
        <v>6</v>
      </c>
      <c r="D528" s="2" t="s">
        <v>432</v>
      </c>
      <c r="E528" s="22"/>
      <c r="F528" s="18"/>
      <c r="G528" s="18"/>
      <c r="H528" s="18"/>
      <c r="I528" s="18"/>
      <c r="J528" s="18"/>
      <c r="K528" s="18"/>
      <c r="L528" s="69">
        <f>SUM(F528:K528)</f>
        <v>0</v>
      </c>
      <c r="M528" s="8"/>
      <c r="N528" s="164"/>
    </row>
    <row r="529" spans="1:14" s="3" customFormat="1" ht="12.2" customHeight="1" thickBot="1" x14ac:dyDescent="0.2">
      <c r="A529" s="21" t="s">
        <v>635</v>
      </c>
      <c r="B529" s="22">
        <v>21</v>
      </c>
      <c r="C529" s="22">
        <v>7</v>
      </c>
      <c r="D529" s="2" t="s">
        <v>432</v>
      </c>
      <c r="E529" s="22"/>
      <c r="F529" s="18"/>
      <c r="G529" s="18"/>
      <c r="H529" s="18">
        <f>H239</f>
        <v>72165.820000000007</v>
      </c>
      <c r="I529" s="18"/>
      <c r="J529" s="18"/>
      <c r="K529" s="18"/>
      <c r="L529" s="69">
        <f>SUM(F529:K529)</f>
        <v>72165.820000000007</v>
      </c>
      <c r="M529" s="8"/>
      <c r="N529" s="164"/>
    </row>
    <row r="530" spans="1:14" s="3" customFormat="1" ht="12.2" customHeight="1" thickTop="1" x14ac:dyDescent="0.15">
      <c r="A530" s="97" t="s">
        <v>65</v>
      </c>
      <c r="B530" s="41">
        <v>21</v>
      </c>
      <c r="C530" s="41">
        <v>8</v>
      </c>
      <c r="D530" s="115" t="s">
        <v>432</v>
      </c>
      <c r="E530" s="41"/>
      <c r="F530" s="70">
        <f>SUM(F527:F529)</f>
        <v>0</v>
      </c>
      <c r="G530" s="70">
        <f t="shared" ref="G530:L530" si="39">SUM(G527:G529)</f>
        <v>0</v>
      </c>
      <c r="H530" s="70">
        <f t="shared" si="39"/>
        <v>604056.56000000006</v>
      </c>
      <c r="I530" s="70">
        <f t="shared" si="39"/>
        <v>0</v>
      </c>
      <c r="J530" s="70">
        <f t="shared" si="39"/>
        <v>0</v>
      </c>
      <c r="K530" s="70">
        <f t="shared" si="39"/>
        <v>0</v>
      </c>
      <c r="L530" s="70">
        <f t="shared" si="39"/>
        <v>604056.56000000006</v>
      </c>
      <c r="M530" s="8"/>
      <c r="N530" s="164"/>
    </row>
    <row r="531" spans="1:14" s="3" customFormat="1" ht="12.2" customHeight="1" x14ac:dyDescent="0.15">
      <c r="A531" s="74" t="s">
        <v>66</v>
      </c>
      <c r="B531" s="22"/>
      <c r="C531" s="22"/>
      <c r="D531" s="22"/>
      <c r="E531" s="22"/>
      <c r="F531" s="23" t="s">
        <v>288</v>
      </c>
      <c r="G531" s="23" t="s">
        <v>288</v>
      </c>
      <c r="H531" s="23" t="s">
        <v>288</v>
      </c>
      <c r="I531" s="23" t="s">
        <v>288</v>
      </c>
      <c r="J531" s="23" t="s">
        <v>288</v>
      </c>
      <c r="K531" s="23" t="s">
        <v>288</v>
      </c>
      <c r="L531" s="23" t="s">
        <v>288</v>
      </c>
      <c r="M531" s="8"/>
      <c r="N531" s="164"/>
    </row>
    <row r="532" spans="1:14" s="3" customFormat="1" ht="12.2" customHeight="1" x14ac:dyDescent="0.15">
      <c r="A532" s="21" t="s">
        <v>633</v>
      </c>
      <c r="B532" s="22">
        <v>21</v>
      </c>
      <c r="C532" s="22">
        <v>9</v>
      </c>
      <c r="D532" s="2" t="s">
        <v>432</v>
      </c>
      <c r="E532" s="22"/>
      <c r="F532" s="18">
        <v>35024</v>
      </c>
      <c r="G532" s="18">
        <v>21878.45</v>
      </c>
      <c r="H532" s="18"/>
      <c r="I532" s="18"/>
      <c r="J532" s="18"/>
      <c r="K532" s="18"/>
      <c r="L532" s="69">
        <f>SUM(F532:K532)</f>
        <v>56902.45</v>
      </c>
      <c r="M532" s="8"/>
      <c r="N532" s="164"/>
    </row>
    <row r="533" spans="1:14" s="3" customFormat="1" ht="12.2" customHeight="1" x14ac:dyDescent="0.15">
      <c r="A533" s="21" t="s">
        <v>634</v>
      </c>
      <c r="B533" s="22">
        <v>21</v>
      </c>
      <c r="C533" s="22">
        <v>10</v>
      </c>
      <c r="D533" s="2" t="s">
        <v>432</v>
      </c>
      <c r="E533" s="22"/>
      <c r="F533" s="18"/>
      <c r="G533" s="18"/>
      <c r="H533" s="18"/>
      <c r="I533" s="18"/>
      <c r="J533" s="18"/>
      <c r="K533" s="18"/>
      <c r="L533" s="69">
        <f>SUM(F533:K533)</f>
        <v>0</v>
      </c>
      <c r="M533" s="8"/>
      <c r="N533" s="164"/>
    </row>
    <row r="534" spans="1:14" s="3" customFormat="1" ht="12.2" customHeight="1" thickBot="1" x14ac:dyDescent="0.2">
      <c r="A534" s="21" t="s">
        <v>635</v>
      </c>
      <c r="B534" s="22">
        <v>21</v>
      </c>
      <c r="C534" s="22">
        <v>11</v>
      </c>
      <c r="D534" s="2" t="s">
        <v>432</v>
      </c>
      <c r="E534" s="22"/>
      <c r="F534" s="18">
        <v>8756</v>
      </c>
      <c r="G534" s="18">
        <v>5342.89</v>
      </c>
      <c r="H534" s="18"/>
      <c r="I534" s="18"/>
      <c r="J534" s="18"/>
      <c r="K534" s="18"/>
      <c r="L534" s="69">
        <f>SUM(F534:K534)</f>
        <v>14098.89</v>
      </c>
      <c r="M534" s="8"/>
      <c r="N534" s="164"/>
    </row>
    <row r="535" spans="1:14" s="3" customFormat="1" ht="12.2" customHeight="1" thickTop="1" x14ac:dyDescent="0.15">
      <c r="A535" s="97" t="s">
        <v>67</v>
      </c>
      <c r="B535" s="41">
        <v>21</v>
      </c>
      <c r="C535" s="41">
        <v>12</v>
      </c>
      <c r="D535" s="115" t="s">
        <v>432</v>
      </c>
      <c r="E535" s="41"/>
      <c r="F535" s="70">
        <f>SUM(F532:F534)</f>
        <v>43780</v>
      </c>
      <c r="G535" s="70">
        <f t="shared" ref="G535:L535" si="40">SUM(G532:G534)</f>
        <v>27221.34</v>
      </c>
      <c r="H535" s="70">
        <f t="shared" si="40"/>
        <v>0</v>
      </c>
      <c r="I535" s="70">
        <f t="shared" si="40"/>
        <v>0</v>
      </c>
      <c r="J535" s="70">
        <f t="shared" si="40"/>
        <v>0</v>
      </c>
      <c r="K535" s="70">
        <f t="shared" si="40"/>
        <v>0</v>
      </c>
      <c r="L535" s="70">
        <f t="shared" si="40"/>
        <v>71001.34</v>
      </c>
      <c r="M535" s="8"/>
      <c r="N535" s="164"/>
    </row>
    <row r="536" spans="1:14" s="3" customFormat="1" ht="12.2" customHeight="1" x14ac:dyDescent="0.15">
      <c r="A536" s="74" t="s">
        <v>68</v>
      </c>
      <c r="B536" s="22"/>
      <c r="C536" s="22"/>
      <c r="D536" s="22"/>
      <c r="E536" s="22"/>
      <c r="F536" s="23" t="s">
        <v>288</v>
      </c>
      <c r="G536" s="23" t="s">
        <v>288</v>
      </c>
      <c r="H536" s="23" t="s">
        <v>288</v>
      </c>
      <c r="I536" s="23" t="s">
        <v>288</v>
      </c>
      <c r="J536" s="23" t="s">
        <v>288</v>
      </c>
      <c r="K536" s="23" t="s">
        <v>288</v>
      </c>
      <c r="L536" s="23" t="s">
        <v>288</v>
      </c>
      <c r="M536" s="8"/>
      <c r="N536" s="164"/>
    </row>
    <row r="537" spans="1:14" s="3" customFormat="1" ht="12.2" customHeight="1" x14ac:dyDescent="0.15">
      <c r="A537" s="21" t="s">
        <v>633</v>
      </c>
      <c r="B537" s="22">
        <v>21</v>
      </c>
      <c r="C537" s="22">
        <v>13</v>
      </c>
      <c r="D537" s="2" t="s">
        <v>432</v>
      </c>
      <c r="E537" s="22"/>
      <c r="F537" s="18"/>
      <c r="G537" s="18"/>
      <c r="H537" s="18">
        <v>0</v>
      </c>
      <c r="I537" s="18"/>
      <c r="J537" s="18"/>
      <c r="K537" s="18"/>
      <c r="L537" s="69">
        <f>SUM(F537:K537)</f>
        <v>0</v>
      </c>
      <c r="M537" s="8"/>
      <c r="N537" s="164"/>
    </row>
    <row r="538" spans="1:14" s="3" customFormat="1" ht="12.2" customHeight="1" x14ac:dyDescent="0.15">
      <c r="A538" s="21" t="s">
        <v>634</v>
      </c>
      <c r="B538" s="22">
        <v>21</v>
      </c>
      <c r="C538" s="22">
        <v>14</v>
      </c>
      <c r="D538" s="2" t="s">
        <v>432</v>
      </c>
      <c r="E538" s="22"/>
      <c r="F538" s="18"/>
      <c r="G538" s="18"/>
      <c r="H538" s="18"/>
      <c r="I538" s="18"/>
      <c r="J538" s="18"/>
      <c r="K538" s="18"/>
      <c r="L538" s="69">
        <f>SUM(F538:K538)</f>
        <v>0</v>
      </c>
      <c r="M538" s="8"/>
      <c r="N538" s="164"/>
    </row>
    <row r="539" spans="1:14" s="3" customFormat="1" ht="12.2" customHeight="1" thickBot="1" x14ac:dyDescent="0.2">
      <c r="A539" s="21" t="s">
        <v>635</v>
      </c>
      <c r="B539" s="22">
        <v>21</v>
      </c>
      <c r="C539" s="22">
        <v>15</v>
      </c>
      <c r="D539" s="2" t="s">
        <v>432</v>
      </c>
      <c r="E539" s="22"/>
      <c r="F539" s="18"/>
      <c r="G539" s="18"/>
      <c r="H539" s="18">
        <v>0</v>
      </c>
      <c r="I539" s="18"/>
      <c r="J539" s="18"/>
      <c r="K539" s="18"/>
      <c r="L539" s="69">
        <f>SUM(F539:K539)</f>
        <v>0</v>
      </c>
      <c r="M539" s="8"/>
      <c r="N539" s="164"/>
    </row>
    <row r="540" spans="1:14" s="3" customFormat="1" ht="12.2" customHeight="1" thickTop="1" x14ac:dyDescent="0.15">
      <c r="A540" s="97" t="s">
        <v>69</v>
      </c>
      <c r="B540" s="41">
        <v>21</v>
      </c>
      <c r="C540" s="41">
        <v>16</v>
      </c>
      <c r="D540" s="115" t="s">
        <v>432</v>
      </c>
      <c r="E540" s="41"/>
      <c r="F540" s="70">
        <f>SUM(F537:F539)</f>
        <v>0</v>
      </c>
      <c r="G540" s="70">
        <f t="shared" ref="G540:L540" si="41">SUM(G537:G539)</f>
        <v>0</v>
      </c>
      <c r="H540" s="70">
        <f t="shared" si="41"/>
        <v>0</v>
      </c>
      <c r="I540" s="70">
        <f t="shared" si="41"/>
        <v>0</v>
      </c>
      <c r="J540" s="70">
        <f t="shared" si="41"/>
        <v>0</v>
      </c>
      <c r="K540" s="70">
        <f t="shared" si="41"/>
        <v>0</v>
      </c>
      <c r="L540" s="70">
        <f t="shared" si="41"/>
        <v>0</v>
      </c>
      <c r="M540" s="8"/>
      <c r="N540" s="164"/>
    </row>
    <row r="541" spans="1:14" s="3" customFormat="1" ht="12.2" customHeight="1" x14ac:dyDescent="0.15">
      <c r="A541" s="74" t="s">
        <v>70</v>
      </c>
      <c r="B541" s="22"/>
      <c r="C541" s="22"/>
      <c r="D541" s="22"/>
      <c r="E541" s="22"/>
      <c r="F541" s="23" t="s">
        <v>288</v>
      </c>
      <c r="G541" s="23" t="s">
        <v>288</v>
      </c>
      <c r="H541" s="23" t="s">
        <v>288</v>
      </c>
      <c r="I541" s="23" t="s">
        <v>288</v>
      </c>
      <c r="J541" s="23" t="s">
        <v>288</v>
      </c>
      <c r="K541" s="23" t="s">
        <v>288</v>
      </c>
      <c r="L541" s="23" t="s">
        <v>288</v>
      </c>
      <c r="M541" s="8"/>
      <c r="N541" s="164"/>
    </row>
    <row r="542" spans="1:14" s="3" customFormat="1" ht="12.2" customHeight="1" x14ac:dyDescent="0.15">
      <c r="A542" s="21" t="s">
        <v>633</v>
      </c>
      <c r="B542" s="22">
        <v>21</v>
      </c>
      <c r="C542" s="22">
        <v>17</v>
      </c>
      <c r="D542" s="2" t="s">
        <v>432</v>
      </c>
      <c r="E542" s="22"/>
      <c r="F542" s="18"/>
      <c r="G542" s="18"/>
      <c r="H542" s="18">
        <v>551323.03</v>
      </c>
      <c r="I542" s="18"/>
      <c r="J542" s="18"/>
      <c r="K542" s="18"/>
      <c r="L542" s="69">
        <f>SUM(F542:K542)</f>
        <v>551323.03</v>
      </c>
      <c r="M542" s="8"/>
      <c r="N542" s="164"/>
    </row>
    <row r="543" spans="1:14" s="3" customFormat="1" ht="12.2" customHeight="1" x14ac:dyDescent="0.15">
      <c r="A543" s="21" t="s">
        <v>634</v>
      </c>
      <c r="B543" s="22">
        <v>21</v>
      </c>
      <c r="C543" s="22">
        <v>18</v>
      </c>
      <c r="D543" s="2" t="s">
        <v>432</v>
      </c>
      <c r="E543" s="22"/>
      <c r="F543" s="18"/>
      <c r="G543" s="18"/>
      <c r="H543" s="18"/>
      <c r="I543" s="18"/>
      <c r="J543" s="18"/>
      <c r="K543" s="18"/>
      <c r="L543" s="69">
        <f>SUM(F543:K543)</f>
        <v>0</v>
      </c>
      <c r="M543" s="8"/>
      <c r="N543" s="164"/>
    </row>
    <row r="544" spans="1:14" s="3" customFormat="1" ht="12.2" customHeight="1" thickBot="1" x14ac:dyDescent="0.2">
      <c r="A544" s="21" t="s">
        <v>635</v>
      </c>
      <c r="B544" s="22">
        <v>21</v>
      </c>
      <c r="C544" s="22">
        <v>19</v>
      </c>
      <c r="D544" s="2" t="s">
        <v>432</v>
      </c>
      <c r="E544" s="22"/>
      <c r="F544" s="18"/>
      <c r="G544" s="18"/>
      <c r="H544" s="18">
        <v>137396.63</v>
      </c>
      <c r="I544" s="18"/>
      <c r="J544" s="18"/>
      <c r="K544" s="18"/>
      <c r="L544" s="69">
        <f>SUM(F544:K544)</f>
        <v>137396.63</v>
      </c>
      <c r="M544" s="8"/>
      <c r="N544" s="164"/>
    </row>
    <row r="545" spans="1:14" s="3" customFormat="1" ht="12.2" customHeight="1" thickTop="1" thickBot="1" x14ac:dyDescent="0.2">
      <c r="A545" s="93" t="s">
        <v>71</v>
      </c>
      <c r="B545" s="63">
        <v>21</v>
      </c>
      <c r="C545" s="63">
        <v>20</v>
      </c>
      <c r="D545" s="139" t="s">
        <v>432</v>
      </c>
      <c r="E545" s="63"/>
      <c r="F545" s="140">
        <f>SUM(F542:F544)</f>
        <v>0</v>
      </c>
      <c r="G545" s="140">
        <f t="shared" ref="G545:L545" si="42">SUM(G542:G544)</f>
        <v>0</v>
      </c>
      <c r="H545" s="140">
        <f t="shared" si="42"/>
        <v>688719.66</v>
      </c>
      <c r="I545" s="140">
        <f t="shared" si="42"/>
        <v>0</v>
      </c>
      <c r="J545" s="140">
        <f t="shared" si="42"/>
        <v>0</v>
      </c>
      <c r="K545" s="140">
        <f t="shared" si="42"/>
        <v>0</v>
      </c>
      <c r="L545" s="140">
        <f t="shared" si="42"/>
        <v>688719.66</v>
      </c>
      <c r="M545" s="8"/>
      <c r="N545" s="164"/>
    </row>
    <row r="546" spans="1:14" s="3" customFormat="1" ht="12.2" customHeight="1" thickTop="1" x14ac:dyDescent="0.15">
      <c r="A546" s="75" t="s">
        <v>72</v>
      </c>
      <c r="B546" s="41">
        <v>21</v>
      </c>
      <c r="C546" s="41">
        <v>21</v>
      </c>
      <c r="D546" s="115" t="s">
        <v>432</v>
      </c>
      <c r="E546" s="41"/>
      <c r="F546" s="70">
        <f>F525+F530+F535+F540+F545</f>
        <v>2380190.2800000003</v>
      </c>
      <c r="G546" s="70">
        <f t="shared" ref="G546:L546" si="43">G525+G530+G535+G540+G545</f>
        <v>1569971.18</v>
      </c>
      <c r="H546" s="70">
        <f t="shared" si="43"/>
        <v>3160345.2800000003</v>
      </c>
      <c r="I546" s="70">
        <f t="shared" si="43"/>
        <v>9249.9700000000012</v>
      </c>
      <c r="J546" s="70">
        <f t="shared" si="43"/>
        <v>0</v>
      </c>
      <c r="K546" s="70">
        <f t="shared" si="43"/>
        <v>0</v>
      </c>
      <c r="L546" s="70">
        <f t="shared" si="43"/>
        <v>7119756.7100000009</v>
      </c>
      <c r="M546" s="8"/>
      <c r="N546" s="164"/>
    </row>
    <row r="547" spans="1:14" s="3" customFormat="1" ht="12.2" customHeight="1" x14ac:dyDescent="0.15">
      <c r="A547" s="21"/>
      <c r="B547" s="22"/>
      <c r="C547" s="22"/>
      <c r="D547" s="22"/>
      <c r="E547" s="22"/>
      <c r="F547" s="69"/>
      <c r="G547" s="69"/>
      <c r="H547" s="69"/>
      <c r="I547" s="69"/>
      <c r="J547" s="69"/>
      <c r="K547" s="69"/>
      <c r="L547" s="69"/>
      <c r="M547" s="8"/>
      <c r="N547" s="164"/>
    </row>
    <row r="548" spans="1:14" s="3" customFormat="1" ht="12.2" customHeight="1" x14ac:dyDescent="0.15">
      <c r="A548" s="76" t="s">
        <v>73</v>
      </c>
      <c r="B548" s="22"/>
      <c r="C548" s="22"/>
      <c r="D548" s="22"/>
      <c r="E548" s="22"/>
      <c r="F548" s="77" t="s">
        <v>74</v>
      </c>
      <c r="G548" s="69" t="s">
        <v>75</v>
      </c>
      <c r="H548" s="69" t="s">
        <v>76</v>
      </c>
      <c r="I548" s="77" t="s">
        <v>77</v>
      </c>
      <c r="J548" s="69" t="s">
        <v>78</v>
      </c>
      <c r="K548" s="77" t="s">
        <v>79</v>
      </c>
      <c r="L548" s="23" t="s">
        <v>288</v>
      </c>
      <c r="M548" s="8"/>
      <c r="N548" s="164"/>
    </row>
    <row r="549" spans="1:14" s="3" customFormat="1" ht="12.2" customHeight="1" x14ac:dyDescent="0.15">
      <c r="A549" s="76" t="s">
        <v>250</v>
      </c>
      <c r="B549" s="22"/>
      <c r="C549" s="22"/>
      <c r="D549" s="22"/>
      <c r="E549" s="22"/>
      <c r="F549" s="77" t="s">
        <v>80</v>
      </c>
      <c r="G549" s="77" t="s">
        <v>81</v>
      </c>
      <c r="H549" s="77" t="s">
        <v>82</v>
      </c>
      <c r="I549" s="77" t="s">
        <v>83</v>
      </c>
      <c r="J549" s="77" t="s">
        <v>84</v>
      </c>
      <c r="K549" s="69"/>
      <c r="L549" s="23" t="s">
        <v>288</v>
      </c>
      <c r="M549" s="8"/>
      <c r="N549" s="164"/>
    </row>
    <row r="550" spans="1:14" s="3" customFormat="1" ht="12.2" customHeight="1" x14ac:dyDescent="0.15">
      <c r="A550" s="21" t="s">
        <v>633</v>
      </c>
      <c r="B550" s="22">
        <v>21</v>
      </c>
      <c r="C550" s="22">
        <v>22</v>
      </c>
      <c r="D550" s="2" t="s">
        <v>432</v>
      </c>
      <c r="E550" s="22"/>
      <c r="F550" s="69">
        <f>L522</f>
        <v>3834260.45</v>
      </c>
      <c r="G550" s="69">
        <f>L527</f>
        <v>531890.74</v>
      </c>
      <c r="H550" s="69">
        <f>L532</f>
        <v>56902.45</v>
      </c>
      <c r="I550" s="69">
        <f>L537</f>
        <v>0</v>
      </c>
      <c r="J550" s="69">
        <f>L542</f>
        <v>551323.03</v>
      </c>
      <c r="K550" s="69">
        <f>SUM(F550:J550)</f>
        <v>4974376.6700000009</v>
      </c>
      <c r="L550" s="23" t="s">
        <v>288</v>
      </c>
      <c r="M550" s="8"/>
      <c r="N550" s="164"/>
    </row>
    <row r="551" spans="1:14" s="3" customFormat="1" ht="12.2" customHeight="1" x14ac:dyDescent="0.15">
      <c r="A551" s="21" t="s">
        <v>634</v>
      </c>
      <c r="B551" s="22">
        <v>21</v>
      </c>
      <c r="C551" s="22">
        <v>23</v>
      </c>
      <c r="D551" s="2" t="s">
        <v>432</v>
      </c>
      <c r="E551" s="22"/>
      <c r="F551" s="69">
        <f>L523</f>
        <v>0</v>
      </c>
      <c r="G551" s="69">
        <f>L528</f>
        <v>0</v>
      </c>
      <c r="H551" s="69">
        <f>L533</f>
        <v>0</v>
      </c>
      <c r="I551" s="69">
        <f>L538</f>
        <v>0</v>
      </c>
      <c r="J551" s="69">
        <f>L543</f>
        <v>0</v>
      </c>
      <c r="K551" s="69">
        <f>SUM(F551:J551)</f>
        <v>0</v>
      </c>
      <c r="L551" s="23" t="s">
        <v>288</v>
      </c>
      <c r="M551" s="8"/>
      <c r="N551" s="164"/>
    </row>
    <row r="552" spans="1:14" s="3" customFormat="1" ht="12.2" customHeight="1" thickBot="1" x14ac:dyDescent="0.2">
      <c r="A552" s="21" t="s">
        <v>635</v>
      </c>
      <c r="B552" s="22">
        <v>21</v>
      </c>
      <c r="C552" s="22">
        <v>24</v>
      </c>
      <c r="D552" s="2" t="s">
        <v>432</v>
      </c>
      <c r="E552" s="22"/>
      <c r="F552" s="69">
        <f>L524</f>
        <v>1921718.7</v>
      </c>
      <c r="G552" s="69">
        <f>L529</f>
        <v>72165.820000000007</v>
      </c>
      <c r="H552" s="69">
        <f>L534</f>
        <v>14098.89</v>
      </c>
      <c r="I552" s="69">
        <f>L539</f>
        <v>0</v>
      </c>
      <c r="J552" s="69">
        <f>L544</f>
        <v>137396.63</v>
      </c>
      <c r="K552" s="69">
        <f>SUM(F552:J552)</f>
        <v>2145380.04</v>
      </c>
      <c r="L552" s="23" t="s">
        <v>288</v>
      </c>
      <c r="M552" s="8"/>
      <c r="N552" s="164"/>
    </row>
    <row r="553" spans="1:14" s="3" customFormat="1" ht="12.2" customHeight="1" thickTop="1" x14ac:dyDescent="0.15">
      <c r="A553" s="126" t="s">
        <v>340</v>
      </c>
      <c r="B553" s="41">
        <v>21</v>
      </c>
      <c r="C553" s="41">
        <v>25</v>
      </c>
      <c r="D553" s="36" t="s">
        <v>432</v>
      </c>
      <c r="E553" s="41"/>
      <c r="F553" s="70">
        <f t="shared" ref="F553:K553" si="44">SUM(F550:F552)</f>
        <v>5755979.1500000004</v>
      </c>
      <c r="G553" s="70">
        <f t="shared" si="44"/>
        <v>604056.56000000006</v>
      </c>
      <c r="H553" s="70">
        <f t="shared" si="44"/>
        <v>71001.34</v>
      </c>
      <c r="I553" s="70">
        <f t="shared" si="44"/>
        <v>0</v>
      </c>
      <c r="J553" s="70">
        <f t="shared" si="44"/>
        <v>688719.66</v>
      </c>
      <c r="K553" s="70">
        <f t="shared" si="44"/>
        <v>7119756.7100000009</v>
      </c>
      <c r="L553" s="23"/>
      <c r="M553" s="8"/>
      <c r="N553" s="164"/>
    </row>
    <row r="554" spans="1:14" s="3" customFormat="1" ht="12.2" customHeight="1" x14ac:dyDescent="0.15">
      <c r="A554" s="74" t="s">
        <v>580</v>
      </c>
      <c r="B554" s="22"/>
      <c r="C554" s="22"/>
      <c r="D554" s="22"/>
      <c r="E554" s="22"/>
      <c r="F554" s="69"/>
      <c r="G554" s="69"/>
      <c r="H554" s="69"/>
      <c r="I554" s="69"/>
      <c r="J554" s="69"/>
      <c r="K554" s="69"/>
      <c r="L554" s="69"/>
      <c r="M554" s="8"/>
      <c r="N554" s="164"/>
    </row>
    <row r="555" spans="1:14" s="3" customFormat="1" ht="12.2" customHeight="1" x14ac:dyDescent="0.15">
      <c r="B555" s="22"/>
      <c r="C555" s="22"/>
      <c r="D555" s="22"/>
      <c r="E555" s="22"/>
      <c r="F555" s="15" t="s">
        <v>689</v>
      </c>
      <c r="G555" s="15" t="s">
        <v>690</v>
      </c>
      <c r="H555" s="15" t="s">
        <v>691</v>
      </c>
      <c r="I555" s="15" t="s">
        <v>692</v>
      </c>
      <c r="J555" s="15" t="s">
        <v>693</v>
      </c>
      <c r="K555" s="15" t="s">
        <v>694</v>
      </c>
      <c r="L555" s="77"/>
      <c r="M555" s="8"/>
      <c r="N555" s="164"/>
    </row>
    <row r="556" spans="1:14" s="3" customFormat="1" ht="12.2" customHeight="1" x14ac:dyDescent="0.15">
      <c r="A556" s="74" t="s">
        <v>50</v>
      </c>
      <c r="B556" s="22"/>
      <c r="C556" s="22"/>
      <c r="D556" s="22"/>
      <c r="E556" s="22"/>
      <c r="F556" s="79" t="s">
        <v>54</v>
      </c>
      <c r="G556" s="79" t="s">
        <v>55</v>
      </c>
      <c r="H556" s="77" t="s">
        <v>56</v>
      </c>
      <c r="I556" s="77" t="s">
        <v>57</v>
      </c>
      <c r="J556" s="77" t="s">
        <v>58</v>
      </c>
      <c r="K556" s="77" t="s">
        <v>59</v>
      </c>
      <c r="L556" s="77" t="s">
        <v>5</v>
      </c>
      <c r="M556" s="8"/>
      <c r="N556" s="164"/>
    </row>
    <row r="557" spans="1:14" s="3" customFormat="1" ht="12.2" customHeight="1" x14ac:dyDescent="0.15">
      <c r="A557" s="74" t="s">
        <v>85</v>
      </c>
      <c r="B557" s="22"/>
      <c r="C557" s="22"/>
      <c r="D557" s="22"/>
      <c r="E557" s="22"/>
      <c r="F557" s="23" t="s">
        <v>288</v>
      </c>
      <c r="G557" s="23" t="s">
        <v>288</v>
      </c>
      <c r="H557" s="23" t="s">
        <v>288</v>
      </c>
      <c r="I557" s="23" t="s">
        <v>288</v>
      </c>
      <c r="J557" s="23" t="s">
        <v>288</v>
      </c>
      <c r="K557" s="23" t="s">
        <v>288</v>
      </c>
      <c r="L557" s="23" t="s">
        <v>288</v>
      </c>
      <c r="M557" s="8"/>
      <c r="N557" s="164"/>
    </row>
    <row r="558" spans="1:14" s="3" customFormat="1" ht="12.2" customHeight="1" x14ac:dyDescent="0.15">
      <c r="A558" s="21" t="s">
        <v>633</v>
      </c>
      <c r="B558" s="22">
        <v>22</v>
      </c>
      <c r="C558" s="22">
        <v>1</v>
      </c>
      <c r="D558" s="2" t="s">
        <v>432</v>
      </c>
      <c r="E558" s="22"/>
      <c r="F558" s="18"/>
      <c r="G558" s="18"/>
      <c r="H558" s="18"/>
      <c r="I558" s="18"/>
      <c r="J558" s="18"/>
      <c r="K558" s="18"/>
      <c r="L558" s="69">
        <f>SUM(F558:K558)</f>
        <v>0</v>
      </c>
      <c r="M558" s="8"/>
      <c r="N558" s="164"/>
    </row>
    <row r="559" spans="1:14" s="3" customFormat="1" ht="12.2" customHeight="1" x14ac:dyDescent="0.15">
      <c r="A559" s="21" t="s">
        <v>634</v>
      </c>
      <c r="B559" s="22">
        <v>22</v>
      </c>
      <c r="C559" s="22">
        <v>2</v>
      </c>
      <c r="D559" s="2" t="s">
        <v>432</v>
      </c>
      <c r="E559" s="22"/>
      <c r="F559" s="18"/>
      <c r="G559" s="18"/>
      <c r="H559" s="18"/>
      <c r="I559" s="18"/>
      <c r="J559" s="18"/>
      <c r="K559" s="18"/>
      <c r="L559" s="69">
        <f>SUM(F559:K559)</f>
        <v>0</v>
      </c>
      <c r="M559" s="8"/>
      <c r="N559" s="164"/>
    </row>
    <row r="560" spans="1:14" s="3" customFormat="1" ht="12.2" customHeight="1" thickBot="1" x14ac:dyDescent="0.2">
      <c r="A560" s="21" t="s">
        <v>635</v>
      </c>
      <c r="B560" s="22">
        <v>22</v>
      </c>
      <c r="C560" s="22">
        <v>3</v>
      </c>
      <c r="D560" s="2" t="s">
        <v>432</v>
      </c>
      <c r="E560" s="22"/>
      <c r="F560" s="18"/>
      <c r="G560" s="18"/>
      <c r="H560" s="18"/>
      <c r="I560" s="18"/>
      <c r="J560" s="18"/>
      <c r="K560" s="18"/>
      <c r="L560" s="69">
        <f>SUM(F560:K560)</f>
        <v>0</v>
      </c>
      <c r="M560" s="8"/>
      <c r="N560" s="164"/>
    </row>
    <row r="561" spans="1:14" s="3" customFormat="1" ht="12.2" customHeight="1" thickTop="1" x14ac:dyDescent="0.15">
      <c r="A561" s="97" t="s">
        <v>63</v>
      </c>
      <c r="B561" s="41">
        <v>22</v>
      </c>
      <c r="C561" s="41">
        <v>4</v>
      </c>
      <c r="D561" s="115" t="s">
        <v>432</v>
      </c>
      <c r="E561" s="41"/>
      <c r="F561" s="81">
        <f t="shared" ref="F561:L561" si="45">SUM(F558:F560)</f>
        <v>0</v>
      </c>
      <c r="G561" s="81">
        <f t="shared" si="45"/>
        <v>0</v>
      </c>
      <c r="H561" s="81">
        <f t="shared" si="45"/>
        <v>0</v>
      </c>
      <c r="I561" s="81">
        <f t="shared" si="45"/>
        <v>0</v>
      </c>
      <c r="J561" s="81">
        <f t="shared" si="45"/>
        <v>0</v>
      </c>
      <c r="K561" s="81">
        <f t="shared" si="45"/>
        <v>0</v>
      </c>
      <c r="L561" s="70">
        <f t="shared" si="45"/>
        <v>0</v>
      </c>
      <c r="M561" s="8"/>
      <c r="N561" s="164"/>
    </row>
    <row r="562" spans="1:14" s="3" customFormat="1" ht="12.2" customHeight="1" x14ac:dyDescent="0.15">
      <c r="A562" s="74" t="s">
        <v>86</v>
      </c>
      <c r="B562" s="22"/>
      <c r="C562" s="22"/>
      <c r="D562" s="22"/>
      <c r="E562" s="22"/>
      <c r="F562" s="23" t="s">
        <v>288</v>
      </c>
      <c r="G562" s="23" t="s">
        <v>288</v>
      </c>
      <c r="H562" s="23" t="s">
        <v>288</v>
      </c>
      <c r="I562" s="23" t="s">
        <v>288</v>
      </c>
      <c r="J562" s="23" t="s">
        <v>288</v>
      </c>
      <c r="K562" s="23" t="s">
        <v>288</v>
      </c>
      <c r="L562" s="23" t="s">
        <v>288</v>
      </c>
      <c r="M562" s="8"/>
      <c r="N562" s="164"/>
    </row>
    <row r="563" spans="1:14" s="3" customFormat="1" ht="12.2" customHeight="1" x14ac:dyDescent="0.15">
      <c r="A563" s="21" t="s">
        <v>633</v>
      </c>
      <c r="B563" s="22">
        <v>22</v>
      </c>
      <c r="C563" s="22">
        <v>5</v>
      </c>
      <c r="D563" s="2" t="s">
        <v>432</v>
      </c>
      <c r="E563" s="22"/>
      <c r="F563" s="18"/>
      <c r="G563" s="18"/>
      <c r="H563" s="18"/>
      <c r="I563" s="18"/>
      <c r="J563" s="18"/>
      <c r="K563" s="18"/>
      <c r="L563" s="69">
        <f>SUM(F563:K563)</f>
        <v>0</v>
      </c>
      <c r="M563" s="8"/>
      <c r="N563" s="164"/>
    </row>
    <row r="564" spans="1:14" s="3" customFormat="1" ht="12.2" customHeight="1" x14ac:dyDescent="0.15">
      <c r="A564" s="21" t="s">
        <v>634</v>
      </c>
      <c r="B564" s="22">
        <v>22</v>
      </c>
      <c r="C564" s="22">
        <v>6</v>
      </c>
      <c r="D564" s="2" t="s">
        <v>432</v>
      </c>
      <c r="E564" s="22"/>
      <c r="F564" s="18"/>
      <c r="G564" s="18"/>
      <c r="H564" s="18"/>
      <c r="I564" s="18"/>
      <c r="J564" s="18"/>
      <c r="K564" s="18"/>
      <c r="L564" s="69">
        <f>SUM(F564:K564)</f>
        <v>0</v>
      </c>
      <c r="M564" s="8"/>
      <c r="N564" s="164"/>
    </row>
    <row r="565" spans="1:14" s="3" customFormat="1" ht="12.2" customHeight="1" thickBot="1" x14ac:dyDescent="0.2">
      <c r="A565" s="21" t="s">
        <v>635</v>
      </c>
      <c r="B565" s="22">
        <v>22</v>
      </c>
      <c r="C565" s="22">
        <v>7</v>
      </c>
      <c r="D565" s="2" t="s">
        <v>432</v>
      </c>
      <c r="E565" s="22"/>
      <c r="F565" s="18"/>
      <c r="G565" s="18"/>
      <c r="H565" s="18"/>
      <c r="I565" s="18"/>
      <c r="J565" s="18"/>
      <c r="K565" s="18"/>
      <c r="L565" s="69">
        <f>SUM(F565:K565)</f>
        <v>0</v>
      </c>
      <c r="M565" s="8"/>
      <c r="N565" s="164"/>
    </row>
    <row r="566" spans="1:14" s="3" customFormat="1" ht="12.2" customHeight="1" thickTop="1" x14ac:dyDescent="0.15">
      <c r="A566" s="97" t="s">
        <v>65</v>
      </c>
      <c r="B566" s="41">
        <v>22</v>
      </c>
      <c r="C566" s="41">
        <v>8</v>
      </c>
      <c r="D566" s="115" t="s">
        <v>432</v>
      </c>
      <c r="E566" s="41"/>
      <c r="F566" s="70">
        <f t="shared" ref="F566:L566" si="46">SUM(F563:F565)</f>
        <v>0</v>
      </c>
      <c r="G566" s="70">
        <f t="shared" si="46"/>
        <v>0</v>
      </c>
      <c r="H566" s="70">
        <f t="shared" si="46"/>
        <v>0</v>
      </c>
      <c r="I566" s="70">
        <f t="shared" si="46"/>
        <v>0</v>
      </c>
      <c r="J566" s="70">
        <f t="shared" si="46"/>
        <v>0</v>
      </c>
      <c r="K566" s="70">
        <f t="shared" si="46"/>
        <v>0</v>
      </c>
      <c r="L566" s="70">
        <f t="shared" si="46"/>
        <v>0</v>
      </c>
      <c r="M566" s="8"/>
      <c r="N566" s="164"/>
    </row>
    <row r="567" spans="1:14" s="3" customFormat="1" ht="12.2" customHeight="1" x14ac:dyDescent="0.15">
      <c r="A567" s="74" t="s">
        <v>87</v>
      </c>
      <c r="B567" s="22"/>
      <c r="C567" s="22"/>
      <c r="D567" s="22"/>
      <c r="E567" s="22"/>
      <c r="F567" s="23" t="s">
        <v>288</v>
      </c>
      <c r="G567" s="23" t="s">
        <v>288</v>
      </c>
      <c r="H567" s="23" t="s">
        <v>288</v>
      </c>
      <c r="I567" s="23" t="s">
        <v>288</v>
      </c>
      <c r="J567" s="23" t="s">
        <v>288</v>
      </c>
      <c r="K567" s="23" t="s">
        <v>288</v>
      </c>
      <c r="L567" s="23" t="s">
        <v>288</v>
      </c>
      <c r="M567" s="8"/>
      <c r="N567" s="164"/>
    </row>
    <row r="568" spans="1:14" s="3" customFormat="1" ht="12.2" customHeight="1" x14ac:dyDescent="0.15">
      <c r="A568" s="21" t="s">
        <v>633</v>
      </c>
      <c r="B568" s="22">
        <v>22</v>
      </c>
      <c r="C568" s="22">
        <v>9</v>
      </c>
      <c r="D568" s="2" t="s">
        <v>432</v>
      </c>
      <c r="E568" s="22"/>
      <c r="F568" s="18"/>
      <c r="G568" s="18"/>
      <c r="H568" s="18"/>
      <c r="I568" s="18"/>
      <c r="J568" s="18"/>
      <c r="K568" s="18"/>
      <c r="L568" s="69">
        <f>SUM(F568:K568)</f>
        <v>0</v>
      </c>
      <c r="M568" s="8"/>
      <c r="N568" s="164"/>
    </row>
    <row r="569" spans="1:14" s="3" customFormat="1" ht="12.2" customHeight="1" x14ac:dyDescent="0.15">
      <c r="A569" s="21" t="s">
        <v>634</v>
      </c>
      <c r="B569" s="22">
        <v>22</v>
      </c>
      <c r="C569" s="22">
        <v>10</v>
      </c>
      <c r="D569" s="2" t="s">
        <v>432</v>
      </c>
      <c r="E569" s="22"/>
      <c r="F569" s="18"/>
      <c r="G569" s="18"/>
      <c r="H569" s="18"/>
      <c r="I569" s="18"/>
      <c r="J569" s="18"/>
      <c r="K569" s="18"/>
      <c r="L569" s="69">
        <f>SUM(F569:K569)</f>
        <v>0</v>
      </c>
      <c r="M569" s="8"/>
      <c r="N569" s="164"/>
    </row>
    <row r="570" spans="1:14" s="3" customFormat="1" ht="12.2" customHeight="1" thickBot="1" x14ac:dyDescent="0.2">
      <c r="A570" s="21" t="s">
        <v>635</v>
      </c>
      <c r="B570" s="22">
        <v>22</v>
      </c>
      <c r="C570" s="22">
        <v>11</v>
      </c>
      <c r="D570" s="2" t="s">
        <v>432</v>
      </c>
      <c r="E570" s="22"/>
      <c r="F570" s="18"/>
      <c r="G570" s="18"/>
      <c r="H570" s="18"/>
      <c r="I570" s="18"/>
      <c r="J570" s="18"/>
      <c r="K570" s="18"/>
      <c r="L570" s="69">
        <f>SUM(F570:K570)</f>
        <v>0</v>
      </c>
      <c r="M570" s="8"/>
      <c r="N570" s="164"/>
    </row>
    <row r="571" spans="1:14" s="3" customFormat="1" ht="12.2" customHeight="1" thickTop="1" thickBot="1" x14ac:dyDescent="0.2">
      <c r="A571" s="93" t="s">
        <v>67</v>
      </c>
      <c r="B571" s="63">
        <v>22</v>
      </c>
      <c r="C571" s="63">
        <v>12</v>
      </c>
      <c r="D571" s="139" t="s">
        <v>432</v>
      </c>
      <c r="E571" s="63"/>
      <c r="F571" s="140">
        <f>SUM(F568:F570)</f>
        <v>0</v>
      </c>
      <c r="G571" s="140">
        <f t="shared" ref="G571:L571" si="47">SUM(G568:G570)</f>
        <v>0</v>
      </c>
      <c r="H571" s="140">
        <f t="shared" si="47"/>
        <v>0</v>
      </c>
      <c r="I571" s="140">
        <f t="shared" si="47"/>
        <v>0</v>
      </c>
      <c r="J571" s="140">
        <f t="shared" si="47"/>
        <v>0</v>
      </c>
      <c r="K571" s="140">
        <f t="shared" si="47"/>
        <v>0</v>
      </c>
      <c r="L571" s="140">
        <f t="shared" si="47"/>
        <v>0</v>
      </c>
      <c r="M571" s="8"/>
      <c r="N571" s="164"/>
    </row>
    <row r="572" spans="1:14" s="3" customFormat="1" ht="12.2" customHeight="1" thickTop="1" x14ac:dyDescent="0.15">
      <c r="A572" s="75" t="s">
        <v>88</v>
      </c>
      <c r="B572" s="41">
        <v>22</v>
      </c>
      <c r="C572" s="41">
        <v>13</v>
      </c>
      <c r="D572" s="115" t="s">
        <v>432</v>
      </c>
      <c r="E572" s="41"/>
      <c r="F572" s="70">
        <f>F561+F566+F571</f>
        <v>0</v>
      </c>
      <c r="G572" s="70">
        <f t="shared" ref="G572:L572" si="48">G561+G566+G571</f>
        <v>0</v>
      </c>
      <c r="H572" s="70">
        <f t="shared" si="48"/>
        <v>0</v>
      </c>
      <c r="I572" s="70">
        <f t="shared" si="48"/>
        <v>0</v>
      </c>
      <c r="J572" s="70">
        <f t="shared" si="48"/>
        <v>0</v>
      </c>
      <c r="K572" s="70">
        <f t="shared" si="48"/>
        <v>0</v>
      </c>
      <c r="L572" s="70">
        <f t="shared" si="48"/>
        <v>0</v>
      </c>
      <c r="M572" s="8"/>
      <c r="N572" s="164"/>
    </row>
    <row r="573" spans="1:14" s="3" customFormat="1" ht="12.2" customHeight="1" x14ac:dyDescent="0.15">
      <c r="A573" s="74"/>
      <c r="B573" s="22"/>
      <c r="C573" s="22"/>
      <c r="D573" s="22"/>
      <c r="E573" s="22"/>
      <c r="F573" s="69"/>
      <c r="G573" s="69"/>
      <c r="H573" s="69"/>
      <c r="I573" s="69"/>
      <c r="J573" s="69"/>
      <c r="K573" s="69"/>
      <c r="L573" s="69"/>
      <c r="M573" s="8"/>
      <c r="N573" s="164"/>
    </row>
    <row r="574" spans="1:14" s="3" customFormat="1" ht="12.2" customHeight="1" x14ac:dyDescent="0.15">
      <c r="A574" s="74" t="s">
        <v>768</v>
      </c>
      <c r="B574" s="22"/>
      <c r="C574" s="22"/>
      <c r="D574" s="22"/>
      <c r="E574" s="22"/>
      <c r="F574" s="69"/>
      <c r="G574" s="69"/>
      <c r="H574" s="69"/>
      <c r="I574" s="69"/>
      <c r="J574" s="69"/>
      <c r="K574" s="69"/>
      <c r="L574" s="69"/>
      <c r="M574" s="8"/>
      <c r="N574" s="164"/>
    </row>
    <row r="575" spans="1:14" s="3" customFormat="1" ht="12.2" customHeight="1" x14ac:dyDescent="0.15">
      <c r="A575" s="74" t="s">
        <v>89</v>
      </c>
      <c r="B575" s="22"/>
      <c r="C575" s="22"/>
      <c r="D575" s="22"/>
      <c r="E575" s="22" t="s">
        <v>95</v>
      </c>
      <c r="F575" s="77" t="s">
        <v>90</v>
      </c>
      <c r="G575" s="77" t="s">
        <v>91</v>
      </c>
      <c r="H575" s="77" t="s">
        <v>92</v>
      </c>
      <c r="I575" s="77" t="s">
        <v>93</v>
      </c>
      <c r="J575" s="23" t="s">
        <v>288</v>
      </c>
      <c r="K575" s="23" t="s">
        <v>288</v>
      </c>
      <c r="L575" s="23" t="s">
        <v>288</v>
      </c>
      <c r="M575" s="8"/>
      <c r="N575" s="164"/>
    </row>
    <row r="576" spans="1:14" s="3" customFormat="1" ht="12.2" customHeight="1" x14ac:dyDescent="0.15">
      <c r="A576" s="21" t="s">
        <v>669</v>
      </c>
      <c r="B576" s="22">
        <v>22</v>
      </c>
      <c r="C576" s="22">
        <v>14</v>
      </c>
      <c r="D576" s="2" t="s">
        <v>432</v>
      </c>
      <c r="E576" s="22">
        <v>561</v>
      </c>
      <c r="F576" s="18"/>
      <c r="G576" s="18"/>
      <c r="H576" s="18"/>
      <c r="I576" s="69">
        <f>SUM(F576:H576)</f>
        <v>0</v>
      </c>
      <c r="J576" s="23" t="s">
        <v>288</v>
      </c>
      <c r="K576" s="23" t="s">
        <v>288</v>
      </c>
      <c r="L576" s="23" t="s">
        <v>288</v>
      </c>
      <c r="M576" s="8"/>
      <c r="N576" s="164"/>
    </row>
    <row r="577" spans="1:14" s="3" customFormat="1" ht="12.2" customHeight="1" x14ac:dyDescent="0.15">
      <c r="A577" s="21" t="s">
        <v>670</v>
      </c>
      <c r="B577" s="22">
        <v>22</v>
      </c>
      <c r="C577" s="22">
        <v>15</v>
      </c>
      <c r="D577" s="2" t="s">
        <v>432</v>
      </c>
      <c r="E577" s="22">
        <v>562</v>
      </c>
      <c r="F577" s="18"/>
      <c r="G577" s="18"/>
      <c r="H577" s="18"/>
      <c r="I577" s="69">
        <f t="shared" ref="I577:I588" si="49">SUM(F577:H577)</f>
        <v>0</v>
      </c>
      <c r="J577" s="23" t="s">
        <v>288</v>
      </c>
      <c r="K577" s="23" t="s">
        <v>288</v>
      </c>
      <c r="L577" s="23" t="s">
        <v>288</v>
      </c>
      <c r="M577" s="8"/>
      <c r="N577" s="164"/>
    </row>
    <row r="578" spans="1:14" s="3" customFormat="1" ht="12.2" customHeight="1" x14ac:dyDescent="0.15">
      <c r="A578" s="21" t="s">
        <v>1796</v>
      </c>
      <c r="B578" s="22">
        <v>22</v>
      </c>
      <c r="C578" s="22">
        <v>16</v>
      </c>
      <c r="D578" s="2" t="s">
        <v>432</v>
      </c>
      <c r="E578" s="22">
        <v>563</v>
      </c>
      <c r="F578" s="23" t="s">
        <v>288</v>
      </c>
      <c r="G578" s="23" t="s">
        <v>288</v>
      </c>
      <c r="H578" s="18"/>
      <c r="I578" s="69">
        <f t="shared" si="49"/>
        <v>0</v>
      </c>
      <c r="J578" s="23" t="s">
        <v>288</v>
      </c>
      <c r="K578" s="23" t="s">
        <v>288</v>
      </c>
      <c r="L578" s="23" t="s">
        <v>288</v>
      </c>
      <c r="M578" s="8"/>
      <c r="N578" s="164"/>
    </row>
    <row r="579" spans="1:14" s="3" customFormat="1" ht="12.2" customHeight="1" x14ac:dyDescent="0.15">
      <c r="A579" s="21" t="s">
        <v>674</v>
      </c>
      <c r="B579" s="22">
        <v>22</v>
      </c>
      <c r="C579" s="22">
        <v>17</v>
      </c>
      <c r="D579" s="2" t="s">
        <v>432</v>
      </c>
      <c r="E579" s="22">
        <v>564</v>
      </c>
      <c r="F579" s="18"/>
      <c r="G579" s="18"/>
      <c r="H579" s="18"/>
      <c r="I579" s="69">
        <f t="shared" si="49"/>
        <v>0</v>
      </c>
      <c r="J579" s="23" t="s">
        <v>288</v>
      </c>
      <c r="K579" s="23" t="s">
        <v>288</v>
      </c>
      <c r="L579" s="23" t="s">
        <v>288</v>
      </c>
      <c r="M579" s="8"/>
      <c r="N579" s="164"/>
    </row>
    <row r="580" spans="1:14" s="3" customFormat="1" ht="12.2" customHeight="1" x14ac:dyDescent="0.15">
      <c r="A580" s="21" t="s">
        <v>671</v>
      </c>
      <c r="B580" s="22">
        <v>22</v>
      </c>
      <c r="C580" s="22">
        <v>18</v>
      </c>
      <c r="D580" s="2" t="s">
        <v>432</v>
      </c>
      <c r="E580" s="22">
        <v>561</v>
      </c>
      <c r="F580" s="18">
        <f>235377.11+86935.52</f>
        <v>322312.63</v>
      </c>
      <c r="G580" s="18"/>
      <c r="H580" s="18">
        <v>43094.1</v>
      </c>
      <c r="I580" s="69">
        <f t="shared" si="49"/>
        <v>365406.73</v>
      </c>
      <c r="J580" s="23" t="s">
        <v>288</v>
      </c>
      <c r="K580" s="23" t="s">
        <v>288</v>
      </c>
      <c r="L580" s="23" t="s">
        <v>288</v>
      </c>
      <c r="M580" s="8"/>
      <c r="N580" s="164"/>
    </row>
    <row r="581" spans="1:14" s="3" customFormat="1" ht="12.2" customHeight="1" x14ac:dyDescent="0.15">
      <c r="A581" s="21" t="s">
        <v>672</v>
      </c>
      <c r="B581" s="22">
        <v>22</v>
      </c>
      <c r="C581" s="22">
        <v>19</v>
      </c>
      <c r="D581" s="2" t="s">
        <v>432</v>
      </c>
      <c r="E581" s="22">
        <v>562</v>
      </c>
      <c r="F581" s="18"/>
      <c r="G581" s="18"/>
      <c r="H581" s="18"/>
      <c r="I581" s="69">
        <f t="shared" si="49"/>
        <v>0</v>
      </c>
      <c r="J581" s="23" t="s">
        <v>288</v>
      </c>
      <c r="K581" s="23" t="s">
        <v>288</v>
      </c>
      <c r="L581" s="23" t="s">
        <v>288</v>
      </c>
      <c r="M581" s="8"/>
      <c r="N581" s="164"/>
    </row>
    <row r="582" spans="1:14" s="3" customFormat="1" ht="12.2" customHeight="1" x14ac:dyDescent="0.15">
      <c r="A582" s="103" t="s">
        <v>1795</v>
      </c>
      <c r="B582" s="22">
        <v>22</v>
      </c>
      <c r="C582" s="22">
        <v>20</v>
      </c>
      <c r="D582" s="2" t="s">
        <v>432</v>
      </c>
      <c r="E582" s="22">
        <v>563</v>
      </c>
      <c r="F582" s="23" t="s">
        <v>288</v>
      </c>
      <c r="G582" s="23" t="s">
        <v>288</v>
      </c>
      <c r="H582" s="18"/>
      <c r="I582" s="69">
        <f t="shared" si="49"/>
        <v>0</v>
      </c>
      <c r="J582" s="23" t="s">
        <v>288</v>
      </c>
      <c r="K582" s="23" t="s">
        <v>288</v>
      </c>
      <c r="L582" s="23" t="s">
        <v>288</v>
      </c>
      <c r="M582" s="8"/>
      <c r="N582" s="164"/>
    </row>
    <row r="583" spans="1:14" s="3" customFormat="1" ht="12.2" customHeight="1" x14ac:dyDescent="0.15">
      <c r="A583" s="103" t="s">
        <v>673</v>
      </c>
      <c r="B583" s="22">
        <v>22</v>
      </c>
      <c r="C583" s="22">
        <v>21</v>
      </c>
      <c r="D583" s="2" t="s">
        <v>432</v>
      </c>
      <c r="E583" s="22">
        <v>564</v>
      </c>
      <c r="F583" s="18">
        <f>477230.36+408911.05</f>
        <v>886141.40999999992</v>
      </c>
      <c r="G583" s="18"/>
      <c r="H583" s="18">
        <v>300632.68</v>
      </c>
      <c r="I583" s="69">
        <f t="shared" si="49"/>
        <v>1186774.0899999999</v>
      </c>
      <c r="J583" s="23" t="s">
        <v>288</v>
      </c>
      <c r="K583" s="23" t="s">
        <v>288</v>
      </c>
      <c r="L583" s="23" t="s">
        <v>288</v>
      </c>
      <c r="M583" s="8"/>
      <c r="N583" s="164"/>
    </row>
    <row r="584" spans="1:14" s="3" customFormat="1" ht="12.2" customHeight="1" x14ac:dyDescent="0.15">
      <c r="A584" s="103" t="s">
        <v>636</v>
      </c>
      <c r="B584" s="22">
        <v>22</v>
      </c>
      <c r="C584" s="22">
        <v>22</v>
      </c>
      <c r="D584" s="2" t="s">
        <v>432</v>
      </c>
      <c r="E584" s="22">
        <v>569</v>
      </c>
      <c r="F584" s="18"/>
      <c r="G584" s="18"/>
      <c r="H584" s="18"/>
      <c r="I584" s="69">
        <f t="shared" si="49"/>
        <v>0</v>
      </c>
      <c r="J584" s="23" t="s">
        <v>288</v>
      </c>
      <c r="K584" s="23" t="s">
        <v>288</v>
      </c>
      <c r="L584" s="23" t="s">
        <v>288</v>
      </c>
      <c r="M584" s="8"/>
      <c r="N584" s="164"/>
    </row>
    <row r="585" spans="1:14" s="3" customFormat="1" ht="12.2" customHeight="1" x14ac:dyDescent="0.15">
      <c r="A585" s="21" t="s">
        <v>675</v>
      </c>
      <c r="B585" s="22">
        <v>22</v>
      </c>
      <c r="C585" s="22">
        <v>23</v>
      </c>
      <c r="D585" s="2" t="s">
        <v>432</v>
      </c>
      <c r="E585" s="22">
        <v>561</v>
      </c>
      <c r="F585" s="18"/>
      <c r="G585" s="18"/>
      <c r="H585" s="18">
        <v>361859</v>
      </c>
      <c r="I585" s="69">
        <f t="shared" si="49"/>
        <v>361859</v>
      </c>
      <c r="J585" s="23" t="s">
        <v>288</v>
      </c>
      <c r="K585" s="23" t="s">
        <v>288</v>
      </c>
      <c r="L585" s="23" t="s">
        <v>288</v>
      </c>
      <c r="M585" s="8"/>
      <c r="N585" s="164"/>
    </row>
    <row r="586" spans="1:14" s="3" customFormat="1" ht="12.2" customHeight="1" x14ac:dyDescent="0.15">
      <c r="A586" s="21" t="s">
        <v>676</v>
      </c>
      <c r="B586" s="22">
        <v>22</v>
      </c>
      <c r="C586" s="22">
        <v>24</v>
      </c>
      <c r="D586" s="2" t="s">
        <v>432</v>
      </c>
      <c r="E586" s="22">
        <v>562</v>
      </c>
      <c r="F586" s="18"/>
      <c r="G586" s="18"/>
      <c r="H586" s="18"/>
      <c r="I586" s="69">
        <f t="shared" si="49"/>
        <v>0</v>
      </c>
      <c r="J586" s="23" t="s">
        <v>288</v>
      </c>
      <c r="K586" s="23" t="s">
        <v>288</v>
      </c>
      <c r="L586" s="23" t="s">
        <v>288</v>
      </c>
      <c r="M586" s="8"/>
      <c r="N586" s="164"/>
    </row>
    <row r="587" spans="1:14" s="3" customFormat="1" ht="12.2" customHeight="1" x14ac:dyDescent="0.15">
      <c r="A587" s="21" t="s">
        <v>740</v>
      </c>
      <c r="B587" s="22">
        <v>22</v>
      </c>
      <c r="C587" s="22">
        <v>25</v>
      </c>
      <c r="D587" s="2" t="s">
        <v>432</v>
      </c>
      <c r="E587" s="22">
        <v>563</v>
      </c>
      <c r="F587" s="23" t="s">
        <v>288</v>
      </c>
      <c r="G587" s="23" t="s">
        <v>288</v>
      </c>
      <c r="H587" s="18"/>
      <c r="I587" s="69">
        <f t="shared" si="49"/>
        <v>0</v>
      </c>
      <c r="J587" s="23" t="s">
        <v>288</v>
      </c>
      <c r="K587" s="23" t="s">
        <v>288</v>
      </c>
      <c r="L587" s="23" t="s">
        <v>288</v>
      </c>
      <c r="M587" s="8"/>
      <c r="N587" s="164"/>
    </row>
    <row r="588" spans="1:14" s="3" customFormat="1" ht="12.2" customHeight="1" thickBot="1" x14ac:dyDescent="0.2">
      <c r="A588" s="311" t="s">
        <v>677</v>
      </c>
      <c r="B588" s="58">
        <v>22</v>
      </c>
      <c r="C588" s="58">
        <v>26</v>
      </c>
      <c r="D588" s="52" t="s">
        <v>432</v>
      </c>
      <c r="E588" s="58">
        <v>564</v>
      </c>
      <c r="F588" s="53"/>
      <c r="G588" s="53"/>
      <c r="H588" s="53"/>
      <c r="I588" s="312">
        <f t="shared" si="49"/>
        <v>0</v>
      </c>
      <c r="J588" s="23" t="s">
        <v>288</v>
      </c>
      <c r="K588" s="23" t="s">
        <v>288</v>
      </c>
      <c r="L588" s="23" t="s">
        <v>288</v>
      </c>
      <c r="M588" s="8"/>
      <c r="N588" s="164"/>
    </row>
    <row r="589" spans="1:14" s="3" customFormat="1" ht="12.2" customHeight="1" thickTop="1" x14ac:dyDescent="0.15">
      <c r="A589" s="74" t="s">
        <v>340</v>
      </c>
      <c r="B589" s="22"/>
      <c r="C589" s="22"/>
      <c r="D589" s="22"/>
      <c r="E589" s="22"/>
      <c r="F589" s="79">
        <f>SUM(F576:F588)</f>
        <v>1208454.04</v>
      </c>
      <c r="G589" s="79">
        <f t="shared" ref="G589:I589" si="50">SUM(G576:G588)</f>
        <v>0</v>
      </c>
      <c r="H589" s="79">
        <f t="shared" si="50"/>
        <v>705585.78</v>
      </c>
      <c r="I589" s="79">
        <f t="shared" si="50"/>
        <v>1914039.8199999998</v>
      </c>
      <c r="J589" s="79"/>
      <c r="K589" s="79"/>
      <c r="L589" s="79"/>
      <c r="M589" s="8"/>
      <c r="N589" s="164"/>
    </row>
    <row r="590" spans="1:14" s="3" customFormat="1" ht="12.2" customHeight="1" x14ac:dyDescent="0.15">
      <c r="A590" s="104" t="s">
        <v>654</v>
      </c>
      <c r="B590" s="22"/>
      <c r="C590" s="22"/>
      <c r="D590" s="22"/>
      <c r="E590" s="22"/>
      <c r="F590" s="79"/>
      <c r="G590" s="79"/>
      <c r="H590" s="79"/>
      <c r="I590" s="79"/>
      <c r="J590" s="79"/>
      <c r="K590" s="79"/>
      <c r="L590" s="79"/>
      <c r="M590" s="8"/>
      <c r="N590" s="164"/>
    </row>
    <row r="591" spans="1:14" s="3" customFormat="1" ht="12.2" customHeight="1" x14ac:dyDescent="0.15">
      <c r="A591" s="74" t="s">
        <v>89</v>
      </c>
      <c r="B591" s="22"/>
      <c r="C591" s="22"/>
      <c r="D591" s="22"/>
      <c r="E591" s="22"/>
      <c r="F591" s="79" t="s">
        <v>94</v>
      </c>
      <c r="G591" s="79" t="s">
        <v>95</v>
      </c>
      <c r="H591" s="79" t="s">
        <v>61</v>
      </c>
      <c r="I591" s="79" t="s">
        <v>96</v>
      </c>
      <c r="J591" s="79" t="s">
        <v>62</v>
      </c>
      <c r="K591" s="79" t="s">
        <v>5</v>
      </c>
      <c r="L591" s="79"/>
      <c r="M591" s="8"/>
      <c r="N591" s="164"/>
    </row>
    <row r="592" spans="1:14" s="3" customFormat="1" ht="12.2" customHeight="1" x14ac:dyDescent="0.15">
      <c r="A592" s="3" t="s">
        <v>637</v>
      </c>
      <c r="B592" s="22">
        <v>23</v>
      </c>
      <c r="C592" s="22">
        <v>1</v>
      </c>
      <c r="D592" s="2" t="s">
        <v>432</v>
      </c>
      <c r="E592" s="22"/>
      <c r="F592" s="78">
        <v>2721</v>
      </c>
      <c r="G592" s="79" t="s">
        <v>97</v>
      </c>
      <c r="H592" s="18">
        <f>146410.35+167756.05</f>
        <v>314166.40000000002</v>
      </c>
      <c r="I592" s="18"/>
      <c r="J592" s="18"/>
      <c r="K592" s="80">
        <f t="shared" ref="K592:K598" si="51">SUM(H592:J592)</f>
        <v>314166.40000000002</v>
      </c>
      <c r="L592" s="23" t="s">
        <v>288</v>
      </c>
      <c r="M592" s="8"/>
      <c r="N592" s="164"/>
    </row>
    <row r="593" spans="1:14" s="3" customFormat="1" ht="12.2" customHeight="1" x14ac:dyDescent="0.15">
      <c r="A593" s="3" t="s">
        <v>638</v>
      </c>
      <c r="B593" s="22">
        <v>23</v>
      </c>
      <c r="C593" s="22">
        <v>2</v>
      </c>
      <c r="D593" s="2" t="s">
        <v>432</v>
      </c>
      <c r="E593" s="22"/>
      <c r="F593" s="78">
        <v>2722</v>
      </c>
      <c r="G593" s="79" t="s">
        <v>97</v>
      </c>
      <c r="H593" s="18">
        <f>551323.03</f>
        <v>551323.03</v>
      </c>
      <c r="I593" s="18"/>
      <c r="J593" s="18">
        <f>6830+130566.63</f>
        <v>137396.63</v>
      </c>
      <c r="K593" s="80">
        <f t="shared" si="51"/>
        <v>688719.66</v>
      </c>
      <c r="L593" s="23" t="s">
        <v>288</v>
      </c>
      <c r="M593" s="8"/>
      <c r="N593" s="164"/>
    </row>
    <row r="594" spans="1:14" s="3" customFormat="1" ht="12.2" customHeight="1" x14ac:dyDescent="0.15">
      <c r="A594" s="3" t="s">
        <v>639</v>
      </c>
      <c r="B594" s="22">
        <v>23</v>
      </c>
      <c r="C594" s="22">
        <v>3</v>
      </c>
      <c r="D594" s="2" t="s">
        <v>432</v>
      </c>
      <c r="E594" s="22"/>
      <c r="F594" s="78">
        <v>2723</v>
      </c>
      <c r="G594" s="79" t="s">
        <v>97</v>
      </c>
      <c r="H594" s="18"/>
      <c r="I594" s="18"/>
      <c r="J594" s="18">
        <v>272731.96000000002</v>
      </c>
      <c r="K594" s="80">
        <f t="shared" si="51"/>
        <v>272731.96000000002</v>
      </c>
      <c r="L594" s="23" t="s">
        <v>288</v>
      </c>
      <c r="M594" s="8"/>
      <c r="N594" s="164"/>
    </row>
    <row r="595" spans="1:14" s="3" customFormat="1" ht="12.2" customHeight="1" x14ac:dyDescent="0.15">
      <c r="A595" s="21" t="s">
        <v>640</v>
      </c>
      <c r="B595" s="22">
        <v>23</v>
      </c>
      <c r="C595" s="22">
        <v>4</v>
      </c>
      <c r="D595" s="2" t="s">
        <v>432</v>
      </c>
      <c r="E595" s="22"/>
      <c r="F595" s="78">
        <v>2724</v>
      </c>
      <c r="G595" s="79" t="s">
        <v>97</v>
      </c>
      <c r="H595" s="18">
        <v>1192.71</v>
      </c>
      <c r="I595" s="18"/>
      <c r="J595" s="18">
        <v>55388.01</v>
      </c>
      <c r="K595" s="80">
        <f t="shared" si="51"/>
        <v>56580.72</v>
      </c>
      <c r="L595" s="23" t="s">
        <v>288</v>
      </c>
      <c r="M595" s="8"/>
      <c r="N595" s="164"/>
    </row>
    <row r="596" spans="1:14" s="3" customFormat="1" ht="12.2" customHeight="1" x14ac:dyDescent="0.15">
      <c r="A596" s="103" t="s">
        <v>652</v>
      </c>
      <c r="B596" s="22">
        <v>23</v>
      </c>
      <c r="C596" s="22">
        <v>5</v>
      </c>
      <c r="D596" s="2" t="s">
        <v>432</v>
      </c>
      <c r="E596" s="22"/>
      <c r="F596" s="78">
        <v>2725</v>
      </c>
      <c r="G596" s="79" t="s">
        <v>97</v>
      </c>
      <c r="H596" s="18">
        <f>4427.7+4715.45</f>
        <v>9143.15</v>
      </c>
      <c r="I596" s="18"/>
      <c r="J596" s="18">
        <v>402.1</v>
      </c>
      <c r="K596" s="80">
        <f t="shared" si="51"/>
        <v>9545.25</v>
      </c>
      <c r="L596" s="23" t="s">
        <v>288</v>
      </c>
      <c r="M596" s="8"/>
      <c r="N596" s="164"/>
    </row>
    <row r="597" spans="1:14" s="3" customFormat="1" ht="12.2" customHeight="1" x14ac:dyDescent="0.15">
      <c r="A597" s="21" t="s">
        <v>641</v>
      </c>
      <c r="B597" s="22">
        <v>23</v>
      </c>
      <c r="C597" s="22">
        <v>6</v>
      </c>
      <c r="D597" s="2" t="s">
        <v>432</v>
      </c>
      <c r="E597" s="22"/>
      <c r="F597" s="78">
        <v>2726</v>
      </c>
      <c r="G597" s="79" t="s">
        <v>97</v>
      </c>
      <c r="H597" s="18"/>
      <c r="I597" s="18"/>
      <c r="J597" s="18"/>
      <c r="K597" s="80">
        <f t="shared" si="51"/>
        <v>0</v>
      </c>
      <c r="L597" s="23" t="s">
        <v>288</v>
      </c>
      <c r="M597" s="8"/>
      <c r="N597" s="164"/>
    </row>
    <row r="598" spans="1:14" s="3" customFormat="1" ht="12.2" customHeight="1" thickBot="1" x14ac:dyDescent="0.2">
      <c r="A598" s="3" t="s">
        <v>655</v>
      </c>
      <c r="B598" s="22">
        <v>23</v>
      </c>
      <c r="C598" s="22">
        <v>7</v>
      </c>
      <c r="D598" s="2" t="s">
        <v>432</v>
      </c>
      <c r="E598" s="22"/>
      <c r="F598" s="78">
        <v>2729</v>
      </c>
      <c r="G598" s="79" t="s">
        <v>97</v>
      </c>
      <c r="H598" s="18"/>
      <c r="I598" s="18"/>
      <c r="J598" s="18"/>
      <c r="K598" s="80">
        <f t="shared" si="51"/>
        <v>0</v>
      </c>
      <c r="L598" s="23" t="s">
        <v>288</v>
      </c>
      <c r="M598" s="8"/>
      <c r="N598" s="164"/>
    </row>
    <row r="599" spans="1:14" s="3" customFormat="1" ht="12.2" customHeight="1" thickTop="1" x14ac:dyDescent="0.15">
      <c r="A599" s="75" t="s">
        <v>340</v>
      </c>
      <c r="B599" s="41">
        <v>23</v>
      </c>
      <c r="C599" s="41">
        <v>8</v>
      </c>
      <c r="D599" s="36" t="s">
        <v>432</v>
      </c>
      <c r="E599" s="41"/>
      <c r="F599" s="105">
        <v>2700</v>
      </c>
      <c r="G599" s="106" t="s">
        <v>97</v>
      </c>
      <c r="H599" s="81">
        <f>SUM(H592:H598)</f>
        <v>875825.29</v>
      </c>
      <c r="I599" s="81">
        <f>SUM(I592:I598)</f>
        <v>0</v>
      </c>
      <c r="J599" s="81">
        <f>SUM(J592:J598)</f>
        <v>465918.7</v>
      </c>
      <c r="K599" s="81">
        <f>SUM(K592:K598)</f>
        <v>1341743.99</v>
      </c>
      <c r="L599" s="23" t="s">
        <v>288</v>
      </c>
      <c r="M599" s="8"/>
      <c r="N599" s="164"/>
    </row>
    <row r="600" spans="1:14" s="3" customFormat="1" ht="12.2" customHeight="1" x14ac:dyDescent="0.15">
      <c r="A600" s="21"/>
      <c r="B600" s="22"/>
      <c r="C600" s="22"/>
      <c r="D600" s="22"/>
      <c r="E600" s="22"/>
      <c r="F600" s="79"/>
      <c r="G600" s="79"/>
      <c r="H600" s="79"/>
      <c r="I600" s="79"/>
      <c r="J600" s="79"/>
      <c r="K600" s="79"/>
      <c r="L600" s="79"/>
      <c r="M600" s="8"/>
      <c r="N600" s="164"/>
    </row>
    <row r="601" spans="1:14" s="3" customFormat="1" ht="12.2" customHeight="1" x14ac:dyDescent="0.15">
      <c r="A601" s="74" t="s">
        <v>98</v>
      </c>
      <c r="B601" s="22"/>
      <c r="C601" s="22"/>
      <c r="D601" s="22"/>
      <c r="E601" s="22"/>
      <c r="F601" s="79"/>
      <c r="G601" s="79"/>
      <c r="H601" s="79"/>
      <c r="I601" s="79"/>
      <c r="J601" s="79"/>
      <c r="K601" s="79"/>
      <c r="L601" s="79"/>
      <c r="M601" s="8"/>
      <c r="N601" s="164"/>
    </row>
    <row r="602" spans="1:14" s="3" customFormat="1" ht="12.2" customHeight="1" x14ac:dyDescent="0.15">
      <c r="A602" s="74" t="s">
        <v>89</v>
      </c>
      <c r="B602" s="22"/>
      <c r="C602" s="22"/>
      <c r="D602" s="22"/>
      <c r="E602" s="22"/>
      <c r="F602" s="79" t="s">
        <v>94</v>
      </c>
      <c r="G602" s="79" t="s">
        <v>95</v>
      </c>
      <c r="H602" s="79" t="s">
        <v>61</v>
      </c>
      <c r="I602" s="79" t="s">
        <v>96</v>
      </c>
      <c r="J602" s="79" t="s">
        <v>62</v>
      </c>
      <c r="K602" s="79" t="s">
        <v>5</v>
      </c>
      <c r="L602" s="79"/>
      <c r="M602" s="8"/>
      <c r="N602" s="164"/>
    </row>
    <row r="603" spans="1:14" s="3" customFormat="1" ht="12.2" customHeight="1" x14ac:dyDescent="0.15">
      <c r="A603" s="21" t="s">
        <v>642</v>
      </c>
      <c r="B603" s="22">
        <v>23</v>
      </c>
      <c r="C603" s="22">
        <v>9</v>
      </c>
      <c r="D603" s="2" t="s">
        <v>432</v>
      </c>
      <c r="E603" s="22"/>
      <c r="F603" s="79" t="s">
        <v>476</v>
      </c>
      <c r="G603" s="78">
        <v>710</v>
      </c>
      <c r="H603" s="18"/>
      <c r="I603" s="18"/>
      <c r="J603" s="18"/>
      <c r="K603" s="80">
        <f>SUM(H603:J603)</f>
        <v>0</v>
      </c>
      <c r="L603" s="23" t="s">
        <v>288</v>
      </c>
      <c r="M603" s="8"/>
      <c r="N603" s="164"/>
    </row>
    <row r="604" spans="1:14" s="3" customFormat="1" ht="12.2" customHeight="1" x14ac:dyDescent="0.15">
      <c r="A604" s="21" t="s">
        <v>643</v>
      </c>
      <c r="B604" s="22">
        <v>23</v>
      </c>
      <c r="C604" s="22">
        <v>10</v>
      </c>
      <c r="D604" s="2" t="s">
        <v>432</v>
      </c>
      <c r="E604" s="22"/>
      <c r="F604" s="79" t="s">
        <v>476</v>
      </c>
      <c r="G604" s="78">
        <v>720</v>
      </c>
      <c r="H604" s="18"/>
      <c r="I604" s="18"/>
      <c r="J604" s="18"/>
      <c r="K604" s="80">
        <f>SUM(H604:J604)</f>
        <v>0</v>
      </c>
      <c r="L604" s="23" t="s">
        <v>288</v>
      </c>
      <c r="M604" s="8"/>
      <c r="N604" s="164"/>
    </row>
    <row r="605" spans="1:14" s="3" customFormat="1" ht="12.2" customHeight="1" thickBot="1" x14ac:dyDescent="0.2">
      <c r="A605" s="21" t="s">
        <v>644</v>
      </c>
      <c r="B605" s="22">
        <v>23</v>
      </c>
      <c r="C605" s="22">
        <v>11</v>
      </c>
      <c r="D605" s="2" t="s">
        <v>432</v>
      </c>
      <c r="E605" s="22"/>
      <c r="F605" s="79" t="s">
        <v>476</v>
      </c>
      <c r="G605" s="78">
        <v>730</v>
      </c>
      <c r="H605" s="18">
        <f>J212+J291</f>
        <v>100390.69</v>
      </c>
      <c r="I605" s="18"/>
      <c r="J605" s="18">
        <f>J248+J329</f>
        <v>68425.099999999991</v>
      </c>
      <c r="K605" s="80">
        <f>SUM(H605:J605)</f>
        <v>168815.78999999998</v>
      </c>
      <c r="L605" s="23" t="s">
        <v>288</v>
      </c>
      <c r="M605" s="8"/>
      <c r="N605" s="164"/>
    </row>
    <row r="606" spans="1:14" s="3" customFormat="1" ht="12.2" customHeight="1" thickTop="1" x14ac:dyDescent="0.15">
      <c r="A606" s="75" t="s">
        <v>340</v>
      </c>
      <c r="B606" s="41">
        <v>23</v>
      </c>
      <c r="C606" s="41">
        <v>12</v>
      </c>
      <c r="D606" s="36" t="s">
        <v>432</v>
      </c>
      <c r="E606" s="41"/>
      <c r="F606" s="106" t="s">
        <v>476</v>
      </c>
      <c r="G606" s="105">
        <v>700</v>
      </c>
      <c r="H606" s="81">
        <f>SUM(H603:H605)</f>
        <v>100390.69</v>
      </c>
      <c r="I606" s="81">
        <f>SUM(I603:I605)</f>
        <v>0</v>
      </c>
      <c r="J606" s="81">
        <f>SUM(J603:J605)</f>
        <v>68425.099999999991</v>
      </c>
      <c r="K606" s="81">
        <f>SUM(K603:K605)</f>
        <v>168815.78999999998</v>
      </c>
      <c r="L606" s="23" t="s">
        <v>288</v>
      </c>
      <c r="M606" s="8"/>
      <c r="N606" s="164"/>
    </row>
    <row r="607" spans="1:14" s="3" customFormat="1" ht="12.2" customHeight="1" x14ac:dyDescent="0.15">
      <c r="A607" s="21"/>
      <c r="B607" s="22"/>
      <c r="C607" s="22"/>
      <c r="D607" s="22"/>
      <c r="E607" s="22"/>
      <c r="F607" s="79"/>
      <c r="G607" s="79"/>
      <c r="H607" s="79"/>
      <c r="I607" s="79"/>
      <c r="J607" s="79"/>
      <c r="K607" s="79"/>
      <c r="L607" s="69"/>
      <c r="M607" s="8"/>
      <c r="N607" s="164"/>
    </row>
    <row r="608" spans="1:14" s="3" customFormat="1" ht="12.2" customHeight="1" x14ac:dyDescent="0.15">
      <c r="A608" s="74"/>
      <c r="B608" s="22"/>
      <c r="C608" s="22"/>
      <c r="D608" s="22"/>
      <c r="E608" s="22"/>
      <c r="F608" s="79"/>
      <c r="G608" s="79"/>
      <c r="H608" s="79"/>
      <c r="I608" s="79"/>
      <c r="J608" s="79"/>
      <c r="K608" s="79"/>
      <c r="L608" s="69"/>
      <c r="M608" s="8"/>
      <c r="N608" s="164"/>
    </row>
    <row r="609" spans="1:14" s="3" customFormat="1" ht="12.2" customHeight="1" x14ac:dyDescent="0.15">
      <c r="A609" s="74" t="s">
        <v>581</v>
      </c>
      <c r="B609" s="22"/>
      <c r="C609" s="22"/>
      <c r="D609" s="22"/>
      <c r="E609" s="22"/>
      <c r="F609" s="79"/>
      <c r="G609" s="79"/>
      <c r="H609" s="79"/>
      <c r="I609" s="79"/>
      <c r="J609" s="79"/>
      <c r="K609" s="79"/>
      <c r="L609" s="69"/>
      <c r="M609" s="8"/>
      <c r="N609" s="164"/>
    </row>
    <row r="610" spans="1:14" s="3" customFormat="1" ht="12.2" customHeight="1" x14ac:dyDescent="0.15">
      <c r="B610" s="22"/>
      <c r="C610" s="22"/>
      <c r="D610" s="22"/>
      <c r="E610" s="22"/>
      <c r="F610" s="15" t="s">
        <v>689</v>
      </c>
      <c r="G610" s="15" t="s">
        <v>690</v>
      </c>
      <c r="H610" s="15" t="s">
        <v>691</v>
      </c>
      <c r="I610" s="15" t="s">
        <v>692</v>
      </c>
      <c r="J610" s="15" t="s">
        <v>693</v>
      </c>
      <c r="K610" s="15" t="s">
        <v>694</v>
      </c>
      <c r="L610" s="69"/>
      <c r="M610" s="8"/>
      <c r="N610" s="164"/>
    </row>
    <row r="611" spans="1:14" s="3" customFormat="1" ht="12.2" customHeight="1" x14ac:dyDescent="0.15">
      <c r="A611" s="74" t="s">
        <v>89</v>
      </c>
      <c r="B611" s="22"/>
      <c r="C611" s="22"/>
      <c r="D611" s="22"/>
      <c r="E611" s="22"/>
      <c r="F611" s="79" t="s">
        <v>54</v>
      </c>
      <c r="G611" s="79" t="s">
        <v>55</v>
      </c>
      <c r="H611" s="79" t="s">
        <v>56</v>
      </c>
      <c r="I611" s="79" t="s">
        <v>57</v>
      </c>
      <c r="J611" s="79" t="s">
        <v>58</v>
      </c>
      <c r="K611" s="79" t="s">
        <v>59</v>
      </c>
      <c r="L611" s="77" t="s">
        <v>5</v>
      </c>
      <c r="M611" s="8"/>
      <c r="N611" s="164"/>
    </row>
    <row r="612" spans="1:14" s="3" customFormat="1" ht="12.2" customHeight="1" x14ac:dyDescent="0.15">
      <c r="A612" s="21" t="s">
        <v>633</v>
      </c>
      <c r="B612" s="22">
        <v>23</v>
      </c>
      <c r="C612" s="22">
        <v>13</v>
      </c>
      <c r="D612" s="2" t="s">
        <v>432</v>
      </c>
      <c r="E612" s="22"/>
      <c r="F612" s="18"/>
      <c r="G612" s="18"/>
      <c r="H612" s="18"/>
      <c r="I612" s="18"/>
      <c r="J612" s="18"/>
      <c r="K612" s="18"/>
      <c r="L612" s="69">
        <f>SUM(F612:K612)</f>
        <v>0</v>
      </c>
      <c r="M612" s="8"/>
      <c r="N612" s="164"/>
    </row>
    <row r="613" spans="1:14" s="3" customFormat="1" ht="12.2" customHeight="1" x14ac:dyDescent="0.15">
      <c r="A613" s="21" t="s">
        <v>634</v>
      </c>
      <c r="B613" s="22">
        <v>23</v>
      </c>
      <c r="C613" s="22">
        <v>14</v>
      </c>
      <c r="D613" s="2" t="s">
        <v>432</v>
      </c>
      <c r="E613" s="22"/>
      <c r="F613" s="18"/>
      <c r="G613" s="18"/>
      <c r="H613" s="18"/>
      <c r="I613" s="18"/>
      <c r="J613" s="18"/>
      <c r="K613" s="18"/>
      <c r="L613" s="69">
        <f>SUM(F613:K613)</f>
        <v>0</v>
      </c>
      <c r="M613" s="8"/>
      <c r="N613" s="164"/>
    </row>
    <row r="614" spans="1:14" s="3" customFormat="1" ht="12.2" customHeight="1" thickBot="1" x14ac:dyDescent="0.2">
      <c r="A614" s="21" t="s">
        <v>645</v>
      </c>
      <c r="B614" s="22">
        <v>23</v>
      </c>
      <c r="C614" s="22">
        <v>15</v>
      </c>
      <c r="D614" s="2" t="s">
        <v>432</v>
      </c>
      <c r="E614" s="22"/>
      <c r="F614" s="18"/>
      <c r="G614" s="18"/>
      <c r="H614" s="18"/>
      <c r="I614" s="18"/>
      <c r="J614" s="18"/>
      <c r="K614" s="18"/>
      <c r="L614" s="69">
        <f>SUM(F614:K614)</f>
        <v>0</v>
      </c>
      <c r="M614" s="8"/>
      <c r="N614" s="164"/>
    </row>
    <row r="615" spans="1:14" s="3" customFormat="1" ht="12.2" customHeight="1" thickTop="1" x14ac:dyDescent="0.15">
      <c r="A615" s="75" t="s">
        <v>340</v>
      </c>
      <c r="B615" s="41">
        <v>23</v>
      </c>
      <c r="C615" s="41">
        <v>16</v>
      </c>
      <c r="D615" s="36" t="s">
        <v>432</v>
      </c>
      <c r="E615" s="41"/>
      <c r="F615" s="81">
        <f t="shared" ref="F615:L615" si="52">SUM(F612:F614)</f>
        <v>0</v>
      </c>
      <c r="G615" s="81">
        <f t="shared" si="52"/>
        <v>0</v>
      </c>
      <c r="H615" s="81">
        <f t="shared" si="52"/>
        <v>0</v>
      </c>
      <c r="I615" s="81">
        <f t="shared" si="52"/>
        <v>0</v>
      </c>
      <c r="J615" s="81">
        <f t="shared" si="52"/>
        <v>0</v>
      </c>
      <c r="K615" s="81">
        <f t="shared" si="52"/>
        <v>0</v>
      </c>
      <c r="L615" s="70">
        <f t="shared" si="52"/>
        <v>0</v>
      </c>
      <c r="M615" s="8"/>
    </row>
    <row r="616" spans="1:14" s="3" customFormat="1" ht="12.2" customHeight="1" x14ac:dyDescent="0.15">
      <c r="A616" s="74"/>
      <c r="B616" s="22"/>
      <c r="C616" s="22"/>
      <c r="D616" s="22"/>
      <c r="E616" s="22"/>
      <c r="F616" s="80"/>
      <c r="G616" s="80"/>
      <c r="H616" s="80"/>
      <c r="I616" s="80"/>
      <c r="J616" s="80"/>
      <c r="K616" s="80"/>
      <c r="L616" s="80"/>
      <c r="M616" s="8"/>
    </row>
    <row r="617" spans="1:14" s="3" customFormat="1" ht="12.2" customHeight="1" x14ac:dyDescent="0.15">
      <c r="A617" s="74"/>
      <c r="B617" s="22"/>
      <c r="C617" s="22"/>
      <c r="D617" s="22"/>
      <c r="E617" s="22"/>
      <c r="F617" s="107" t="s">
        <v>53</v>
      </c>
      <c r="G617" s="108"/>
      <c r="H617" s="108"/>
      <c r="I617" s="107" t="s">
        <v>53</v>
      </c>
      <c r="J617" s="80"/>
      <c r="K617" s="80"/>
      <c r="L617" s="80"/>
      <c r="M617" s="8"/>
    </row>
    <row r="618" spans="1:14" s="3" customFormat="1" ht="12.2" customHeight="1" x14ac:dyDescent="0.15">
      <c r="A618" s="74" t="s">
        <v>99</v>
      </c>
      <c r="B618" s="22"/>
      <c r="C618" s="22"/>
      <c r="D618" s="22"/>
      <c r="E618" s="22"/>
      <c r="F618" s="87" t="s">
        <v>683</v>
      </c>
      <c r="G618" s="80">
        <f>SUM(F19)</f>
        <v>1103196.28</v>
      </c>
      <c r="H618" s="80">
        <f>SUM(F52)</f>
        <v>1103196.28</v>
      </c>
      <c r="I618" s="87" t="s">
        <v>871</v>
      </c>
      <c r="J618" s="80">
        <f>G618-H618</f>
        <v>0</v>
      </c>
      <c r="K618" s="80"/>
      <c r="L618" s="80"/>
      <c r="M618" s="8"/>
    </row>
    <row r="619" spans="1:14" s="3" customFormat="1" ht="12.2" customHeight="1" x14ac:dyDescent="0.15">
      <c r="A619" s="74" t="s">
        <v>100</v>
      </c>
      <c r="B619" s="22"/>
      <c r="C619" s="22"/>
      <c r="D619" s="22"/>
      <c r="E619" s="22"/>
      <c r="F619" s="87" t="s">
        <v>684</v>
      </c>
      <c r="G619" s="80">
        <f>SUM(G19)</f>
        <v>497064.73</v>
      </c>
      <c r="H619" s="80">
        <f>SUM(G52)</f>
        <v>497064.73</v>
      </c>
      <c r="I619" s="87" t="s">
        <v>872</v>
      </c>
      <c r="J619" s="80">
        <f>G619-H619</f>
        <v>0</v>
      </c>
      <c r="K619" s="80"/>
      <c r="L619" s="80"/>
      <c r="M619" s="8"/>
    </row>
    <row r="620" spans="1:14" s="3" customFormat="1" ht="12.2" customHeight="1" x14ac:dyDescent="0.15">
      <c r="A620" s="74"/>
      <c r="B620" s="22"/>
      <c r="C620" s="22"/>
      <c r="D620" s="22"/>
      <c r="E620" s="22"/>
      <c r="F620" s="87" t="s">
        <v>685</v>
      </c>
      <c r="G620" s="80">
        <f>SUM(H19)</f>
        <v>87162.63</v>
      </c>
      <c r="H620" s="80">
        <f>SUM(H52)</f>
        <v>87162.63</v>
      </c>
      <c r="I620" s="87" t="s">
        <v>873</v>
      </c>
      <c r="J620" s="80">
        <f>G620-H620</f>
        <v>0</v>
      </c>
      <c r="K620" s="80"/>
      <c r="L620" s="80"/>
      <c r="M620" s="8"/>
    </row>
    <row r="621" spans="1:14" s="3" customFormat="1" ht="12.2" customHeight="1" x14ac:dyDescent="0.15">
      <c r="A621" s="74"/>
      <c r="B621" s="22"/>
      <c r="C621" s="22"/>
      <c r="D621" s="22"/>
      <c r="E621" s="22"/>
      <c r="F621" s="87" t="s">
        <v>686</v>
      </c>
      <c r="G621" s="80">
        <f>SUM(I19)</f>
        <v>0</v>
      </c>
      <c r="H621" s="80">
        <f>SUM(I52)</f>
        <v>0</v>
      </c>
      <c r="I621" s="87" t="s">
        <v>874</v>
      </c>
      <c r="J621" s="80">
        <f>G621-H621</f>
        <v>0</v>
      </c>
      <c r="K621" s="80"/>
      <c r="L621" s="80"/>
      <c r="M621" s="8"/>
    </row>
    <row r="622" spans="1:14" s="3" customFormat="1" ht="12.2" customHeight="1" x14ac:dyDescent="0.15">
      <c r="A622" s="74"/>
      <c r="B622" s="22"/>
      <c r="C622" s="22"/>
      <c r="D622" s="22"/>
      <c r="E622" s="22"/>
      <c r="F622" s="87" t="s">
        <v>687</v>
      </c>
      <c r="G622" s="80">
        <f>SUM(J19)</f>
        <v>1688749</v>
      </c>
      <c r="H622" s="80">
        <f>SUM(J52)</f>
        <v>1688749</v>
      </c>
      <c r="I622" s="87" t="s">
        <v>875</v>
      </c>
      <c r="J622" s="80">
        <f>G622-H622</f>
        <v>0</v>
      </c>
      <c r="K622" s="80"/>
      <c r="L622" s="80"/>
      <c r="M622" s="8"/>
    </row>
    <row r="623" spans="1:14" s="3" customFormat="1" ht="12.2" customHeight="1" x14ac:dyDescent="0.15">
      <c r="A623" s="74"/>
      <c r="B623" s="22"/>
      <c r="C623" s="22"/>
      <c r="D623" s="22"/>
      <c r="E623" s="22"/>
      <c r="F623" s="87" t="s">
        <v>861</v>
      </c>
      <c r="G623" s="80">
        <f>F51</f>
        <v>186614.93</v>
      </c>
      <c r="H623" s="80">
        <f>F477</f>
        <v>186614.9299999997</v>
      </c>
      <c r="I623" s="87" t="s">
        <v>101</v>
      </c>
      <c r="J623" s="80">
        <f t="shared" ref="J623:J656" si="53">G623-H623</f>
        <v>2.9103830456733704E-10</v>
      </c>
      <c r="K623" s="80"/>
      <c r="L623" s="80"/>
      <c r="M623" s="8"/>
    </row>
    <row r="624" spans="1:14" s="3" customFormat="1" ht="12.2" customHeight="1" x14ac:dyDescent="0.15">
      <c r="A624" s="74"/>
      <c r="B624" s="22"/>
      <c r="C624" s="85"/>
      <c r="D624" s="85"/>
      <c r="E624" s="85"/>
      <c r="F624" s="85" t="s">
        <v>862</v>
      </c>
      <c r="G624" s="80">
        <f>G51</f>
        <v>445880.76</v>
      </c>
      <c r="H624" s="80">
        <f>G477</f>
        <v>445880.76000000013</v>
      </c>
      <c r="I624" s="87" t="s">
        <v>102</v>
      </c>
      <c r="J624" s="80">
        <f t="shared" si="53"/>
        <v>0</v>
      </c>
      <c r="K624" s="80"/>
      <c r="L624" s="80"/>
      <c r="M624" s="8"/>
    </row>
    <row r="625" spans="1:13" s="3" customFormat="1" ht="12.2" customHeight="1" x14ac:dyDescent="0.15">
      <c r="A625" s="74"/>
      <c r="B625" s="22"/>
      <c r="C625" s="22"/>
      <c r="D625" s="22"/>
      <c r="E625" s="22"/>
      <c r="F625" s="86" t="s">
        <v>863</v>
      </c>
      <c r="G625" s="80">
        <f>H51</f>
        <v>26576.47</v>
      </c>
      <c r="H625" s="80">
        <f>H477</f>
        <v>26576.470000000205</v>
      </c>
      <c r="I625" s="87" t="s">
        <v>103</v>
      </c>
      <c r="J625" s="80">
        <f t="shared" si="53"/>
        <v>-2.0372681319713593E-10</v>
      </c>
      <c r="K625" s="80"/>
      <c r="L625" s="80"/>
      <c r="M625" s="8"/>
    </row>
    <row r="626" spans="1:13" s="3" customFormat="1" ht="12.2" customHeight="1" x14ac:dyDescent="0.15">
      <c r="A626" s="74"/>
      <c r="B626" s="22"/>
      <c r="C626" s="22"/>
      <c r="D626" s="22"/>
      <c r="E626" s="22"/>
      <c r="F626" s="86" t="s">
        <v>864</v>
      </c>
      <c r="G626" s="80">
        <f>I51</f>
        <v>0</v>
      </c>
      <c r="H626" s="80">
        <f>I477</f>
        <v>0</v>
      </c>
      <c r="I626" s="87" t="s">
        <v>104</v>
      </c>
      <c r="J626" s="80">
        <f t="shared" si="53"/>
        <v>0</v>
      </c>
      <c r="K626" s="80"/>
      <c r="L626" s="80"/>
      <c r="M626" s="8"/>
    </row>
    <row r="627" spans="1:13" s="3" customFormat="1" ht="12.2" customHeight="1" x14ac:dyDescent="0.15">
      <c r="A627" s="21"/>
      <c r="B627" s="22"/>
      <c r="C627" s="22"/>
      <c r="D627" s="22"/>
      <c r="E627" s="22"/>
      <c r="F627" s="86" t="s">
        <v>865</v>
      </c>
      <c r="G627" s="80">
        <f>J51</f>
        <v>1688749</v>
      </c>
      <c r="H627" s="80">
        <f>J477</f>
        <v>1688749</v>
      </c>
      <c r="I627" s="87" t="s">
        <v>105</v>
      </c>
      <c r="J627" s="80">
        <f t="shared" si="53"/>
        <v>0</v>
      </c>
      <c r="K627" s="67"/>
      <c r="L627" s="69"/>
      <c r="M627" s="8"/>
    </row>
    <row r="628" spans="1:13" s="3" customFormat="1" ht="12.2" customHeight="1" x14ac:dyDescent="0.15">
      <c r="A628" s="21"/>
      <c r="B628" s="22"/>
      <c r="C628" s="22"/>
      <c r="D628" s="22"/>
      <c r="E628" s="22"/>
      <c r="F628" s="86" t="s">
        <v>658</v>
      </c>
      <c r="G628" s="80">
        <f>F194</f>
        <v>28854546.259999998</v>
      </c>
      <c r="H628" s="80">
        <f>SUM(F469)</f>
        <v>28854546.260000002</v>
      </c>
      <c r="I628" s="87" t="s">
        <v>106</v>
      </c>
      <c r="J628" s="80">
        <f>G628-H628</f>
        <v>0</v>
      </c>
      <c r="K628" s="67"/>
      <c r="L628" s="69"/>
      <c r="M628" s="8"/>
    </row>
    <row r="629" spans="1:13" s="3" customFormat="1" ht="12.2" customHeight="1" x14ac:dyDescent="0.15">
      <c r="A629" s="21"/>
      <c r="B629" s="22"/>
      <c r="C629" s="22"/>
      <c r="D629" s="22"/>
      <c r="E629" s="22"/>
      <c r="F629" s="86" t="s">
        <v>659</v>
      </c>
      <c r="G629" s="80">
        <f>G194</f>
        <v>774293.41999999993</v>
      </c>
      <c r="H629" s="80">
        <f>SUM(G469)</f>
        <v>774293.42</v>
      </c>
      <c r="I629" s="87" t="s">
        <v>107</v>
      </c>
      <c r="J629" s="80">
        <f>G629-H629</f>
        <v>0</v>
      </c>
      <c r="K629" s="67"/>
      <c r="L629" s="69"/>
      <c r="M629" s="8"/>
    </row>
    <row r="630" spans="1:13" s="3" customFormat="1" ht="12.2" customHeight="1" x14ac:dyDescent="0.15">
      <c r="A630" s="21"/>
      <c r="B630" s="22"/>
      <c r="C630" s="22"/>
      <c r="D630" s="22"/>
      <c r="E630" s="22"/>
      <c r="F630" s="86" t="s">
        <v>660</v>
      </c>
      <c r="G630" s="80">
        <f>H194</f>
        <v>1255984.5900000001</v>
      </c>
      <c r="H630" s="80">
        <f>SUM(H469)</f>
        <v>1255984.5900000001</v>
      </c>
      <c r="I630" s="87" t="s">
        <v>108</v>
      </c>
      <c r="J630" s="80">
        <f>G630-H630</f>
        <v>0</v>
      </c>
      <c r="K630" s="67"/>
      <c r="L630" s="69"/>
      <c r="M630" s="8"/>
    </row>
    <row r="631" spans="1:13" s="3" customFormat="1" ht="12.2" customHeight="1" x14ac:dyDescent="0.15">
      <c r="A631" s="21"/>
      <c r="B631" s="22"/>
      <c r="C631" s="22"/>
      <c r="D631" s="22"/>
      <c r="E631" s="22"/>
      <c r="F631" s="86" t="s">
        <v>661</v>
      </c>
      <c r="G631" s="80">
        <f>I194</f>
        <v>0</v>
      </c>
      <c r="H631" s="80">
        <f>SUM(I469)</f>
        <v>0</v>
      </c>
      <c r="I631" s="87" t="s">
        <v>109</v>
      </c>
      <c r="J631" s="80">
        <f>G631-H631</f>
        <v>0</v>
      </c>
      <c r="K631" s="67"/>
      <c r="L631" s="69"/>
      <c r="M631" s="8"/>
    </row>
    <row r="632" spans="1:13" s="3" customFormat="1" ht="12.2" customHeight="1" x14ac:dyDescent="0.15">
      <c r="A632" s="21"/>
      <c r="B632" s="22"/>
      <c r="C632" s="22"/>
      <c r="D632" s="22"/>
      <c r="E632" s="22"/>
      <c r="F632" s="86" t="s">
        <v>662</v>
      </c>
      <c r="G632" s="80">
        <f>J194</f>
        <v>585992.38</v>
      </c>
      <c r="H632" s="80">
        <f>SUM(J469)</f>
        <v>585992.38</v>
      </c>
      <c r="I632" s="87" t="s">
        <v>110</v>
      </c>
      <c r="J632" s="80">
        <f>G632-H632</f>
        <v>0</v>
      </c>
      <c r="K632" s="67"/>
      <c r="L632" s="69"/>
      <c r="M632" s="8"/>
    </row>
    <row r="633" spans="1:13" s="3" customFormat="1" ht="12.2" customHeight="1" x14ac:dyDescent="0.15">
      <c r="A633" s="21"/>
      <c r="B633" s="22"/>
      <c r="C633" s="22"/>
      <c r="D633" s="22"/>
      <c r="E633" s="22"/>
      <c r="F633" s="86" t="s">
        <v>394</v>
      </c>
      <c r="G633" s="80">
        <f>SUM(L272)</f>
        <v>29332162.849999998</v>
      </c>
      <c r="H633" s="80">
        <f>SUM(F473)</f>
        <v>29332162.850000001</v>
      </c>
      <c r="I633" s="87" t="s">
        <v>111</v>
      </c>
      <c r="J633" s="80">
        <f t="shared" si="53"/>
        <v>0</v>
      </c>
      <c r="K633" s="67"/>
      <c r="L633" s="69"/>
      <c r="M633" s="8"/>
    </row>
    <row r="634" spans="1:13" s="3" customFormat="1" ht="12.2" customHeight="1" x14ac:dyDescent="0.15">
      <c r="A634" s="21"/>
      <c r="B634" s="22"/>
      <c r="C634" s="22"/>
      <c r="D634" s="22"/>
      <c r="E634" s="22"/>
      <c r="F634" s="86" t="s">
        <v>395</v>
      </c>
      <c r="G634" s="80">
        <f>SUM(L353)</f>
        <v>1241766.1200000001</v>
      </c>
      <c r="H634" s="80">
        <f>SUM(H473)</f>
        <v>1241766.1199999999</v>
      </c>
      <c r="I634" s="87" t="s">
        <v>112</v>
      </c>
      <c r="J634" s="80">
        <f>G634-H634</f>
        <v>0</v>
      </c>
      <c r="K634" s="67"/>
      <c r="L634" s="69"/>
      <c r="M634" s="8"/>
    </row>
    <row r="635" spans="1:13" s="124" customFormat="1" ht="12.2" customHeight="1" x14ac:dyDescent="0.15">
      <c r="A635" s="21"/>
      <c r="B635" s="22"/>
      <c r="C635" s="22"/>
      <c r="D635" s="22"/>
      <c r="E635" s="22"/>
      <c r="F635" s="99" t="s">
        <v>247</v>
      </c>
      <c r="G635" s="80">
        <f>I363</f>
        <v>331396.02</v>
      </c>
      <c r="H635" s="80">
        <f>I370</f>
        <v>331396.02</v>
      </c>
      <c r="I635" s="100" t="s">
        <v>248</v>
      </c>
      <c r="J635" s="80">
        <f>G635-H635</f>
        <v>0</v>
      </c>
      <c r="K635" s="67"/>
      <c r="L635" s="69"/>
      <c r="M635" s="123"/>
    </row>
    <row r="636" spans="1:13" s="124" customFormat="1" ht="12.2" customHeight="1" x14ac:dyDescent="0.15">
      <c r="A636" s="21"/>
      <c r="B636" s="22"/>
      <c r="C636" s="22"/>
      <c r="D636" s="22"/>
      <c r="E636" s="22"/>
      <c r="F636" s="86" t="s">
        <v>113</v>
      </c>
      <c r="G636" s="80">
        <f>SUM(L363)</f>
        <v>791748.58999999985</v>
      </c>
      <c r="H636" s="80">
        <f>SUM(G473)</f>
        <v>791748.59</v>
      </c>
      <c r="I636" s="87" t="s">
        <v>114</v>
      </c>
      <c r="J636" s="80">
        <f t="shared" si="53"/>
        <v>0</v>
      </c>
      <c r="K636" s="67"/>
      <c r="L636" s="69"/>
      <c r="M636" s="123"/>
    </row>
    <row r="637" spans="1:13" s="3" customFormat="1" ht="12.2" customHeight="1" x14ac:dyDescent="0.15">
      <c r="A637" s="21"/>
      <c r="B637" s="22"/>
      <c r="C637" s="22"/>
      <c r="D637" s="22"/>
      <c r="E637" s="22"/>
      <c r="F637" s="86" t="s">
        <v>115</v>
      </c>
      <c r="G637" s="80">
        <f>SUM(L383)</f>
        <v>0</v>
      </c>
      <c r="H637" s="80">
        <f>SUM(I473)</f>
        <v>0</v>
      </c>
      <c r="I637" s="87" t="s">
        <v>116</v>
      </c>
      <c r="J637" s="80">
        <f t="shared" si="53"/>
        <v>0</v>
      </c>
      <c r="K637" s="67"/>
      <c r="L637" s="69"/>
      <c r="M637" s="8"/>
    </row>
    <row r="638" spans="1:13" s="3" customFormat="1" ht="12.2" customHeight="1" x14ac:dyDescent="0.15">
      <c r="A638" s="117"/>
      <c r="B638" s="118"/>
      <c r="C638" s="118"/>
      <c r="D638" s="118"/>
      <c r="E638" s="118"/>
      <c r="F638" s="119" t="s">
        <v>477</v>
      </c>
      <c r="G638" s="108">
        <f>SUM(L409)</f>
        <v>585992.38</v>
      </c>
      <c r="H638" s="108">
        <f>SUM(J469)</f>
        <v>585992.38</v>
      </c>
      <c r="I638" s="120" t="s">
        <v>110</v>
      </c>
      <c r="J638" s="108">
        <f t="shared" si="53"/>
        <v>0</v>
      </c>
      <c r="K638" s="121"/>
      <c r="L638" s="122"/>
      <c r="M638" s="8"/>
    </row>
    <row r="639" spans="1:13" s="3" customFormat="1" ht="12.2" customHeight="1" x14ac:dyDescent="0.15">
      <c r="A639" s="117"/>
      <c r="B639" s="118"/>
      <c r="C639" s="118"/>
      <c r="D639" s="118"/>
      <c r="E639" s="118"/>
      <c r="F639" s="119" t="s">
        <v>478</v>
      </c>
      <c r="G639" s="108">
        <f>SUM(L435)</f>
        <v>349716</v>
      </c>
      <c r="H639" s="108">
        <f>SUM(J473)</f>
        <v>349716</v>
      </c>
      <c r="I639" s="120" t="s">
        <v>117</v>
      </c>
      <c r="J639" s="108">
        <f t="shared" si="53"/>
        <v>0</v>
      </c>
      <c r="K639" s="121"/>
      <c r="L639" s="122"/>
      <c r="M639" s="8"/>
    </row>
    <row r="640" spans="1:13" s="3" customFormat="1" ht="12.2" customHeight="1" x14ac:dyDescent="0.15">
      <c r="A640" s="21"/>
      <c r="B640" s="22"/>
      <c r="C640" s="22"/>
      <c r="D640" s="22"/>
      <c r="E640" s="22"/>
      <c r="F640" s="86" t="s">
        <v>118</v>
      </c>
      <c r="G640" s="80">
        <f>SUM(F447)</f>
        <v>608288</v>
      </c>
      <c r="H640" s="80">
        <f>SUM(F462)</f>
        <v>608288</v>
      </c>
      <c r="I640" s="87" t="s">
        <v>837</v>
      </c>
      <c r="J640" s="80">
        <f t="shared" si="53"/>
        <v>0</v>
      </c>
      <c r="K640" s="67"/>
      <c r="L640" s="69"/>
      <c r="M640" s="8"/>
    </row>
    <row r="641" spans="1:13" s="3" customFormat="1" ht="12.2" customHeight="1" x14ac:dyDescent="0.15">
      <c r="A641" s="21"/>
      <c r="B641" s="22"/>
      <c r="C641" s="22"/>
      <c r="D641" s="22"/>
      <c r="E641" s="22"/>
      <c r="F641" s="86" t="s">
        <v>119</v>
      </c>
      <c r="G641" s="80">
        <f>SUM(G447)</f>
        <v>1080461</v>
      </c>
      <c r="H641" s="80">
        <f>SUM(G462)</f>
        <v>1080461</v>
      </c>
      <c r="I641" s="87" t="s">
        <v>838</v>
      </c>
      <c r="J641" s="80">
        <f t="shared" si="53"/>
        <v>0</v>
      </c>
      <c r="K641" s="67"/>
      <c r="L641" s="69"/>
      <c r="M641" s="8"/>
    </row>
    <row r="642" spans="1:13" s="3" customFormat="1" ht="12.2" customHeight="1" x14ac:dyDescent="0.15">
      <c r="A642" s="21"/>
      <c r="B642" s="22"/>
      <c r="C642" s="22"/>
      <c r="D642" s="22"/>
      <c r="E642" s="22"/>
      <c r="F642" s="86" t="s">
        <v>120</v>
      </c>
      <c r="G642" s="80">
        <f>SUM(H447)</f>
        <v>0</v>
      </c>
      <c r="H642" s="80">
        <f>SUM(H462)</f>
        <v>0</v>
      </c>
      <c r="I642" s="87" t="s">
        <v>839</v>
      </c>
      <c r="J642" s="80">
        <f t="shared" si="53"/>
        <v>0</v>
      </c>
      <c r="K642" s="67"/>
      <c r="L642" s="69"/>
      <c r="M642" s="8"/>
    </row>
    <row r="643" spans="1:13" s="3" customFormat="1" ht="12.2" customHeight="1" x14ac:dyDescent="0.15">
      <c r="A643" s="21"/>
      <c r="B643" s="22"/>
      <c r="C643" s="22"/>
      <c r="D643" s="22"/>
      <c r="E643" s="22"/>
      <c r="F643" s="86" t="s">
        <v>121</v>
      </c>
      <c r="G643" s="80">
        <f>SUM(I447)</f>
        <v>1688749</v>
      </c>
      <c r="H643" s="80">
        <f>SUM(I462)</f>
        <v>1688749</v>
      </c>
      <c r="I643" s="87" t="s">
        <v>840</v>
      </c>
      <c r="J643" s="80">
        <f t="shared" si="53"/>
        <v>0</v>
      </c>
      <c r="K643" s="67"/>
      <c r="L643" s="69"/>
      <c r="M643" s="8"/>
    </row>
    <row r="644" spans="1:13" s="3" customFormat="1" ht="12.2" customHeight="1" x14ac:dyDescent="0.15">
      <c r="A644" s="21"/>
      <c r="B644" s="22"/>
      <c r="C644" s="22"/>
      <c r="D644" s="22"/>
      <c r="E644" s="22"/>
      <c r="F644" s="86" t="s">
        <v>249</v>
      </c>
      <c r="G644" s="80">
        <f>J57</f>
        <v>0</v>
      </c>
      <c r="H644" s="80">
        <f>F409</f>
        <v>0</v>
      </c>
      <c r="I644" s="87" t="s">
        <v>479</v>
      </c>
      <c r="J644" s="80">
        <f t="shared" si="53"/>
        <v>0</v>
      </c>
      <c r="K644" s="67"/>
      <c r="L644" s="69"/>
      <c r="M644" s="8"/>
    </row>
    <row r="645" spans="1:13" s="3" customFormat="1" ht="12.2" customHeight="1" x14ac:dyDescent="0.15">
      <c r="A645" s="21"/>
      <c r="B645" s="22"/>
      <c r="C645" s="22"/>
      <c r="D645" s="22"/>
      <c r="E645" s="22"/>
      <c r="F645" s="86" t="s">
        <v>663</v>
      </c>
      <c r="G645" s="80">
        <f>J96</f>
        <v>98992.38</v>
      </c>
      <c r="H645" s="80">
        <f>H409</f>
        <v>98992.38</v>
      </c>
      <c r="I645" s="87" t="s">
        <v>480</v>
      </c>
      <c r="J645" s="80">
        <f t="shared" si="53"/>
        <v>0</v>
      </c>
      <c r="K645" s="67"/>
      <c r="L645" s="69"/>
      <c r="M645" s="8"/>
    </row>
    <row r="646" spans="1:13" s="3" customFormat="1" ht="12.2" customHeight="1" x14ac:dyDescent="0.15">
      <c r="A646" s="21"/>
      <c r="B646" s="22"/>
      <c r="C646" s="22"/>
      <c r="D646" s="22"/>
      <c r="E646" s="22"/>
      <c r="F646" s="86" t="s">
        <v>664</v>
      </c>
      <c r="G646" s="80">
        <f>J184</f>
        <v>487000</v>
      </c>
      <c r="H646" s="80">
        <f>G409</f>
        <v>487000</v>
      </c>
      <c r="I646" s="87" t="s">
        <v>481</v>
      </c>
      <c r="J646" s="80">
        <f t="shared" si="53"/>
        <v>0</v>
      </c>
      <c r="K646" s="67"/>
      <c r="L646" s="69"/>
      <c r="M646" s="8"/>
    </row>
    <row r="647" spans="1:13" s="3" customFormat="1" ht="12.2" customHeight="1" x14ac:dyDescent="0.15">
      <c r="A647" s="21"/>
      <c r="B647" s="22"/>
      <c r="C647" s="22"/>
      <c r="D647" s="22"/>
      <c r="E647" s="22"/>
      <c r="F647" s="86" t="s">
        <v>662</v>
      </c>
      <c r="G647" s="80">
        <f>J194</f>
        <v>585992.38</v>
      </c>
      <c r="H647" s="80">
        <f>L409</f>
        <v>585992.38</v>
      </c>
      <c r="I647" s="87" t="s">
        <v>477</v>
      </c>
      <c r="J647" s="80">
        <f t="shared" si="53"/>
        <v>0</v>
      </c>
      <c r="K647" s="67"/>
      <c r="L647" s="69"/>
      <c r="M647" s="8"/>
    </row>
    <row r="648" spans="1:13" s="3" customFormat="1" ht="12.2" customHeight="1" x14ac:dyDescent="0.15">
      <c r="A648" s="21"/>
      <c r="B648" s="22"/>
      <c r="C648" s="22"/>
      <c r="D648" s="22"/>
      <c r="E648" s="22"/>
      <c r="F648" s="86" t="s">
        <v>51</v>
      </c>
      <c r="G648" s="80">
        <f>K599</f>
        <v>1341743.99</v>
      </c>
      <c r="H648" s="80">
        <f>L209+L227+L245</f>
        <v>1341743.99</v>
      </c>
      <c r="I648" s="87" t="s">
        <v>396</v>
      </c>
      <c r="J648" s="80">
        <f t="shared" si="53"/>
        <v>0</v>
      </c>
      <c r="K648" s="67"/>
      <c r="L648" s="69"/>
      <c r="M648" s="8"/>
    </row>
    <row r="649" spans="1:13" s="3" customFormat="1" ht="12.2" customHeight="1" x14ac:dyDescent="0.15">
      <c r="A649" s="21"/>
      <c r="B649" s="22"/>
      <c r="C649" s="22"/>
      <c r="D649" s="22"/>
      <c r="E649" s="22"/>
      <c r="F649" s="86" t="s">
        <v>52</v>
      </c>
      <c r="G649" s="80">
        <f>K606</f>
        <v>168815.78999999998</v>
      </c>
      <c r="H649" s="80">
        <f>(J258+J339)-(J256+J337)</f>
        <v>168815.79</v>
      </c>
      <c r="I649" s="87" t="s">
        <v>699</v>
      </c>
      <c r="J649" s="80">
        <f t="shared" si="53"/>
        <v>0</v>
      </c>
      <c r="K649" s="67"/>
      <c r="L649" s="69"/>
      <c r="M649" s="8"/>
    </row>
    <row r="650" spans="1:13" s="3" customFormat="1" ht="12.2" customHeight="1" x14ac:dyDescent="0.15">
      <c r="A650" s="21"/>
      <c r="B650" s="22"/>
      <c r="C650" s="22"/>
      <c r="D650" s="22"/>
      <c r="E650" s="22"/>
      <c r="F650" s="86" t="s">
        <v>387</v>
      </c>
      <c r="G650" s="80">
        <f>L209</f>
        <v>875825.29</v>
      </c>
      <c r="H650" s="80">
        <f>H599</f>
        <v>875825.29</v>
      </c>
      <c r="I650" s="87" t="s">
        <v>388</v>
      </c>
      <c r="J650" s="80">
        <f t="shared" si="53"/>
        <v>0</v>
      </c>
      <c r="K650" s="67"/>
      <c r="L650" s="69"/>
      <c r="M650" s="8"/>
    </row>
    <row r="651" spans="1:13" s="3" customFormat="1" ht="12.2" customHeight="1" x14ac:dyDescent="0.15">
      <c r="A651" s="21"/>
      <c r="B651" s="22"/>
      <c r="C651" s="22"/>
      <c r="D651" s="22"/>
      <c r="E651" s="22"/>
      <c r="F651" s="86" t="s">
        <v>392</v>
      </c>
      <c r="G651" s="80">
        <f>L227</f>
        <v>0</v>
      </c>
      <c r="H651" s="80">
        <f>I599</f>
        <v>0</v>
      </c>
      <c r="I651" s="87" t="s">
        <v>389</v>
      </c>
      <c r="J651" s="80">
        <f t="shared" si="53"/>
        <v>0</v>
      </c>
      <c r="K651" s="67"/>
      <c r="L651" s="69"/>
      <c r="M651" s="8"/>
    </row>
    <row r="652" spans="1:13" s="3" customFormat="1" ht="12.2" customHeight="1" x14ac:dyDescent="0.15">
      <c r="A652" s="21"/>
      <c r="B652" s="22"/>
      <c r="C652" s="22"/>
      <c r="D652" s="22"/>
      <c r="E652" s="22"/>
      <c r="F652" s="86" t="s">
        <v>393</v>
      </c>
      <c r="G652" s="80">
        <f>L245</f>
        <v>465918.7</v>
      </c>
      <c r="H652" s="80">
        <f>J599</f>
        <v>465918.7</v>
      </c>
      <c r="I652" s="87" t="s">
        <v>390</v>
      </c>
      <c r="J652" s="80">
        <f t="shared" si="53"/>
        <v>0</v>
      </c>
      <c r="K652" s="67"/>
      <c r="L652" s="69"/>
      <c r="M652" s="8"/>
    </row>
    <row r="653" spans="1:13" s="3" customFormat="1" ht="12.2" customHeight="1" x14ac:dyDescent="0.15">
      <c r="A653" s="21"/>
      <c r="B653" s="22"/>
      <c r="C653" s="22"/>
      <c r="D653" s="22"/>
      <c r="E653" s="22"/>
      <c r="F653" s="86" t="s">
        <v>665</v>
      </c>
      <c r="G653" s="80">
        <f>G180+G182</f>
        <v>0</v>
      </c>
      <c r="H653" s="80">
        <f>K264+K346</f>
        <v>0</v>
      </c>
      <c r="I653" s="87" t="s">
        <v>397</v>
      </c>
      <c r="J653" s="80">
        <f t="shared" si="53"/>
        <v>0</v>
      </c>
      <c r="K653" s="67"/>
      <c r="L653" s="69"/>
      <c r="M653" s="8"/>
    </row>
    <row r="654" spans="1:13" s="3" customFormat="1" ht="12.2" customHeight="1" x14ac:dyDescent="0.15">
      <c r="A654" s="21"/>
      <c r="B654" s="22"/>
      <c r="C654" s="22"/>
      <c r="D654" s="22"/>
      <c r="E654" s="22"/>
      <c r="F654" s="86" t="s">
        <v>666</v>
      </c>
      <c r="G654" s="80">
        <f>H180</f>
        <v>0</v>
      </c>
      <c r="H654" s="80">
        <f>K265</f>
        <v>0</v>
      </c>
      <c r="I654" s="87" t="s">
        <v>398</v>
      </c>
      <c r="J654" s="80">
        <f t="shared" si="53"/>
        <v>0</v>
      </c>
      <c r="K654" s="67"/>
      <c r="L654" s="69"/>
      <c r="M654" s="8"/>
    </row>
    <row r="655" spans="1:13" s="3" customFormat="1" ht="12.2" customHeight="1" x14ac:dyDescent="0.15">
      <c r="A655" s="21"/>
      <c r="B655" s="22"/>
      <c r="C655" s="22"/>
      <c r="D655" s="22"/>
      <c r="E655" s="22"/>
      <c r="F655" s="86" t="s">
        <v>667</v>
      </c>
      <c r="G655" s="80">
        <f>I180+I182</f>
        <v>0</v>
      </c>
      <c r="H655" s="80">
        <f>K266+K347</f>
        <v>0</v>
      </c>
      <c r="I655" s="87" t="s">
        <v>399</v>
      </c>
      <c r="J655" s="80">
        <f t="shared" si="53"/>
        <v>0</v>
      </c>
      <c r="K655" s="67"/>
      <c r="L655" s="69"/>
      <c r="M655" s="8"/>
    </row>
    <row r="656" spans="1:13" s="3" customFormat="1" ht="12.2" customHeight="1" x14ac:dyDescent="0.15">
      <c r="A656" s="21"/>
      <c r="B656" s="22"/>
      <c r="C656" s="22"/>
      <c r="D656" s="22"/>
      <c r="E656" s="22"/>
      <c r="F656" s="86" t="s">
        <v>668</v>
      </c>
      <c r="G656" s="80">
        <f>J180+J182</f>
        <v>487000</v>
      </c>
      <c r="H656" s="80">
        <f>K267+K348</f>
        <v>487000</v>
      </c>
      <c r="I656" s="87" t="s">
        <v>400</v>
      </c>
      <c r="J656" s="80">
        <f t="shared" si="53"/>
        <v>0</v>
      </c>
      <c r="K656" s="67"/>
      <c r="L656" s="69"/>
      <c r="M656" s="9"/>
    </row>
    <row r="657" spans="1:13" s="3" customFormat="1" ht="12.2" customHeight="1" x14ac:dyDescent="0.15">
      <c r="F657" s="25" t="s">
        <v>122</v>
      </c>
      <c r="G657" s="13"/>
      <c r="H657" s="80">
        <f>SUM(G618:G656)-SUM(H618:H656)</f>
        <v>0</v>
      </c>
      <c r="I657" s="13"/>
      <c r="J657" s="13"/>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8" t="s">
        <v>123</v>
      </c>
      <c r="F659" s="24" t="s">
        <v>124</v>
      </c>
      <c r="G659" s="24" t="s">
        <v>125</v>
      </c>
      <c r="H659" s="24" t="s">
        <v>367</v>
      </c>
      <c r="I659" s="24" t="s">
        <v>340</v>
      </c>
      <c r="J659" s="13"/>
      <c r="K659" s="13"/>
      <c r="L659" s="13"/>
      <c r="M659" s="9"/>
    </row>
    <row r="660" spans="1:13" s="3" customFormat="1" ht="12.2" customHeight="1" x14ac:dyDescent="0.15">
      <c r="A660" s="253" t="s">
        <v>1788</v>
      </c>
      <c r="F660" s="14" t="s">
        <v>286</v>
      </c>
      <c r="G660" s="13"/>
      <c r="H660" s="13"/>
      <c r="I660" s="13"/>
      <c r="J660" s="13"/>
      <c r="K660" s="13"/>
      <c r="L660" s="13"/>
      <c r="M660" s="9"/>
    </row>
    <row r="661" spans="1:13" s="3" customFormat="1" ht="12.2" customHeight="1" x14ac:dyDescent="0.15">
      <c r="A661" s="1" t="s">
        <v>126</v>
      </c>
      <c r="F661" s="13">
        <f>(L212+L291+L359)</f>
        <v>16212369.684999997</v>
      </c>
      <c r="G661" s="13">
        <f>(L230+L310+L360)</f>
        <v>0</v>
      </c>
      <c r="H661" s="13">
        <f>(L248+L329+L361)</f>
        <v>14062889.565000001</v>
      </c>
      <c r="I661" s="13">
        <f>SUM(F661:H661)</f>
        <v>30275259.25</v>
      </c>
      <c r="J661" s="13"/>
      <c r="K661" s="13"/>
      <c r="L661" s="13"/>
      <c r="M661" s="9"/>
    </row>
    <row r="662" spans="1:13" s="3" customFormat="1" ht="12.2" customHeight="1" x14ac:dyDescent="0.2">
      <c r="A662" s="1" t="s">
        <v>127</v>
      </c>
      <c r="F662" s="13">
        <f>(L359/IF(SUM(L359:L361)=0,1,SUM(L359:L361))*(SUM(G97:G110)))</f>
        <v>190618.87255588445</v>
      </c>
      <c r="G662" s="13">
        <f>(L360/IF(SUM(L359:L361)=0,1,SUM(L359:L361))*(SUM(G97:G110)))</f>
        <v>0</v>
      </c>
      <c r="H662" s="13">
        <f>(L361/IF(SUM(L359:L361)=0,1,SUM(L359:L361))*(SUM(G97:G110)))</f>
        <v>232978.74744411558</v>
      </c>
      <c r="I662" s="13">
        <f>SUM(F662:H662)</f>
        <v>423597.62</v>
      </c>
      <c r="J662"/>
      <c r="K662" s="13"/>
      <c r="L662" s="13"/>
      <c r="M662" s="8"/>
    </row>
    <row r="663" spans="1:13" s="3" customFormat="1" ht="12.2" customHeight="1" x14ac:dyDescent="0.2">
      <c r="A663" s="1" t="s">
        <v>128</v>
      </c>
      <c r="F663" s="13">
        <f>(L209+L288)-(J209+J288)</f>
        <v>916713.01</v>
      </c>
      <c r="G663" s="13">
        <f>(L227+L307)-(J227+J307)</f>
        <v>0</v>
      </c>
      <c r="H663" s="13">
        <f>(L245+L326)-(J245+J326)</f>
        <v>506806.42000000004</v>
      </c>
      <c r="I663" s="13">
        <f>SUM(F663:H663)</f>
        <v>1423519.4300000002</v>
      </c>
      <c r="J663"/>
      <c r="K663" s="13"/>
      <c r="L663" s="13"/>
      <c r="M663" s="9"/>
    </row>
    <row r="664" spans="1:13" s="3" customFormat="1" ht="12.2" customHeight="1" x14ac:dyDescent="0.15">
      <c r="A664" s="141" t="s">
        <v>129</v>
      </c>
      <c r="B664" s="124"/>
      <c r="C664" s="124"/>
      <c r="D664" s="124"/>
      <c r="E664" s="124"/>
      <c r="F664" s="142">
        <f>SUM(F576:F588)+SUM(H603:H605)+SUM(L612)</f>
        <v>1308844.73</v>
      </c>
      <c r="G664" s="142">
        <f>SUM(G576:G588)+SUM(I603:I605)+L613</f>
        <v>0</v>
      </c>
      <c r="H664" s="142">
        <f>SUM(H576:H588)+SUM(J603:J605)+L614</f>
        <v>774010.88</v>
      </c>
      <c r="I664" s="13">
        <f>SUM(F664:H664)</f>
        <v>2082855.6099999999</v>
      </c>
      <c r="J664" s="13"/>
      <c r="K664" s="13"/>
      <c r="L664" s="13"/>
      <c r="M664" s="9"/>
    </row>
    <row r="665" spans="1:13" s="3" customFormat="1" ht="12.2" customHeight="1" x14ac:dyDescent="0.15">
      <c r="A665" s="1" t="s">
        <v>130</v>
      </c>
      <c r="F665" s="13">
        <f>F661-SUM(F662:F664)</f>
        <v>13796193.072444111</v>
      </c>
      <c r="G665" s="13">
        <f>G661-SUM(G662:G664)</f>
        <v>0</v>
      </c>
      <c r="H665" s="13">
        <f>H661-SUM(H662:H664)</f>
        <v>12549093.517555885</v>
      </c>
      <c r="I665" s="13">
        <f>I661-SUM(I662:I664)</f>
        <v>26345286.59</v>
      </c>
      <c r="J665" s="13"/>
      <c r="K665" s="13"/>
      <c r="L665" s="13"/>
      <c r="M665" s="8"/>
    </row>
    <row r="666" spans="1:13" s="3" customFormat="1" ht="12.2" customHeight="1" x14ac:dyDescent="0.2">
      <c r="A666" s="1" t="s">
        <v>131</v>
      </c>
      <c r="F666" s="182">
        <v>642.54999999999995</v>
      </c>
      <c r="G666" s="183"/>
      <c r="H666" s="183">
        <v>752.61</v>
      </c>
      <c r="I666" s="13">
        <f>SUM(F666:H666)</f>
        <v>1395.1599999999999</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8" t="s">
        <v>133</v>
      </c>
      <c r="F668" s="13">
        <f>ROUND(F665/F666,2)</f>
        <v>21471</v>
      </c>
      <c r="G668" s="13" t="e">
        <f>ROUND(G665/G666,2)</f>
        <v>#DIV/0!</v>
      </c>
      <c r="H668" s="13">
        <f>ROUND(H665/H666,2)</f>
        <v>16674.099999999999</v>
      </c>
      <c r="I668" s="13">
        <f>ROUND(I665/I666,2)</f>
        <v>18883.34</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73" t="str">
        <f t="shared" ref="F670:H670" si="54">IF(AND(F666=0,F665&gt;0),F665*-1,"")</f>
        <v/>
      </c>
      <c r="G670" s="73" t="str">
        <f t="shared" si="54"/>
        <v/>
      </c>
      <c r="H670" s="73" t="str">
        <f t="shared" si="54"/>
        <v/>
      </c>
      <c r="I670" s="13">
        <f>SUM(F670:H670)</f>
        <v>0</v>
      </c>
      <c r="J670" s="13"/>
      <c r="K670" s="13"/>
      <c r="L670" s="13"/>
      <c r="M670" s="9"/>
    </row>
    <row r="671" spans="1:13" s="3" customFormat="1" ht="12.2" customHeight="1" x14ac:dyDescent="0.15">
      <c r="A671" s="1" t="s">
        <v>135</v>
      </c>
      <c r="F671" s="18"/>
      <c r="G671" s="18"/>
      <c r="H671" s="18">
        <v>-34</v>
      </c>
      <c r="I671" s="13">
        <f>SUM(F671:H671)</f>
        <v>-34</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3">
        <f>ROUND((F665+F670)/(F666+F671),2)</f>
        <v>21471</v>
      </c>
      <c r="G673" s="13" t="e">
        <f>ROUND((G665+G670)/(G666+G671),2)</f>
        <v>#DIV/0!</v>
      </c>
      <c r="H673" s="13">
        <f>ROUND((H665+H670)/(H666+H671),2)</f>
        <v>17463.009999999998</v>
      </c>
      <c r="I673" s="13">
        <f>ROUND((I665+I670)/(I666+I671),2)</f>
        <v>19355.03</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NZH7iJKr6qTcwwE7/U9FU3LhmIsoXV9nmvnD6X5DwQlUXgYUOqzXAWlRt9twAHZKcmxPOBHR+QiOjQPtqwKjPA==" saltValue="nQvDrsA9tkboSaSZtMFfsw==" spinCount="100000" sheet="1" objects="1" scenarios="1"/>
  <dataConsolidate link="1"/>
  <phoneticPr fontId="0" type="noConversion"/>
  <conditionalFormatting sqref="J618:J656 H657">
    <cfRule type="cellIs" dxfId="31" priority="3" stopIfTrue="1" operator="notEqual">
      <formula>0</formula>
    </cfRule>
  </conditionalFormatting>
  <conditionalFormatting sqref="J618:J656">
    <cfRule type="cellIs" dxfId="30" priority="1" operator="lessThan">
      <formula>0</formula>
    </cfRule>
    <cfRule type="cellIs" dxfId="29" priority="2" stopIfTrue="1" operator="greaterThan">
      <formula>0</formula>
    </cfRule>
  </conditionalFormatting>
  <printOptions gridLines="1" gridLinesSet="0"/>
  <pageMargins left="0.3" right="0.3" top="0.75" bottom="0.5" header="0.5" footer="0.5"/>
  <pageSetup scale="85" orientation="landscape" r:id="rId1"/>
  <headerFooter alignWithMargins="0">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'School Tables'!$AJ$3:$AJ$227</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E14" sqref="E14"/>
    </sheetView>
  </sheetViews>
  <sheetFormatPr defaultRowHeight="15" x14ac:dyDescent="0.25"/>
  <cols>
    <col min="1" max="2" width="9.33203125" style="258"/>
    <col min="3" max="3" width="154.5" style="258" customWidth="1"/>
    <col min="4" max="4" width="9.33203125" style="258"/>
    <col min="5" max="5" width="14.1640625" style="258" customWidth="1"/>
    <col min="6" max="6" width="13.1640625" style="258" customWidth="1"/>
    <col min="7" max="7" width="9.33203125" style="258"/>
    <col min="8" max="8" width="23.33203125" style="258" customWidth="1"/>
    <col min="9" max="9" width="14.33203125" style="258" customWidth="1"/>
    <col min="10" max="16384" width="9.33203125" style="258"/>
  </cols>
  <sheetData>
    <row r="2" spans="2:8" x14ac:dyDescent="0.25">
      <c r="C2" s="318" t="s">
        <v>1611</v>
      </c>
      <c r="D2" s="318"/>
      <c r="E2" s="318"/>
    </row>
    <row r="3" spans="2:8" x14ac:dyDescent="0.25">
      <c r="C3" s="265"/>
    </row>
    <row r="5" spans="2:8" x14ac:dyDescent="0.25">
      <c r="B5" s="268" t="s">
        <v>647</v>
      </c>
      <c r="C5" s="268"/>
      <c r="D5" s="268" t="s">
        <v>1602</v>
      </c>
      <c r="E5" s="269" t="s">
        <v>1603</v>
      </c>
      <c r="F5" s="270"/>
    </row>
    <row r="6" spans="2:8" x14ac:dyDescent="0.25">
      <c r="B6" s="270"/>
      <c r="C6" s="270"/>
      <c r="D6" s="270"/>
      <c r="E6" s="270"/>
      <c r="F6" s="270"/>
    </row>
    <row r="7" spans="2:8" x14ac:dyDescent="0.25">
      <c r="B7" s="270"/>
      <c r="C7" s="268" t="s">
        <v>1604</v>
      </c>
      <c r="D7" s="270"/>
      <c r="E7" s="273">
        <f>'DOE25'!H155</f>
        <v>40284.26</v>
      </c>
      <c r="F7" s="268" t="s">
        <v>5</v>
      </c>
      <c r="H7" s="267" t="str">
        <f>IF(SUM(E9:E17)=E7,"","ERROR: Sum of the 5 sub-totals do not equal total reported to the left!")</f>
        <v/>
      </c>
    </row>
    <row r="8" spans="2:8" x14ac:dyDescent="0.25">
      <c r="B8" s="270"/>
      <c r="C8" s="270"/>
      <c r="D8" s="270"/>
      <c r="E8" s="270"/>
      <c r="F8" s="270"/>
    </row>
    <row r="9" spans="2:8" x14ac:dyDescent="0.25">
      <c r="B9" s="270"/>
      <c r="C9" s="271" t="s">
        <v>1605</v>
      </c>
      <c r="D9" s="271" t="s">
        <v>1618</v>
      </c>
      <c r="E9" s="259">
        <v>17207.830000000002</v>
      </c>
      <c r="F9" s="271" t="s">
        <v>1612</v>
      </c>
    </row>
    <row r="10" spans="2:8" x14ac:dyDescent="0.25">
      <c r="B10" s="270"/>
      <c r="C10" s="270"/>
      <c r="D10" s="270"/>
      <c r="E10" s="270"/>
      <c r="F10" s="270"/>
    </row>
    <row r="11" spans="2:8" x14ac:dyDescent="0.25">
      <c r="B11" s="270"/>
      <c r="C11" s="274" t="s">
        <v>1616</v>
      </c>
      <c r="D11" s="271" t="s">
        <v>1619</v>
      </c>
      <c r="E11" s="259"/>
      <c r="F11" s="271" t="s">
        <v>1613</v>
      </c>
    </row>
    <row r="12" spans="2:8" x14ac:dyDescent="0.25">
      <c r="B12" s="270"/>
      <c r="C12" s="270"/>
      <c r="D12" s="271"/>
      <c r="E12" s="270"/>
      <c r="F12" s="270"/>
    </row>
    <row r="13" spans="2:8" x14ac:dyDescent="0.25">
      <c r="B13" s="270"/>
      <c r="C13" s="271" t="s">
        <v>1606</v>
      </c>
      <c r="D13" s="271" t="s">
        <v>1620</v>
      </c>
      <c r="E13" s="259">
        <v>23076.43</v>
      </c>
      <c r="F13" s="271" t="s">
        <v>1614</v>
      </c>
    </row>
    <row r="14" spans="2:8" x14ac:dyDescent="0.25">
      <c r="B14" s="270"/>
      <c r="C14" s="270"/>
      <c r="D14" s="271"/>
      <c r="E14" s="270"/>
      <c r="F14" s="270"/>
    </row>
    <row r="15" spans="2:8" x14ac:dyDescent="0.25">
      <c r="B15" s="270"/>
      <c r="C15" s="271" t="s">
        <v>1608</v>
      </c>
      <c r="D15" s="271" t="s">
        <v>1621</v>
      </c>
      <c r="E15" s="259"/>
      <c r="F15" s="271" t="s">
        <v>1615</v>
      </c>
    </row>
    <row r="16" spans="2:8" x14ac:dyDescent="0.25">
      <c r="B16" s="270"/>
      <c r="C16" s="270"/>
      <c r="D16" s="270"/>
      <c r="E16" s="270"/>
      <c r="F16" s="270"/>
    </row>
    <row r="17" spans="2:8" x14ac:dyDescent="0.25">
      <c r="B17" s="270"/>
      <c r="C17" s="271" t="s">
        <v>1607</v>
      </c>
      <c r="D17" s="271" t="s">
        <v>1622</v>
      </c>
      <c r="E17" s="259"/>
      <c r="F17" s="274" t="s">
        <v>1617</v>
      </c>
    </row>
    <row r="18" spans="2:8" x14ac:dyDescent="0.25">
      <c r="B18" s="270"/>
      <c r="C18" s="270"/>
      <c r="D18" s="270"/>
      <c r="E18" s="270"/>
      <c r="F18" s="270"/>
    </row>
    <row r="20" spans="2:8" x14ac:dyDescent="0.25">
      <c r="B20" s="268" t="s">
        <v>1609</v>
      </c>
      <c r="C20" s="268"/>
      <c r="D20" s="268" t="s">
        <v>1602</v>
      </c>
      <c r="E20" s="269" t="s">
        <v>1603</v>
      </c>
      <c r="F20" s="270"/>
    </row>
    <row r="21" spans="2:8" x14ac:dyDescent="0.25">
      <c r="B21" s="270"/>
      <c r="C21" s="270"/>
      <c r="D21" s="270"/>
      <c r="E21" s="270"/>
      <c r="F21" s="270"/>
    </row>
    <row r="22" spans="2:8" ht="18" customHeight="1" x14ac:dyDescent="0.25">
      <c r="B22" s="270"/>
      <c r="C22" s="272" t="s">
        <v>1610</v>
      </c>
      <c r="D22" s="271" t="s">
        <v>1623</v>
      </c>
      <c r="E22" s="259"/>
      <c r="F22" s="270"/>
    </row>
    <row r="23" spans="2:8" x14ac:dyDescent="0.25">
      <c r="B23" s="270"/>
      <c r="C23" s="270"/>
      <c r="D23" s="270"/>
      <c r="E23" s="270"/>
      <c r="F23" s="270"/>
    </row>
    <row r="24" spans="2:8" ht="26.25" customHeight="1" x14ac:dyDescent="0.25"/>
    <row r="26" spans="2:8" ht="27.75" customHeight="1" x14ac:dyDescent="0.25">
      <c r="C26" s="293"/>
    </row>
    <row r="28" spans="2:8" ht="15.75" customHeight="1" x14ac:dyDescent="0.25"/>
    <row r="30" spans="2:8" ht="16.5" customHeight="1" x14ac:dyDescent="0.25"/>
    <row r="31" spans="2:8" x14ac:dyDescent="0.25">
      <c r="H31" s="267"/>
    </row>
    <row r="33" spans="2:3" x14ac:dyDescent="0.25">
      <c r="B33" s="264"/>
      <c r="C33" s="266"/>
    </row>
  </sheetData>
  <sheetProtection algorithmName="SHA-512" hashValue="0V1SPYbDlia8g53D9qEUi9OJXRYVBjE6Vq3IcVE+urJWFgCvafFifoIR04QPeT8G+JQQb0OBUlqapBBSrrl6Rg==" saltValue="30tf8octEZfYSEsmpGXYLw==" spinCount="100000" sheet="1" objects="1" scenarios="1"/>
  <mergeCells count="1">
    <mergeCell ref="C2:E2"/>
  </mergeCells>
  <pageMargins left="0.7" right="0.7" top="0.75" bottom="0.75" header="0.3" footer="0.3"/>
  <pageSetup scale="64" orientation="landscape" r:id="rId1"/>
  <headerFooter>
    <oddHeader>&amp;CNon-Title 1 ESEA
FY 2023-2024</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zoomScaleNormal="100" workbookViewId="0">
      <selection activeCell="B18" sqref="B18"/>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19" t="s">
        <v>1547</v>
      </c>
      <c r="B1" s="319"/>
      <c r="C1" s="319"/>
      <c r="D1" s="319"/>
      <c r="E1" s="319"/>
      <c r="F1" s="319"/>
      <c r="G1" s="319"/>
      <c r="H1" s="319"/>
    </row>
    <row r="2" spans="1:9" ht="15" x14ac:dyDescent="0.2">
      <c r="A2" s="319" t="s">
        <v>1787</v>
      </c>
      <c r="B2" s="319"/>
      <c r="C2" s="319"/>
      <c r="D2" s="319"/>
      <c r="E2" s="319"/>
      <c r="F2" s="319"/>
      <c r="G2" s="319"/>
      <c r="H2" s="319"/>
    </row>
    <row r="3" spans="1:9" ht="15.75" x14ac:dyDescent="0.25">
      <c r="A3" s="243" t="s">
        <v>1561</v>
      </c>
      <c r="B3" s="244" t="s">
        <v>1594</v>
      </c>
      <c r="C3" s="242"/>
      <c r="D3" s="242"/>
      <c r="E3" s="242"/>
      <c r="F3" s="242"/>
      <c r="G3" s="242"/>
      <c r="H3" s="242"/>
      <c r="I3" t="s">
        <v>1593</v>
      </c>
    </row>
    <row r="4" spans="1:9" x14ac:dyDescent="0.2">
      <c r="I4" t="s">
        <v>1594</v>
      </c>
    </row>
    <row r="5" spans="1:9" ht="15.75" x14ac:dyDescent="0.25">
      <c r="A5" s="238" t="s">
        <v>897</v>
      </c>
      <c r="B5" s="320" t="str">
        <f>'DOE25'!A2</f>
        <v>Pembroke</v>
      </c>
      <c r="C5" s="321"/>
      <c r="D5" s="321"/>
      <c r="E5" s="321"/>
      <c r="F5" s="321"/>
    </row>
    <row r="8" spans="1:9" ht="18" x14ac:dyDescent="0.25">
      <c r="A8" s="239" t="s">
        <v>1548</v>
      </c>
      <c r="F8" s="246" t="s">
        <v>1566</v>
      </c>
    </row>
    <row r="9" spans="1:9" ht="15" x14ac:dyDescent="0.2">
      <c r="A9" s="237" t="s">
        <v>1549</v>
      </c>
      <c r="B9" s="240">
        <f>'DOE25'!G97</f>
        <v>416894.62</v>
      </c>
      <c r="F9" s="237" t="s">
        <v>1562</v>
      </c>
    </row>
    <row r="10" spans="1:9" ht="15" x14ac:dyDescent="0.2">
      <c r="A10" s="237" t="s">
        <v>1550</v>
      </c>
      <c r="B10" s="240">
        <f>'DOE25'!G112-'DOE25'!G97</f>
        <v>6717.789999999979</v>
      </c>
      <c r="F10" s="237" t="s">
        <v>1563</v>
      </c>
    </row>
    <row r="11" spans="1:9" ht="15" x14ac:dyDescent="0.2">
      <c r="A11" s="237" t="s">
        <v>1551</v>
      </c>
      <c r="B11" s="240">
        <f>'DOE25'!G140</f>
        <v>9686.0400000000009</v>
      </c>
      <c r="F11" s="237" t="s">
        <v>1564</v>
      </c>
    </row>
    <row r="12" spans="1:9" ht="15" x14ac:dyDescent="0.2">
      <c r="A12" s="237" t="s">
        <v>1552</v>
      </c>
      <c r="B12" s="240">
        <f>'DOE25'!G170</f>
        <v>340994.97</v>
      </c>
      <c r="F12" s="237" t="s">
        <v>1565</v>
      </c>
    </row>
    <row r="13" spans="1:9" ht="15" x14ac:dyDescent="0.2">
      <c r="A13" s="237" t="s">
        <v>1553</v>
      </c>
      <c r="B13" s="240">
        <f>'DOE25'!G193-'DOE25'!G180</f>
        <v>0</v>
      </c>
      <c r="F13" s="237" t="s">
        <v>1575</v>
      </c>
    </row>
    <row r="14" spans="1:9" ht="18" x14ac:dyDescent="0.25">
      <c r="A14" s="239" t="s">
        <v>732</v>
      </c>
      <c r="B14" s="241">
        <f>SUM(B9:B13)</f>
        <v>774293.41999999993</v>
      </c>
    </row>
    <row r="16" spans="1:9" ht="18" x14ac:dyDescent="0.25">
      <c r="A16" s="239" t="s">
        <v>783</v>
      </c>
      <c r="F16" s="246" t="s">
        <v>1567</v>
      </c>
    </row>
    <row r="17" spans="1:6" ht="15" x14ac:dyDescent="0.2">
      <c r="A17" s="237" t="s">
        <v>1554</v>
      </c>
      <c r="B17" s="240">
        <f>'DOE25'!L363-'DOE25'!L362</f>
        <v>791748.58999999985</v>
      </c>
      <c r="F17" s="237" t="s">
        <v>1568</v>
      </c>
    </row>
    <row r="18" spans="1:6" ht="15" x14ac:dyDescent="0.2">
      <c r="A18" s="237" t="s">
        <v>1555</v>
      </c>
      <c r="B18" s="250"/>
      <c r="F18" s="246" t="s">
        <v>1592</v>
      </c>
    </row>
    <row r="19" spans="1:6" ht="18" x14ac:dyDescent="0.25">
      <c r="A19" s="239" t="s">
        <v>725</v>
      </c>
      <c r="B19" s="241">
        <f>SUM(B17:B18)</f>
        <v>791748.58999999985</v>
      </c>
    </row>
    <row r="21" spans="1:6" ht="18.75" thickBot="1" x14ac:dyDescent="0.3">
      <c r="A21" s="239" t="s">
        <v>1556</v>
      </c>
    </row>
    <row r="22" spans="1:6" ht="18.75" thickTop="1" x14ac:dyDescent="0.25">
      <c r="A22" s="239" t="s">
        <v>1557</v>
      </c>
      <c r="B22" s="245">
        <f>B14-B19</f>
        <v>-17455.169999999925</v>
      </c>
      <c r="F22" s="237" t="s">
        <v>1569</v>
      </c>
    </row>
    <row r="26" spans="1:6" ht="18" x14ac:dyDescent="0.25">
      <c r="A26" s="239" t="s">
        <v>186</v>
      </c>
    </row>
    <row r="27" spans="1:6" ht="15" x14ac:dyDescent="0.2">
      <c r="A27" s="237" t="s">
        <v>1558</v>
      </c>
      <c r="B27" s="240">
        <f>'DOE25'!G180</f>
        <v>0</v>
      </c>
      <c r="F27" s="237" t="s">
        <v>1570</v>
      </c>
    </row>
    <row r="28" spans="1:6" ht="15" x14ac:dyDescent="0.2">
      <c r="A28" s="237" t="s">
        <v>1560</v>
      </c>
      <c r="B28" s="240">
        <f>'DOE25'!L362</f>
        <v>0</v>
      </c>
      <c r="F28" s="237" t="s">
        <v>1571</v>
      </c>
    </row>
    <row r="31" spans="1:6" ht="15" x14ac:dyDescent="0.2">
      <c r="A31" s="237" t="s">
        <v>1789</v>
      </c>
      <c r="B31" s="240">
        <f>'DOE25'!G466</f>
        <v>412909.91</v>
      </c>
      <c r="F31" s="237" t="s">
        <v>1572</v>
      </c>
    </row>
    <row r="33" spans="1:6" ht="15" x14ac:dyDescent="0.2">
      <c r="A33" s="237" t="s">
        <v>1790</v>
      </c>
      <c r="B33" s="240">
        <f>'DOE25'!G477</f>
        <v>445880.76000000013</v>
      </c>
      <c r="F33" s="237" t="s">
        <v>1573</v>
      </c>
    </row>
    <row r="36" spans="1:6" ht="15" x14ac:dyDescent="0.2">
      <c r="A36" s="237" t="s">
        <v>1559</v>
      </c>
      <c r="B36" s="251">
        <v>33301.440000000002</v>
      </c>
      <c r="F36" s="246" t="s">
        <v>1574</v>
      </c>
    </row>
  </sheetData>
  <sheetProtection algorithmName="SHA-512" hashValue="HnacJMA3npZPVw9sNo3ha9dDiehlAsRHzOaF9iMV5372sXjFvjEJ8yS+aMOpaChb23URX93ZUCSU1qryMFNurg==" saltValue="KfIxdDyEEyD1XVV/UAsCuA==" spinCount="100000"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topLeftCell="A7" zoomScale="130" zoomScaleNormal="130" workbookViewId="0">
      <selection activeCell="C29" activeCellId="2" sqref="C11 C20 C29"/>
    </sheetView>
  </sheetViews>
  <sheetFormatPr defaultRowHeight="11.25" x14ac:dyDescent="0.2"/>
  <cols>
    <col min="1" max="1" width="26.6640625" customWidth="1"/>
    <col min="2" max="2" width="33.83203125" customWidth="1"/>
    <col min="3" max="3" width="29.5" customWidth="1"/>
  </cols>
  <sheetData>
    <row r="1" spans="1:3" x14ac:dyDescent="0.2">
      <c r="A1" s="170" t="s">
        <v>778</v>
      </c>
      <c r="B1" s="169" t="str">
        <f>'DOE25'!A2</f>
        <v>Pembroke</v>
      </c>
      <c r="C1" s="174" t="s">
        <v>820</v>
      </c>
    </row>
    <row r="2" spans="1:3" x14ac:dyDescent="0.2">
      <c r="A2" s="170"/>
      <c r="B2" s="169"/>
    </row>
    <row r="3" spans="1:3" x14ac:dyDescent="0.2">
      <c r="A3" s="318" t="s">
        <v>777</v>
      </c>
      <c r="B3" s="318"/>
      <c r="C3" s="318"/>
    </row>
    <row r="4" spans="1:3" x14ac:dyDescent="0.2">
      <c r="A4" s="173"/>
      <c r="B4" s="24" t="str">
        <f>'DOE25'!H1</f>
        <v>DOE 25  2023-2024</v>
      </c>
      <c r="C4" s="173"/>
    </row>
    <row r="5" spans="1:3" x14ac:dyDescent="0.2">
      <c r="A5" s="170"/>
      <c r="B5" s="169"/>
    </row>
    <row r="6" spans="1:3" x14ac:dyDescent="0.2">
      <c r="A6" s="164"/>
      <c r="B6" s="324" t="s">
        <v>776</v>
      </c>
      <c r="C6" s="324"/>
    </row>
    <row r="7" spans="1:3" x14ac:dyDescent="0.2">
      <c r="A7" s="175" t="s">
        <v>779</v>
      </c>
      <c r="B7" s="322" t="s">
        <v>775</v>
      </c>
      <c r="C7" s="323"/>
    </row>
    <row r="8" spans="1:3" x14ac:dyDescent="0.2">
      <c r="B8" s="165" t="s">
        <v>54</v>
      </c>
      <c r="C8" s="165" t="s">
        <v>769</v>
      </c>
    </row>
    <row r="9" spans="1:3" x14ac:dyDescent="0.2">
      <c r="A9" s="32" t="s">
        <v>770</v>
      </c>
      <c r="B9" s="166">
        <f>'DOE25'!F198+'DOE25'!F216+'DOE25'!F234+'DOE25'!F277+'DOE25'!F296+'DOE25'!F315</f>
        <v>7490677.3200000003</v>
      </c>
      <c r="C9" s="166">
        <f>'DOE25'!G198+'DOE25'!G216+'DOE25'!G234+'DOE25'!G277+'DOE25'!G296+'DOE25'!G315</f>
        <v>4283933.22</v>
      </c>
    </row>
    <row r="10" spans="1:3" x14ac:dyDescent="0.2">
      <c r="A10" t="s">
        <v>772</v>
      </c>
      <c r="B10" s="176">
        <v>7187622.46</v>
      </c>
      <c r="C10" s="176">
        <v>4110615.55</v>
      </c>
    </row>
    <row r="11" spans="1:3" x14ac:dyDescent="0.2">
      <c r="A11" t="s">
        <v>773</v>
      </c>
      <c r="B11" s="176">
        <v>79329.210000000006</v>
      </c>
      <c r="C11" s="176">
        <v>45368.53</v>
      </c>
    </row>
    <row r="12" spans="1:3" x14ac:dyDescent="0.2">
      <c r="A12" t="s">
        <v>774</v>
      </c>
      <c r="B12" s="176">
        <v>223725.65</v>
      </c>
      <c r="C12" s="176">
        <v>127949.14</v>
      </c>
    </row>
    <row r="13" spans="1:3" x14ac:dyDescent="0.2">
      <c r="A13" t="str">
        <f>IF(B9=B13,IF(C9=C13,"Check Total OK","Check Total Error"),"Check Total Error")</f>
        <v>Check Total OK</v>
      </c>
      <c r="B13" s="168">
        <f>SUM(B10:B12)</f>
        <v>7490677.3200000003</v>
      </c>
      <c r="C13" s="168">
        <f>SUM(C10:C12)</f>
        <v>4283933.22</v>
      </c>
    </row>
    <row r="14" spans="1:3" x14ac:dyDescent="0.2">
      <c r="B14" s="167"/>
      <c r="C14" s="167"/>
    </row>
    <row r="15" spans="1:3" x14ac:dyDescent="0.2">
      <c r="B15" s="324" t="s">
        <v>776</v>
      </c>
      <c r="C15" s="324"/>
    </row>
    <row r="16" spans="1:3" x14ac:dyDescent="0.2">
      <c r="A16" s="175" t="s">
        <v>780</v>
      </c>
      <c r="B16" s="322" t="s">
        <v>703</v>
      </c>
      <c r="C16" s="323"/>
    </row>
    <row r="17" spans="1:3" x14ac:dyDescent="0.2">
      <c r="B17" s="165" t="s">
        <v>54</v>
      </c>
      <c r="C17" s="165" t="s">
        <v>769</v>
      </c>
    </row>
    <row r="18" spans="1:3" x14ac:dyDescent="0.2">
      <c r="A18" s="32" t="s">
        <v>770</v>
      </c>
      <c r="B18" s="166">
        <f>'DOE25'!F199+'DOE25'!F217+'DOE25'!F235+'DOE25'!F278+'DOE25'!F297+'DOE25'!F316</f>
        <v>2671589.4</v>
      </c>
      <c r="C18" s="166">
        <f>'DOE25'!G199+'DOE25'!G217+'DOE25'!G235+'DOE25'!G278+'DOE25'!G297+'DOE25'!G316</f>
        <v>1542749.8399999999</v>
      </c>
    </row>
    <row r="19" spans="1:3" x14ac:dyDescent="0.2">
      <c r="A19" t="s">
        <v>772</v>
      </c>
      <c r="B19" s="176">
        <v>1659271.22</v>
      </c>
      <c r="C19" s="176">
        <v>958171.34</v>
      </c>
    </row>
    <row r="20" spans="1:3" x14ac:dyDescent="0.2">
      <c r="A20" t="s">
        <v>773</v>
      </c>
      <c r="B20" s="176">
        <v>906459.87</v>
      </c>
      <c r="C20" s="176">
        <v>523449.01</v>
      </c>
    </row>
    <row r="21" spans="1:3" x14ac:dyDescent="0.2">
      <c r="A21" t="s">
        <v>774</v>
      </c>
      <c r="B21" s="176">
        <v>105858.31</v>
      </c>
      <c r="C21" s="176">
        <v>61129.49</v>
      </c>
    </row>
    <row r="22" spans="1:3" x14ac:dyDescent="0.2">
      <c r="A22" t="str">
        <f>IF(B18=B22,IF(C18=C22,"Check Total OK","Check Total Error"),"Check Total Error")</f>
        <v>Check Total OK</v>
      </c>
      <c r="B22" s="168">
        <f>SUM(B19:B21)</f>
        <v>2671589.4</v>
      </c>
      <c r="C22" s="168">
        <f>SUM(C19:C21)</f>
        <v>1542749.84</v>
      </c>
    </row>
    <row r="23" spans="1:3" x14ac:dyDescent="0.2">
      <c r="B23" s="167"/>
      <c r="C23" s="167"/>
    </row>
    <row r="24" spans="1:3" x14ac:dyDescent="0.2">
      <c r="B24" s="324" t="s">
        <v>776</v>
      </c>
      <c r="C24" s="324"/>
    </row>
    <row r="25" spans="1:3" x14ac:dyDescent="0.2">
      <c r="A25" s="175" t="s">
        <v>781</v>
      </c>
      <c r="B25" s="322" t="s">
        <v>704</v>
      </c>
      <c r="C25" s="323"/>
    </row>
    <row r="26" spans="1:3" x14ac:dyDescent="0.2">
      <c r="B26" s="165" t="s">
        <v>54</v>
      </c>
      <c r="C26" s="165" t="s">
        <v>769</v>
      </c>
    </row>
    <row r="27" spans="1:3" x14ac:dyDescent="0.2">
      <c r="A27" s="32" t="s">
        <v>770</v>
      </c>
      <c r="B27" s="171">
        <f>'DOE25'!F200+'DOE25'!F218+'DOE25'!F236+'DOE25'!F279+'DOE25'!F298+'DOE25'!F317</f>
        <v>452657</v>
      </c>
      <c r="C27" s="171">
        <f>'DOE25'!G200+'DOE25'!G218+'DOE25'!G236+'DOE25'!G279+'DOE25'!G298+'DOE25'!G317</f>
        <v>258972.38</v>
      </c>
    </row>
    <row r="28" spans="1:3" x14ac:dyDescent="0.2">
      <c r="A28" t="s">
        <v>772</v>
      </c>
      <c r="B28" s="176">
        <v>424708</v>
      </c>
      <c r="C28" s="176">
        <v>155383.43</v>
      </c>
    </row>
    <row r="29" spans="1:3" x14ac:dyDescent="0.2">
      <c r="A29" t="s">
        <v>773</v>
      </c>
      <c r="B29" s="176">
        <v>27949</v>
      </c>
      <c r="C29" s="176">
        <v>103588.95</v>
      </c>
    </row>
    <row r="30" spans="1:3" x14ac:dyDescent="0.2">
      <c r="A30" t="s">
        <v>774</v>
      </c>
      <c r="B30" s="176"/>
      <c r="C30" s="176"/>
    </row>
    <row r="31" spans="1:3" x14ac:dyDescent="0.2">
      <c r="A31" t="str">
        <f>IF(B27=B31,IF(C27=C31,"Check Total OK","Check Total Error"),"Check Total Error")</f>
        <v>Check Total OK</v>
      </c>
      <c r="B31" s="168">
        <f>SUM(B28:B30)</f>
        <v>452657</v>
      </c>
      <c r="C31" s="168">
        <f>SUM(C28:C30)</f>
        <v>258972.38</v>
      </c>
    </row>
    <row r="33" spans="1:3" x14ac:dyDescent="0.2">
      <c r="B33" s="324" t="s">
        <v>776</v>
      </c>
      <c r="C33" s="324"/>
    </row>
    <row r="34" spans="1:3" x14ac:dyDescent="0.2">
      <c r="A34" s="175" t="s">
        <v>782</v>
      </c>
      <c r="B34" s="322" t="s">
        <v>705</v>
      </c>
      <c r="C34" s="323"/>
    </row>
    <row r="35" spans="1:3" x14ac:dyDescent="0.2">
      <c r="B35" s="165" t="s">
        <v>54</v>
      </c>
      <c r="C35" s="165" t="s">
        <v>769</v>
      </c>
    </row>
    <row r="36" spans="1:3" x14ac:dyDescent="0.2">
      <c r="A36" s="32" t="s">
        <v>770</v>
      </c>
      <c r="B36" s="172">
        <f>'DOE25'!F201+'DOE25'!F219+'DOE25'!F237+'DOE25'!F280+'DOE25'!F299+'DOE25'!F318</f>
        <v>364799.5</v>
      </c>
      <c r="C36" s="172">
        <f>'DOE25'!G201+'DOE25'!G219+'DOE25'!G237+'DOE25'!G280+'DOE25'!G299+'DOE25'!G318</f>
        <v>190935.59999999998</v>
      </c>
    </row>
    <row r="37" spans="1:3" x14ac:dyDescent="0.2">
      <c r="A37" t="s">
        <v>772</v>
      </c>
      <c r="B37" s="176">
        <v>276544.5</v>
      </c>
      <c r="C37" s="176">
        <v>114561.36</v>
      </c>
    </row>
    <row r="38" spans="1:3" x14ac:dyDescent="0.2">
      <c r="A38" t="s">
        <v>773</v>
      </c>
      <c r="B38" s="176">
        <v>88255</v>
      </c>
      <c r="C38" s="176">
        <v>76374.240000000005</v>
      </c>
    </row>
    <row r="39" spans="1:3" x14ac:dyDescent="0.2">
      <c r="A39" t="s">
        <v>774</v>
      </c>
      <c r="B39" s="176"/>
      <c r="C39" s="176"/>
    </row>
    <row r="40" spans="1:3" x14ac:dyDescent="0.2">
      <c r="A40" t="str">
        <f>IF(B36=B40,IF(C36=C40,"Check Total OK","Check Total Error"),"Check Total Error")</f>
        <v>Check Total OK</v>
      </c>
      <c r="B40" s="168">
        <f>SUM(B37:B39)</f>
        <v>364799.5</v>
      </c>
      <c r="C40" s="168">
        <f>SUM(C37:C39)</f>
        <v>190935.6</v>
      </c>
    </row>
    <row r="41" spans="1:3" x14ac:dyDescent="0.2">
      <c r="B41" s="167"/>
      <c r="C41" s="167"/>
    </row>
    <row r="42" spans="1:3" x14ac:dyDescent="0.2">
      <c r="A42" s="32" t="s">
        <v>818</v>
      </c>
      <c r="B42" s="167"/>
      <c r="C42" s="167"/>
    </row>
    <row r="43" spans="1:3" x14ac:dyDescent="0.2">
      <c r="A43" t="s">
        <v>822</v>
      </c>
      <c r="B43" s="167"/>
      <c r="C43" s="167"/>
    </row>
    <row r="44" spans="1:3" x14ac:dyDescent="0.2">
      <c r="A44" t="s">
        <v>823</v>
      </c>
    </row>
    <row r="45" spans="1:3" x14ac:dyDescent="0.2">
      <c r="A45" t="s">
        <v>824</v>
      </c>
    </row>
    <row r="48" spans="1:3" x14ac:dyDescent="0.2">
      <c r="A48" s="194" t="s">
        <v>771</v>
      </c>
    </row>
    <row r="49" spans="1:1" x14ac:dyDescent="0.2">
      <c r="A49" s="197" t="s">
        <v>825</v>
      </c>
    </row>
    <row r="50" spans="1:1" x14ac:dyDescent="0.2">
      <c r="A50" s="197" t="s">
        <v>819</v>
      </c>
    </row>
    <row r="51" spans="1:1" x14ac:dyDescent="0.2">
      <c r="A51" s="197" t="s">
        <v>826</v>
      </c>
    </row>
    <row r="52" spans="1:1" x14ac:dyDescent="0.2">
      <c r="A52" s="198" t="s">
        <v>821</v>
      </c>
    </row>
  </sheetData>
  <sheetProtection algorithmName="SHA-512" hashValue="s3qgSUDUfLHN6KYfD6Op++jELv0YFDQukhIPGWRSrTnUYLfvHssDh8JHUQ72XPAYGXB7kUOy3tR0E8pOsV6wrg==" saltValue="dIC4leMngrw7i+2/YMD56Q==" spinCount="100000"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13 A22 A31 A40:A47">
    <cfRule type="cellIs" dxfId="28" priority="1" stopIfTrue="1" operator="equal">
      <formula>"Check Total Error"</formula>
    </cfRule>
  </conditionalFormatting>
  <printOptions gridLines="1"/>
  <pageMargins left="1.24" right="0.75" top="1" bottom="1" header="0.5" footer="0.5"/>
  <pageSetup orientation="portrait" r:id="rId1"/>
  <headerFooter alignWithMargins="0">
    <oddHeader>&amp;C&amp;A
FY2023-2024</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4"/>
  <sheetViews>
    <sheetView zoomScale="80" zoomScaleNormal="80" workbookViewId="0">
      <pane ySplit="4" topLeftCell="A5" activePane="bottomLeft" state="frozen"/>
      <selection activeCell="F46" sqref="F46"/>
      <selection pane="bottomLeft" activeCell="D11" sqref="D11"/>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24" t="s">
        <v>886</v>
      </c>
      <c r="B1" s="327"/>
      <c r="C1" s="327"/>
      <c r="D1" s="327"/>
      <c r="E1" s="327"/>
      <c r="F1" s="327"/>
      <c r="G1" s="327"/>
      <c r="H1" s="327"/>
      <c r="I1" s="130"/>
    </row>
    <row r="2" spans="1:9" x14ac:dyDescent="0.2">
      <c r="A2" s="32" t="s">
        <v>713</v>
      </c>
      <c r="B2" s="195" t="str">
        <f>'DOE25'!A2</f>
        <v>Pembroke</v>
      </c>
      <c r="C2" s="207"/>
      <c r="D2" s="130" t="s">
        <v>784</v>
      </c>
      <c r="E2" s="130" t="s">
        <v>786</v>
      </c>
      <c r="F2" s="325" t="s">
        <v>885</v>
      </c>
      <c r="G2" s="326"/>
      <c r="H2" s="326"/>
      <c r="I2" s="202"/>
    </row>
    <row r="3" spans="1:9" x14ac:dyDescent="0.2">
      <c r="A3" s="130" t="s">
        <v>94</v>
      </c>
      <c r="B3" s="165" t="s">
        <v>10</v>
      </c>
      <c r="C3" s="203" t="s">
        <v>5</v>
      </c>
      <c r="D3" s="130" t="s">
        <v>785</v>
      </c>
      <c r="E3" s="130" t="s">
        <v>787</v>
      </c>
      <c r="F3" s="201" t="s">
        <v>1595</v>
      </c>
      <c r="G3" s="130" t="s">
        <v>883</v>
      </c>
      <c r="H3" s="130" t="s">
        <v>59</v>
      </c>
      <c r="I3" s="178" t="s">
        <v>790</v>
      </c>
    </row>
    <row r="4" spans="1:9" x14ac:dyDescent="0.2">
      <c r="A4" s="185" t="s">
        <v>792</v>
      </c>
      <c r="B4" s="185" t="s">
        <v>808</v>
      </c>
      <c r="C4" s="204" t="s">
        <v>783</v>
      </c>
      <c r="D4" s="185" t="s">
        <v>809</v>
      </c>
      <c r="E4" s="185" t="s">
        <v>809</v>
      </c>
      <c r="F4" s="177" t="s">
        <v>1768</v>
      </c>
      <c r="G4" s="185" t="s">
        <v>789</v>
      </c>
      <c r="H4" s="185" t="s">
        <v>803</v>
      </c>
      <c r="I4" s="186" t="s">
        <v>791</v>
      </c>
    </row>
    <row r="5" spans="1:9" x14ac:dyDescent="0.2">
      <c r="A5" s="31">
        <v>1000</v>
      </c>
      <c r="B5" t="s">
        <v>195</v>
      </c>
      <c r="C5" s="205">
        <f t="shared" ref="C5:C19" si="0">SUM(D5:I5)</f>
        <v>19531065.210000001</v>
      </c>
      <c r="D5" s="19">
        <f>SUM('DOE25'!L198:L201)+SUM('DOE25'!L216:L219)+SUM('DOE25'!L234:L237)-F5-G5-H5</f>
        <v>19285227.780000001</v>
      </c>
      <c r="E5" s="179"/>
      <c r="F5" s="180">
        <v>57904.19</v>
      </c>
      <c r="G5" s="19">
        <f>SUM('DOE25'!J198:J201)+SUM('DOE25'!J216:J219)+SUM('DOE25'!J234:J237)</f>
        <v>146544.47</v>
      </c>
      <c r="H5" s="19">
        <f>SUM('DOE25'!K198:K201)+SUM('DOE25'!K216:K219)+SUM('DOE25'!K234:K237)</f>
        <v>41388.769999999997</v>
      </c>
      <c r="I5" s="191"/>
    </row>
    <row r="6" spans="1:9" x14ac:dyDescent="0.2">
      <c r="A6" s="31">
        <v>2100</v>
      </c>
      <c r="B6" t="s">
        <v>793</v>
      </c>
      <c r="C6" s="205">
        <f t="shared" si="0"/>
        <v>1761018.07</v>
      </c>
      <c r="D6" s="19">
        <f>'DOE25'!L203+'DOE25'!L221+'DOE25'!L239-F6-G6-H6</f>
        <v>1610466.47</v>
      </c>
      <c r="E6" s="179"/>
      <c r="F6" s="180">
        <v>150551.6</v>
      </c>
      <c r="G6" s="19">
        <f>'DOE25'!J203+'DOE25'!J221+'DOE25'!J239</f>
        <v>0</v>
      </c>
      <c r="H6" s="19">
        <f>'DOE25'!K203+'DOE25'!K221+'DOE25'!K239</f>
        <v>0</v>
      </c>
      <c r="I6" s="191"/>
    </row>
    <row r="7" spans="1:9" x14ac:dyDescent="0.2">
      <c r="A7" s="31">
        <v>2200</v>
      </c>
      <c r="B7" t="s">
        <v>817</v>
      </c>
      <c r="C7" s="205">
        <f t="shared" si="0"/>
        <v>474384.19999999995</v>
      </c>
      <c r="D7" s="19">
        <f>'DOE25'!L204+'DOE25'!L222+'DOE25'!L240-F7-G7-H7</f>
        <v>474384.19999999995</v>
      </c>
      <c r="E7" s="179"/>
      <c r="F7" s="180"/>
      <c r="G7" s="19">
        <f>'DOE25'!J204+'DOE25'!J222+'DOE25'!J240</f>
        <v>0</v>
      </c>
      <c r="H7" s="19">
        <f>'DOE25'!K204+'DOE25'!K222+'DOE25'!K240</f>
        <v>0</v>
      </c>
      <c r="I7" s="191"/>
    </row>
    <row r="8" spans="1:9" x14ac:dyDescent="0.2">
      <c r="A8" s="31">
        <v>2300</v>
      </c>
      <c r="B8" t="s">
        <v>794</v>
      </c>
      <c r="C8" s="205">
        <f t="shared" si="0"/>
        <v>862592.27</v>
      </c>
      <c r="D8" s="179"/>
      <c r="E8" s="19">
        <f>'DOE25'!L205+'DOE25'!L223+'DOE25'!L241-F8-G8-H8-D9-D11</f>
        <v>856569.73</v>
      </c>
      <c r="F8" s="180"/>
      <c r="G8" s="19">
        <f>'DOE25'!J205+'DOE25'!J223+'DOE25'!J241</f>
        <v>0</v>
      </c>
      <c r="H8" s="19">
        <f>'DOE25'!K205+'DOE25'!K223+'DOE25'!K241</f>
        <v>6022.5400000000009</v>
      </c>
      <c r="I8" s="191"/>
    </row>
    <row r="9" spans="1:9" ht="14.25" x14ac:dyDescent="0.2">
      <c r="A9" s="31">
        <v>2310</v>
      </c>
      <c r="B9" s="71" t="s">
        <v>884</v>
      </c>
      <c r="C9" s="205">
        <f t="shared" si="0"/>
        <v>14845</v>
      </c>
      <c r="D9" s="180">
        <v>14845</v>
      </c>
      <c r="E9" s="179"/>
      <c r="F9" s="179"/>
      <c r="G9" s="179"/>
      <c r="H9" s="179"/>
      <c r="I9" s="191"/>
    </row>
    <row r="10" spans="1:9" ht="11.25" customHeight="1" x14ac:dyDescent="0.2">
      <c r="A10" s="31"/>
      <c r="B10" s="71"/>
      <c r="C10" s="205">
        <f t="shared" si="0"/>
        <v>0</v>
      </c>
      <c r="D10" s="179"/>
      <c r="E10" s="179"/>
      <c r="F10" s="179"/>
      <c r="G10" s="179"/>
      <c r="H10" s="179"/>
      <c r="I10" s="191"/>
    </row>
    <row r="11" spans="1:9" ht="15.75" customHeight="1" x14ac:dyDescent="0.2">
      <c r="A11" s="31">
        <v>2321</v>
      </c>
      <c r="B11" s="71" t="s">
        <v>1767</v>
      </c>
      <c r="C11" s="205">
        <f t="shared" si="0"/>
        <v>0</v>
      </c>
      <c r="D11" s="180"/>
      <c r="E11" s="179"/>
      <c r="F11" s="179"/>
      <c r="G11" s="179"/>
      <c r="H11" s="179"/>
      <c r="I11" s="191"/>
    </row>
    <row r="12" spans="1:9" x14ac:dyDescent="0.2">
      <c r="A12" s="31">
        <v>2400</v>
      </c>
      <c r="B12" t="s">
        <v>711</v>
      </c>
      <c r="C12" s="205">
        <f t="shared" si="0"/>
        <v>2430174.64</v>
      </c>
      <c r="D12" s="19">
        <f>'DOE25'!L206+'DOE25'!L224+'DOE25'!L242-F12-G12-H12</f>
        <v>2405174.6100000003</v>
      </c>
      <c r="E12" s="179"/>
      <c r="F12" s="180"/>
      <c r="G12" s="19">
        <f>'DOE25'!J206+'DOE25'!J224+'DOE25'!J242</f>
        <v>0</v>
      </c>
      <c r="H12" s="19">
        <f>'DOE25'!K206+'DOE25'!K224+'DOE25'!K242</f>
        <v>25000.030000000002</v>
      </c>
      <c r="I12" s="191"/>
    </row>
    <row r="13" spans="1:9" x14ac:dyDescent="0.2">
      <c r="A13" s="31">
        <v>2500</v>
      </c>
      <c r="B13" t="s">
        <v>795</v>
      </c>
      <c r="C13" s="205">
        <f t="shared" si="0"/>
        <v>0</v>
      </c>
      <c r="D13" s="179"/>
      <c r="E13" s="19">
        <f>'DOE25'!L207+'DOE25'!L225+'DOE25'!L243-F13-G13-H13</f>
        <v>0</v>
      </c>
      <c r="F13" s="180"/>
      <c r="G13" s="19">
        <f>'DOE25'!J207+'DOE25'!J225+'DOE25'!J243</f>
        <v>0</v>
      </c>
      <c r="H13" s="19">
        <f>'DOE25'!K207+'DOE25'!K225+'DOE25'!K243</f>
        <v>0</v>
      </c>
      <c r="I13" s="191"/>
    </row>
    <row r="14" spans="1:9" x14ac:dyDescent="0.2">
      <c r="A14" s="31">
        <v>2600</v>
      </c>
      <c r="B14" t="s">
        <v>815</v>
      </c>
      <c r="C14" s="205">
        <f t="shared" si="0"/>
        <v>1875506.4500000002</v>
      </c>
      <c r="D14" s="19">
        <f>'DOE25'!L208+'DOE25'!L226+'DOE25'!L244-F14-G14-H14</f>
        <v>1761799.1500000001</v>
      </c>
      <c r="E14" s="179"/>
      <c r="F14" s="180">
        <f>19000+5888+1400+25000+57860.94</f>
        <v>109148.94</v>
      </c>
      <c r="G14" s="19">
        <f>'DOE25'!J208+'DOE25'!J226+'DOE25'!J244</f>
        <v>4558.3600000000006</v>
      </c>
      <c r="H14" s="19">
        <f>'DOE25'!K208+'DOE25'!K226+'DOE25'!K244</f>
        <v>0</v>
      </c>
      <c r="I14" s="191"/>
    </row>
    <row r="15" spans="1:9" x14ac:dyDescent="0.2">
      <c r="A15" s="31">
        <v>2700</v>
      </c>
      <c r="B15" t="s">
        <v>796</v>
      </c>
      <c r="C15" s="205">
        <f t="shared" si="0"/>
        <v>1341743.99</v>
      </c>
      <c r="D15" s="19">
        <f>'DOE25'!L209+'DOE25'!L227+'DOE25'!L245-F15-G15-H15</f>
        <v>864445.32000000007</v>
      </c>
      <c r="E15" s="179"/>
      <c r="F15" s="180">
        <f>26249.67+451049</f>
        <v>477298.67</v>
      </c>
      <c r="G15" s="19">
        <f>'DOE25'!J209+'DOE25'!J227+'DOE25'!J245</f>
        <v>0</v>
      </c>
      <c r="H15" s="19">
        <f>'DOE25'!K209+'DOE25'!K227+'DOE25'!K245</f>
        <v>0</v>
      </c>
      <c r="I15" s="191"/>
    </row>
    <row r="16" spans="1:9" x14ac:dyDescent="0.2">
      <c r="A16" s="31">
        <v>2800</v>
      </c>
      <c r="B16" t="s">
        <v>797</v>
      </c>
      <c r="C16" s="205">
        <f t="shared" si="0"/>
        <v>0</v>
      </c>
      <c r="D16" s="179"/>
      <c r="E16" s="19">
        <f>'DOE25'!L210+'DOE25'!L228+'DOE25'!L246-F16-G16-H16</f>
        <v>0</v>
      </c>
      <c r="F16" s="180"/>
      <c r="G16" s="19">
        <f>'DOE25'!J210+'DOE25'!J228+'DOE25'!J246</f>
        <v>0</v>
      </c>
      <c r="H16" s="19">
        <f>'DOE25'!K210+'DOE25'!K228+'DOE25'!K246</f>
        <v>0</v>
      </c>
      <c r="I16" s="191"/>
    </row>
    <row r="17" spans="1:9" x14ac:dyDescent="0.2">
      <c r="A17" s="31">
        <v>1600</v>
      </c>
      <c r="B17" t="s">
        <v>798</v>
      </c>
      <c r="C17" s="205">
        <f t="shared" si="0"/>
        <v>0</v>
      </c>
      <c r="D17" s="19">
        <f>'DOE25'!L252-F17-G17-H17</f>
        <v>0</v>
      </c>
      <c r="E17" s="179"/>
      <c r="F17" s="180"/>
      <c r="G17" s="19">
        <f>'DOE25'!J252</f>
        <v>0</v>
      </c>
      <c r="H17" s="19">
        <f>'DOE25'!K252</f>
        <v>0</v>
      </c>
      <c r="I17" s="191"/>
    </row>
    <row r="18" spans="1:9" x14ac:dyDescent="0.2">
      <c r="A18" s="31">
        <v>1700</v>
      </c>
      <c r="B18" t="s">
        <v>799</v>
      </c>
      <c r="C18" s="205">
        <f t="shared" si="0"/>
        <v>0</v>
      </c>
      <c r="D18" s="19">
        <f>'DOE25'!L253-F18-G18-H18</f>
        <v>0</v>
      </c>
      <c r="E18" s="179"/>
      <c r="F18" s="180"/>
      <c r="G18" s="19">
        <f>'DOE25'!J253</f>
        <v>0</v>
      </c>
      <c r="H18" s="19">
        <f>'DOE25'!K253</f>
        <v>0</v>
      </c>
      <c r="I18" s="191"/>
    </row>
    <row r="19" spans="1:9" x14ac:dyDescent="0.2">
      <c r="A19" s="31">
        <v>1800</v>
      </c>
      <c r="B19" t="s">
        <v>800</v>
      </c>
      <c r="C19" s="205">
        <f t="shared" si="0"/>
        <v>0</v>
      </c>
      <c r="D19" s="19">
        <f>'DOE25'!L254-F19-G19-H19</f>
        <v>0</v>
      </c>
      <c r="E19" s="179"/>
      <c r="F19" s="180"/>
      <c r="G19" s="19">
        <f>'DOE25'!J254</f>
        <v>0</v>
      </c>
      <c r="H19" s="19">
        <f>'DOE25'!K254</f>
        <v>0</v>
      </c>
      <c r="I19" s="191"/>
    </row>
    <row r="20" spans="1:9" x14ac:dyDescent="0.2">
      <c r="C20" s="206"/>
      <c r="F20" s="200"/>
      <c r="I20" s="192"/>
    </row>
    <row r="21" spans="1:9" x14ac:dyDescent="0.2">
      <c r="B21" s="32" t="s">
        <v>788</v>
      </c>
      <c r="C21" s="206"/>
      <c r="F21" s="200"/>
      <c r="I21" s="192"/>
    </row>
    <row r="22" spans="1:9" x14ac:dyDescent="0.2">
      <c r="A22" s="31">
        <v>4000</v>
      </c>
      <c r="B22" t="s">
        <v>816</v>
      </c>
      <c r="C22" s="208">
        <f>SUM(D22:I22)</f>
        <v>603418.31000000006</v>
      </c>
      <c r="D22" s="179"/>
      <c r="E22" s="179"/>
      <c r="F22" s="179"/>
      <c r="G22" s="19">
        <f>'DOE25'!L256+'DOE25'!L337</f>
        <v>603418.31000000006</v>
      </c>
      <c r="H22" s="179"/>
      <c r="I22" s="191"/>
    </row>
    <row r="23" spans="1:9" x14ac:dyDescent="0.2">
      <c r="A23" s="31"/>
      <c r="C23" s="206"/>
      <c r="F23" s="200"/>
      <c r="I23" s="192"/>
    </row>
    <row r="24" spans="1:9" x14ac:dyDescent="0.2">
      <c r="A24" s="31"/>
      <c r="B24" s="32" t="s">
        <v>463</v>
      </c>
      <c r="C24" s="206"/>
      <c r="F24" s="200"/>
      <c r="I24" s="192"/>
    </row>
    <row r="25" spans="1:9" x14ac:dyDescent="0.2">
      <c r="A25" s="31" t="s">
        <v>801</v>
      </c>
      <c r="B25" t="s">
        <v>802</v>
      </c>
      <c r="C25" s="205">
        <f>SUM(D25:I25)</f>
        <v>0</v>
      </c>
      <c r="D25" s="179"/>
      <c r="E25" s="179"/>
      <c r="F25" s="190"/>
      <c r="G25" s="179"/>
      <c r="H25" s="179"/>
      <c r="I25" s="189">
        <f>'DOE25'!L261+'DOE25'!L262+'DOE25'!L342+'DOE25'!L343</f>
        <v>0</v>
      </c>
    </row>
    <row r="26" spans="1:9" x14ac:dyDescent="0.2">
      <c r="A26" s="31"/>
      <c r="C26" s="206"/>
      <c r="F26" s="200"/>
      <c r="I26" s="192"/>
    </row>
    <row r="27" spans="1:9" x14ac:dyDescent="0.2">
      <c r="A27" s="31"/>
      <c r="B27" s="32" t="s">
        <v>804</v>
      </c>
      <c r="C27" s="206"/>
      <c r="F27" s="200"/>
      <c r="I27" s="192"/>
    </row>
    <row r="28" spans="1:9" x14ac:dyDescent="0.2">
      <c r="A28" s="31">
        <v>3100</v>
      </c>
      <c r="B28" t="s">
        <v>812</v>
      </c>
      <c r="C28" s="206"/>
      <c r="F28" s="200"/>
      <c r="I28" s="192"/>
    </row>
    <row r="29" spans="1:9" x14ac:dyDescent="0.2">
      <c r="A29" s="31"/>
      <c r="B29" s="71" t="s">
        <v>805</v>
      </c>
      <c r="C29" s="205">
        <f>SUM(D29:I29)</f>
        <v>477174.77999999985</v>
      </c>
      <c r="D29" s="211">
        <f>'DOE25'!L359+'DOE25'!L360+'DOE25'!L361-'DOE25'!I368-F29-G29-H29-F39</f>
        <v>429371.60999999987</v>
      </c>
      <c r="E29" s="179"/>
      <c r="F29" s="179"/>
      <c r="G29" s="19">
        <f>'DOE25'!J359+'DOE25'!J360+'DOE25'!J361</f>
        <v>47003.17</v>
      </c>
      <c r="H29" s="19">
        <f>'DOE25'!K359+'DOE25'!K360+'DOE25'!K361</f>
        <v>800</v>
      </c>
      <c r="I29" s="191"/>
    </row>
    <row r="30" spans="1:9" x14ac:dyDescent="0.2">
      <c r="A30" s="31"/>
      <c r="C30" s="206"/>
      <c r="D30" s="19"/>
      <c r="F30" s="200"/>
      <c r="G30" s="19"/>
      <c r="H30" s="19"/>
      <c r="I30" s="191"/>
    </row>
    <row r="31" spans="1:9" x14ac:dyDescent="0.2">
      <c r="A31" s="31" t="s">
        <v>814</v>
      </c>
      <c r="B31" t="s">
        <v>813</v>
      </c>
      <c r="C31" s="205">
        <f>SUM(D31:I31)</f>
        <v>1192180.83</v>
      </c>
      <c r="D31" s="19">
        <f>'DOE25'!L291+'DOE25'!L310+'DOE25'!L329+'DOE25'!L334+'DOE25'!L335+'DOE25'!L336-F31-G31-H31</f>
        <v>1015196.9500000001</v>
      </c>
      <c r="E31" s="179"/>
      <c r="F31" s="180">
        <f>128420+12600</f>
        <v>141020</v>
      </c>
      <c r="G31" s="19">
        <f>'DOE25'!J291+'DOE25'!J310+'DOE25'!J329+'DOE25'!J334+'DOE25'!J335+'DOE25'!J336</f>
        <v>17712.96</v>
      </c>
      <c r="H31" s="19">
        <f>'DOE25'!K291+'DOE25'!K310+'DOE25'!K329+'DOE25'!K334+'DOE25'!K335+'DOE25'!K336</f>
        <v>18250.919999999998</v>
      </c>
      <c r="I31" s="191"/>
    </row>
    <row r="32" spans="1:9" ht="12" thickBot="1" x14ac:dyDescent="0.25">
      <c r="C32" s="206"/>
      <c r="G32" s="187"/>
      <c r="H32" s="187"/>
      <c r="I32" s="193"/>
    </row>
    <row r="33" spans="1:9" ht="12" thickTop="1" x14ac:dyDescent="0.2">
      <c r="B33" t="s">
        <v>806</v>
      </c>
      <c r="D33" s="181">
        <f t="shared" ref="D33:I33" si="1">SUM(D5:D31)</f>
        <v>27860911.089999996</v>
      </c>
      <c r="E33" s="181">
        <f t="shared" si="1"/>
        <v>856569.73</v>
      </c>
      <c r="F33" s="181">
        <f t="shared" si="1"/>
        <v>935923.39999999991</v>
      </c>
      <c r="G33" s="181">
        <f t="shared" si="1"/>
        <v>819237.27000000014</v>
      </c>
      <c r="H33" s="181">
        <f t="shared" si="1"/>
        <v>91462.26</v>
      </c>
      <c r="I33" s="181">
        <f t="shared" si="1"/>
        <v>0</v>
      </c>
    </row>
    <row r="34" spans="1:9" ht="12" thickBot="1" x14ac:dyDescent="0.25"/>
    <row r="35" spans="1:9" ht="12" thickBot="1" x14ac:dyDescent="0.25">
      <c r="B35" s="187" t="s">
        <v>827</v>
      </c>
      <c r="D35" s="188">
        <f>E33</f>
        <v>856569.73</v>
      </c>
      <c r="E35" s="184"/>
      <c r="F35" s="294" t="s">
        <v>1596</v>
      </c>
      <c r="G35" s="295"/>
      <c r="H35" s="295"/>
      <c r="I35" s="296"/>
    </row>
    <row r="36" spans="1:9" ht="12" thickTop="1" x14ac:dyDescent="0.2">
      <c r="B36" t="s">
        <v>807</v>
      </c>
      <c r="D36" s="19">
        <f>D33</f>
        <v>27860911.089999996</v>
      </c>
      <c r="F36" s="297" t="s">
        <v>1593</v>
      </c>
      <c r="G36" s="254" t="str">
        <f>IF(F36=0,"&lt;&lt;&lt;&lt;&lt; YOU HAVE NOT CHOSEN IF YOU WANT AN INDIRECT COST RATE!!","")</f>
        <v/>
      </c>
      <c r="H36" s="254"/>
      <c r="I36" s="298"/>
    </row>
    <row r="37" spans="1:9" x14ac:dyDescent="0.2">
      <c r="F37" s="299"/>
      <c r="I37" s="298"/>
    </row>
    <row r="38" spans="1:9" x14ac:dyDescent="0.2">
      <c r="B38" s="135" t="s">
        <v>889</v>
      </c>
      <c r="C38" s="196"/>
      <c r="D38" s="212"/>
      <c r="F38" s="300" t="s">
        <v>1770</v>
      </c>
      <c r="G38" s="301"/>
      <c r="H38" s="301"/>
      <c r="I38" s="298"/>
    </row>
    <row r="39" spans="1:9" x14ac:dyDescent="0.2">
      <c r="B39" s="135" t="s">
        <v>811</v>
      </c>
      <c r="D39" s="213" t="str">
        <f>IF(E10&gt;0,"Y","N")</f>
        <v>N</v>
      </c>
      <c r="F39" s="297"/>
      <c r="I39" s="298"/>
    </row>
    <row r="40" spans="1:9" x14ac:dyDescent="0.2">
      <c r="B40" s="135"/>
      <c r="D40" s="213"/>
      <c r="F40" s="299"/>
      <c r="I40" s="298"/>
    </row>
    <row r="41" spans="1:9" x14ac:dyDescent="0.2">
      <c r="B41" s="135"/>
      <c r="D41" s="213"/>
      <c r="F41" s="300" t="s">
        <v>1766</v>
      </c>
      <c r="G41" s="301"/>
      <c r="I41" s="298"/>
    </row>
    <row r="42" spans="1:9" ht="12" thickBot="1" x14ac:dyDescent="0.25">
      <c r="B42" s="135"/>
      <c r="D42" s="213"/>
      <c r="F42" s="303">
        <v>5000</v>
      </c>
      <c r="G42" s="304" t="str">
        <f>IF(F42=0,"&lt;&lt;&lt;&lt;&lt; YOU HAVE NOT ENTERED YOUR CAPITALIZATION THRESHOLD!!","")</f>
        <v/>
      </c>
      <c r="H42" s="12"/>
      <c r="I42" s="302"/>
    </row>
    <row r="44" spans="1:9" ht="12" x14ac:dyDescent="0.2">
      <c r="A44" s="209"/>
      <c r="B44" s="210" t="s">
        <v>764</v>
      </c>
      <c r="C44" s="209"/>
      <c r="D44" s="209"/>
      <c r="E44" s="209"/>
      <c r="F44" s="209"/>
      <c r="G44" s="209"/>
      <c r="H44" s="209"/>
      <c r="I44" s="209"/>
    </row>
    <row r="45" spans="1:9" ht="12" x14ac:dyDescent="0.2">
      <c r="A45" s="209"/>
      <c r="B45" s="209" t="s">
        <v>888</v>
      </c>
      <c r="C45" s="209"/>
      <c r="D45" s="209"/>
      <c r="E45" s="209"/>
      <c r="F45" s="209"/>
      <c r="G45" s="209"/>
      <c r="H45" s="209"/>
      <c r="I45" s="209"/>
    </row>
    <row r="46" spans="1:9" ht="12" x14ac:dyDescent="0.2">
      <c r="A46" s="209"/>
      <c r="B46" s="209" t="s">
        <v>810</v>
      </c>
      <c r="C46" s="209"/>
      <c r="D46" s="209"/>
      <c r="E46" s="209"/>
      <c r="F46" s="209"/>
      <c r="G46" s="209"/>
      <c r="H46" s="209"/>
      <c r="I46" s="209"/>
    </row>
    <row r="47" spans="1:9" ht="12" x14ac:dyDescent="0.2">
      <c r="A47" s="209"/>
      <c r="B47" s="209"/>
      <c r="C47" s="209"/>
      <c r="D47" s="209"/>
      <c r="E47" s="209"/>
      <c r="F47" s="209"/>
      <c r="G47" s="209"/>
      <c r="H47" s="209"/>
      <c r="I47" s="209"/>
    </row>
    <row r="48" spans="1:9" ht="12" x14ac:dyDescent="0.2">
      <c r="A48" s="209"/>
      <c r="B48" s="209" t="s">
        <v>1773</v>
      </c>
      <c r="C48" s="209"/>
      <c r="D48" s="209"/>
      <c r="E48" s="209"/>
      <c r="F48" s="209"/>
      <c r="G48" s="209"/>
      <c r="H48" s="209"/>
      <c r="I48" s="209"/>
    </row>
    <row r="49" spans="1:9" ht="12" x14ac:dyDescent="0.2">
      <c r="A49" s="209"/>
      <c r="B49" s="209" t="s">
        <v>1772</v>
      </c>
      <c r="C49" s="209"/>
      <c r="D49" s="209"/>
      <c r="E49" s="209"/>
      <c r="F49" s="209"/>
      <c r="G49" s="209"/>
      <c r="H49" s="209"/>
      <c r="I49" s="209"/>
    </row>
    <row r="50" spans="1:9" ht="12" x14ac:dyDescent="0.2">
      <c r="A50" s="209"/>
      <c r="B50" s="209" t="s">
        <v>1771</v>
      </c>
      <c r="C50" s="209"/>
      <c r="D50" s="209"/>
      <c r="E50" s="209"/>
      <c r="F50" s="209"/>
      <c r="G50" s="209"/>
      <c r="H50" s="209"/>
      <c r="I50" s="209"/>
    </row>
    <row r="51" spans="1:9" ht="12" x14ac:dyDescent="0.2">
      <c r="A51" s="209"/>
      <c r="B51" s="209" t="s">
        <v>887</v>
      </c>
      <c r="C51" s="209"/>
      <c r="D51" s="209"/>
      <c r="E51" s="209"/>
      <c r="F51" s="209"/>
      <c r="G51" s="209"/>
      <c r="H51" s="209"/>
      <c r="I51" s="209"/>
    </row>
    <row r="52" spans="1:9" ht="12" x14ac:dyDescent="0.2">
      <c r="A52" s="209"/>
      <c r="B52" s="209" t="s">
        <v>1769</v>
      </c>
      <c r="C52" s="209"/>
      <c r="D52" s="209"/>
      <c r="E52" s="209"/>
      <c r="F52" s="209"/>
      <c r="G52" s="209"/>
      <c r="H52" s="209"/>
      <c r="I52" s="209"/>
    </row>
    <row r="53" spans="1:9" ht="12" x14ac:dyDescent="0.2">
      <c r="A53" s="209"/>
      <c r="B53" s="209"/>
      <c r="C53" s="209"/>
      <c r="D53" s="209"/>
      <c r="E53" s="209"/>
      <c r="F53" s="209"/>
      <c r="G53" s="209"/>
      <c r="H53" s="209"/>
      <c r="I53" s="209"/>
    </row>
    <row r="54" spans="1:9" ht="49.5" customHeight="1" x14ac:dyDescent="0.2">
      <c r="A54" s="209"/>
      <c r="B54" s="328" t="s">
        <v>1774</v>
      </c>
      <c r="C54" s="328"/>
      <c r="D54" s="328"/>
      <c r="E54" s="328"/>
      <c r="F54" s="328"/>
      <c r="G54" s="328"/>
      <c r="H54" s="328"/>
      <c r="I54" s="209"/>
    </row>
  </sheetData>
  <sheetProtection algorithmName="SHA-512" hashValue="l5o9trPS7/zdlEolBbxQtD38y8V8VkHJMzL8M4WPdwzoeq/6C5Bfdasf5UF9naY+Iwg8GfDbXhCsTsxII261Rg==" saltValue="+KCU+Xt9Qh5mac77iYNUaQ==" spinCount="100000" sheet="1" objects="1" scenarios="1"/>
  <mergeCells count="3">
    <mergeCell ref="F2:H2"/>
    <mergeCell ref="A1:H1"/>
    <mergeCell ref="B54:H54"/>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sheetPr>
  <dimension ref="A1:V727"/>
  <sheetViews>
    <sheetView zoomScaleNormal="100" workbookViewId="0">
      <selection activeCell="A16" sqref="A16"/>
    </sheetView>
  </sheetViews>
  <sheetFormatPr defaultRowHeight="11.25" x14ac:dyDescent="0.2"/>
  <cols>
    <col min="1" max="1" width="41.5" customWidth="1"/>
    <col min="2" max="2" width="22.33203125" customWidth="1"/>
    <col min="3" max="3" width="28.1640625" customWidth="1"/>
    <col min="4" max="4" width="19.33203125" customWidth="1"/>
    <col min="5" max="5" width="18" customWidth="1"/>
    <col min="6" max="6" width="20.33203125" customWidth="1"/>
    <col min="7" max="7" width="23.83203125" customWidth="1"/>
    <col min="8" max="8" width="19.1640625" customWidth="1"/>
    <col min="9" max="9" width="26.6640625" customWidth="1"/>
    <col min="10" max="10" width="39.83203125" customWidth="1"/>
    <col min="11" max="11" width="27.1640625" customWidth="1"/>
    <col min="12" max="12" width="26.6640625" customWidth="1"/>
    <col min="13" max="13" width="22.6640625" customWidth="1"/>
    <col min="14" max="14" width="18.83203125" customWidth="1"/>
    <col min="15" max="15" width="18.6640625" customWidth="1"/>
    <col min="16" max="16" width="15.1640625" customWidth="1"/>
    <col min="17" max="17" width="19.6640625" customWidth="1"/>
    <col min="18" max="18" width="19.5" style="31" customWidth="1"/>
    <col min="19" max="19" width="31.83203125" hidden="1" customWidth="1"/>
    <col min="20" max="20" width="16.6640625" customWidth="1"/>
  </cols>
  <sheetData>
    <row r="1" spans="1:22" ht="51.75" customHeight="1" x14ac:dyDescent="0.25">
      <c r="A1" t="s">
        <v>893</v>
      </c>
      <c r="B1" t="s">
        <v>894</v>
      </c>
      <c r="D1" s="32" t="s">
        <v>1546</v>
      </c>
      <c r="J1" s="314" t="s">
        <v>1797</v>
      </c>
      <c r="K1" s="314"/>
      <c r="L1" s="314"/>
      <c r="M1" s="314"/>
      <c r="N1" s="314"/>
      <c r="O1" s="329" t="s">
        <v>1802</v>
      </c>
      <c r="P1" s="330"/>
      <c r="Q1" s="330"/>
      <c r="R1" s="330"/>
      <c r="S1" s="330"/>
      <c r="T1" s="330"/>
      <c r="U1" s="330"/>
      <c r="V1" s="330"/>
    </row>
    <row r="2" spans="1:22" ht="15.75" customHeight="1" thickBot="1" x14ac:dyDescent="0.25">
      <c r="A2" s="220" t="str">
        <f>'DOE25'!A2</f>
        <v>Pembroke</v>
      </c>
      <c r="B2">
        <f>'DOE25'!B2</f>
        <v>427</v>
      </c>
      <c r="J2" s="223" t="s">
        <v>1799</v>
      </c>
      <c r="K2" s="308">
        <f>SUM('DOE25'!L198:L201)+SUM('DOE25'!L277:L280)</f>
        <v>11300562.664999999</v>
      </c>
      <c r="L2" s="308">
        <f>'DOE25'!L203+'DOE25'!L282</f>
        <v>978009.77</v>
      </c>
      <c r="M2" s="308">
        <f>'DOE25'!L204+'DOE25'!L283</f>
        <v>294029.21999999997</v>
      </c>
      <c r="N2" s="308">
        <f>'DOE25'!L206+'DOE25'!L285</f>
        <v>1055415.6599999999</v>
      </c>
      <c r="O2" s="316">
        <f>'Salaries-Benefits'!B10+'Salaries-Benefits'!B12+'Salaries-Benefits'!B19+'Salaries-Benefits'!B21+'Salaries-Benefits'!B28+'Salaries-Benefits'!B30+'Salaries-Benefits'!B37+'Salaries-Benefits'!B39</f>
        <v>9877730.1400000006</v>
      </c>
      <c r="P2" s="316">
        <f>'Salaries-Benefits'!B11+'Salaries-Benefits'!B20+'Salaries-Benefits'!B29+'Salaries-Benefits'!B38</f>
        <v>1101993.08</v>
      </c>
      <c r="R2"/>
      <c r="S2" t="str">
        <f>IFERROR(VLOOKUP(B2,#REF!,7,FALSE),"")</f>
        <v/>
      </c>
    </row>
    <row r="3" spans="1:22" ht="66" customHeight="1" thickBot="1" x14ac:dyDescent="0.3">
      <c r="A3" s="221" t="s">
        <v>1523</v>
      </c>
      <c r="B3" s="222"/>
      <c r="C3" s="222"/>
      <c r="D3" s="223" t="s">
        <v>1524</v>
      </c>
      <c r="E3" s="223" t="s">
        <v>1525</v>
      </c>
      <c r="F3" s="224" t="s">
        <v>1532</v>
      </c>
      <c r="G3" s="225" t="s">
        <v>1533</v>
      </c>
      <c r="H3" s="226" t="s">
        <v>1516</v>
      </c>
      <c r="I3" s="313" t="str">
        <f>IF(SUM('DOE25'!F576:F588)&lt;=(SUM('School Level Expenditures'!D5:E5)),"","ERROR!! Other District Expenditures Line Less Than Page 22 Elementary Tuition Total")</f>
        <v/>
      </c>
      <c r="J3" s="223" t="s">
        <v>1516</v>
      </c>
      <c r="K3" s="310">
        <f>K21-K2</f>
        <v>-4.9999989569187164E-3</v>
      </c>
      <c r="L3" s="310">
        <f t="shared" ref="L3:N3" si="0">L21-L2</f>
        <v>0</v>
      </c>
      <c r="M3" s="310">
        <f t="shared" si="0"/>
        <v>0</v>
      </c>
      <c r="N3" s="310">
        <f t="shared" si="0"/>
        <v>0</v>
      </c>
      <c r="O3" s="310">
        <f t="shared" ref="O3:P3" si="1">O21+O34+O45-O2</f>
        <v>0</v>
      </c>
      <c r="P3" s="310">
        <f t="shared" si="1"/>
        <v>0</v>
      </c>
      <c r="Q3" s="309"/>
      <c r="R3" s="305"/>
      <c r="S3" s="214"/>
      <c r="T3" s="214"/>
      <c r="U3" s="215"/>
    </row>
    <row r="4" spans="1:22" ht="85.5" customHeight="1" thickBot="1" x14ac:dyDescent="0.25">
      <c r="A4" s="223" t="s">
        <v>1514</v>
      </c>
      <c r="B4" s="223" t="s">
        <v>1515</v>
      </c>
      <c r="C4" s="223" t="s">
        <v>893</v>
      </c>
      <c r="D4" s="223" t="s">
        <v>783</v>
      </c>
      <c r="E4" s="223" t="s">
        <v>783</v>
      </c>
      <c r="F4" s="227">
        <f>SUM(F5:F20)</f>
        <v>15856082.925000001</v>
      </c>
      <c r="G4" s="228">
        <f>'DOE25'!L212+'DOE25'!L291</f>
        <v>15856082.924999997</v>
      </c>
      <c r="H4" s="263">
        <f>F4-G4</f>
        <v>0</v>
      </c>
      <c r="I4" s="313" t="str">
        <f>IF(H4=0,"","ERROR!! Please review pages 7 and 11 totals in comparison with total on this page")</f>
        <v/>
      </c>
      <c r="J4" s="223" t="s">
        <v>1514</v>
      </c>
      <c r="K4" s="306" t="s">
        <v>1776</v>
      </c>
      <c r="L4" s="306" t="s">
        <v>1775</v>
      </c>
      <c r="M4" s="306" t="s">
        <v>1779</v>
      </c>
      <c r="N4" s="306" t="s">
        <v>1780</v>
      </c>
      <c r="O4" s="306" t="s">
        <v>1803</v>
      </c>
      <c r="P4" s="306" t="s">
        <v>1804</v>
      </c>
      <c r="Q4" s="306" t="s">
        <v>1781</v>
      </c>
    </row>
    <row r="5" spans="1:22" x14ac:dyDescent="0.2">
      <c r="A5" s="71" t="s">
        <v>1798</v>
      </c>
      <c r="B5" s="229">
        <v>99991</v>
      </c>
      <c r="C5" s="222" t="s">
        <v>1531</v>
      </c>
      <c r="D5" s="219">
        <f>712607.47+495846.57</f>
        <v>1208454.04</v>
      </c>
      <c r="E5" s="219"/>
      <c r="F5" s="231">
        <f>D5+E5</f>
        <v>1208454.04</v>
      </c>
      <c r="G5" s="222"/>
      <c r="H5" s="222"/>
      <c r="J5" s="71" t="s">
        <v>1798</v>
      </c>
      <c r="K5" s="20"/>
      <c r="L5" s="20"/>
      <c r="M5" s="20"/>
      <c r="N5" s="20"/>
      <c r="O5" s="20"/>
      <c r="P5" s="20"/>
      <c r="Q5" s="20"/>
    </row>
    <row r="6" spans="1:22" x14ac:dyDescent="0.2">
      <c r="A6" t="str" cm="1">
        <f t="array" ref="A6">IFERROR(INDEX('School Tables'!$A$4:$G$365,'School Tables'!$J4,3),"")</f>
        <v>Pembroke Hill School</v>
      </c>
      <c r="B6" s="229">
        <f>IFERROR(VLOOKUP(A6,'School Tables'!$C$3:$D$365,2,FALSE),"")</f>
        <v>22615</v>
      </c>
      <c r="C6" s="222" t="str">
        <f>IFERROR(INDEX('School Tables'!$B$3:$B$365,MATCH('School Level Expenditures'!B6,'School Tables'!$D$3:$D$365,0)),"")</f>
        <v>Pembroke</v>
      </c>
      <c r="D6" s="219">
        <v>6864731.25</v>
      </c>
      <c r="E6" s="219">
        <f>845665.81/2</f>
        <v>422832.90500000003</v>
      </c>
      <c r="F6" s="231">
        <f t="shared" ref="F6:F20" si="2">D6+E6</f>
        <v>7287564.1550000003</v>
      </c>
      <c r="G6" s="222"/>
      <c r="H6" s="222"/>
      <c r="J6" t="str">
        <f t="shared" ref="J6:J20" si="3">A6</f>
        <v>Pembroke Hill School</v>
      </c>
      <c r="K6" s="20">
        <v>5533244.0599999996</v>
      </c>
      <c r="L6" s="20">
        <v>565435.80000000005</v>
      </c>
      <c r="M6" s="307">
        <v>132734.23000000001</v>
      </c>
      <c r="N6" s="20">
        <v>518658.31</v>
      </c>
      <c r="O6" s="20">
        <v>2562908.52</v>
      </c>
      <c r="P6" s="20">
        <v>366531.88</v>
      </c>
      <c r="Q6" s="20">
        <f>2372.04+1370.6</f>
        <v>3742.64</v>
      </c>
    </row>
    <row r="7" spans="1:22" x14ac:dyDescent="0.2">
      <c r="A7" t="str" cm="1">
        <f t="array" ref="A7">IFERROR(INDEX('School Tables'!$A$4:$G$365,'School Tables'!$J5,3),"")</f>
        <v>Three Rivers School</v>
      </c>
      <c r="B7" s="229">
        <f>IFERROR(VLOOKUP(A7,'School Tables'!$C$3:$D$365,2,FALSE),"")</f>
        <v>26925</v>
      </c>
      <c r="C7" s="222" t="str">
        <f>IFERROR(INDEX('School Tables'!$B$3:$B$365,MATCH('School Level Expenditures'!B7,'School Tables'!$D$3:$D$365,0)),"")</f>
        <v>Pembroke</v>
      </c>
      <c r="D7" s="219">
        <v>6937231.8200000003</v>
      </c>
      <c r="E7" s="219">
        <v>422832.91</v>
      </c>
      <c r="F7" s="231">
        <f t="shared" si="2"/>
        <v>7360064.7300000004</v>
      </c>
      <c r="G7" s="222"/>
      <c r="H7" s="222"/>
      <c r="J7" t="str">
        <f t="shared" si="3"/>
        <v>Three Rivers School</v>
      </c>
      <c r="K7" s="20">
        <v>5767318.5999999996</v>
      </c>
      <c r="L7" s="20">
        <v>412573.97</v>
      </c>
      <c r="M7" s="307">
        <v>161294.99</v>
      </c>
      <c r="N7" s="20">
        <v>536757.35</v>
      </c>
      <c r="O7" s="315">
        <v>2609886.9300000002</v>
      </c>
      <c r="P7" s="20">
        <v>263708.69</v>
      </c>
      <c r="Q7" s="20">
        <f>2671.38+2992.26</f>
        <v>5663.64</v>
      </c>
    </row>
    <row r="8" spans="1:22" x14ac:dyDescent="0.2">
      <c r="A8" t="str" cm="1">
        <f t="array" ref="A8">IFERROR(INDEX('School Tables'!$A$4:$G$365,'School Tables'!$J6,3),"")</f>
        <v/>
      </c>
      <c r="B8" s="229" t="str">
        <f>IFERROR(VLOOKUP(A8,'School Tables'!$C$3:$D$365,2,FALSE),"")</f>
        <v/>
      </c>
      <c r="C8" s="222" t="str">
        <f>IFERROR(INDEX('School Tables'!$B$3:$B$365,MATCH('School Level Expenditures'!B8,'School Tables'!$D$3:$D$365,0)),"")</f>
        <v/>
      </c>
      <c r="D8" s="219"/>
      <c r="E8" s="219"/>
      <c r="F8" s="231">
        <f t="shared" si="2"/>
        <v>0</v>
      </c>
      <c r="G8" s="222"/>
      <c r="H8" s="222"/>
      <c r="J8" t="str">
        <f t="shared" si="3"/>
        <v/>
      </c>
      <c r="K8" s="20"/>
      <c r="L8" s="20"/>
      <c r="M8" s="307"/>
      <c r="N8" s="20"/>
      <c r="O8" s="20"/>
      <c r="P8" s="20"/>
      <c r="Q8" s="20"/>
    </row>
    <row r="9" spans="1:22" x14ac:dyDescent="0.2">
      <c r="A9" t="str" cm="1">
        <f t="array" ref="A9">IFERROR(INDEX('School Tables'!$A$4:$G$365,'School Tables'!$J7,3),"")</f>
        <v/>
      </c>
      <c r="B9" s="229" t="str">
        <f>IFERROR(VLOOKUP(A9,'School Tables'!$C$3:$D$365,2,FALSE),"")</f>
        <v/>
      </c>
      <c r="C9" s="222" t="str">
        <f>IFERROR(INDEX('School Tables'!$B$3:$B$365,MATCH('School Level Expenditures'!B9,'School Tables'!$D$3:$D$365,0)),"")</f>
        <v/>
      </c>
      <c r="D9" s="219"/>
      <c r="E9" s="219"/>
      <c r="F9" s="231">
        <f t="shared" si="2"/>
        <v>0</v>
      </c>
      <c r="G9" s="222"/>
      <c r="H9" s="222"/>
      <c r="J9" t="str">
        <f t="shared" si="3"/>
        <v/>
      </c>
      <c r="K9" s="20"/>
      <c r="L9" s="20"/>
      <c r="M9" s="307"/>
      <c r="N9" s="20"/>
      <c r="O9" s="20"/>
      <c r="P9" s="20"/>
      <c r="Q9" s="20"/>
    </row>
    <row r="10" spans="1:22" x14ac:dyDescent="0.2">
      <c r="A10" t="str" cm="1">
        <f t="array" ref="A10">IFERROR(INDEX('School Tables'!$A$4:$G$365,'School Tables'!$J8,3),"")</f>
        <v/>
      </c>
      <c r="B10" s="229" t="str">
        <f>IFERROR(VLOOKUP(A10,'School Tables'!$C$3:$D$365,2,FALSE),"")</f>
        <v/>
      </c>
      <c r="C10" s="222" t="str">
        <f>IFERROR(INDEX('School Tables'!$B$3:$B$365,MATCH('School Level Expenditures'!B10,'School Tables'!$D$3:$D$365,0)),"")</f>
        <v/>
      </c>
      <c r="D10" s="219"/>
      <c r="E10" s="219"/>
      <c r="F10" s="231">
        <f t="shared" si="2"/>
        <v>0</v>
      </c>
      <c r="G10" s="222"/>
      <c r="H10" s="222"/>
      <c r="J10" t="str">
        <f t="shared" si="3"/>
        <v/>
      </c>
      <c r="K10" s="20"/>
      <c r="L10" s="20"/>
      <c r="M10" s="20"/>
      <c r="N10" s="20"/>
      <c r="O10" s="20"/>
      <c r="P10" s="20"/>
      <c r="Q10" s="20"/>
    </row>
    <row r="11" spans="1:22" x14ac:dyDescent="0.2">
      <c r="A11" t="str" cm="1">
        <f t="array" ref="A11">IFERROR(INDEX('School Tables'!$A$4:$G$365,'School Tables'!$J9,3),"")</f>
        <v/>
      </c>
      <c r="B11" s="229" t="str">
        <f>IFERROR(VLOOKUP(A11,'School Tables'!$C$3:$D$365,2,FALSE),"")</f>
        <v/>
      </c>
      <c r="C11" s="222" t="str">
        <f>IFERROR(INDEX('School Tables'!$B$3:$B$365,MATCH('School Level Expenditures'!B11,'School Tables'!$D$3:$D$365,0)),"")</f>
        <v/>
      </c>
      <c r="D11" s="219"/>
      <c r="E11" s="219"/>
      <c r="F11" s="231">
        <f t="shared" si="2"/>
        <v>0</v>
      </c>
      <c r="G11" s="222"/>
      <c r="H11" s="222"/>
      <c r="J11" t="str">
        <f t="shared" si="3"/>
        <v/>
      </c>
      <c r="K11" s="20"/>
      <c r="L11" s="20"/>
      <c r="M11" s="20"/>
      <c r="N11" s="20"/>
      <c r="O11" s="20"/>
      <c r="P11" s="20"/>
      <c r="Q11" s="20"/>
    </row>
    <row r="12" spans="1:22" x14ac:dyDescent="0.2">
      <c r="A12" t="str" cm="1">
        <f t="array" ref="A12">IFERROR(INDEX('School Tables'!$A$4:$G$365,'School Tables'!$J10,3),"")</f>
        <v/>
      </c>
      <c r="B12" s="229" t="str">
        <f>IFERROR(VLOOKUP(A12,'School Tables'!$C$3:$D$365,2,FALSE),"")</f>
        <v/>
      </c>
      <c r="C12" s="222" t="str">
        <f>IFERROR(INDEX('School Tables'!$B$3:$B$365,MATCH('School Level Expenditures'!B12,'School Tables'!$D$3:$D$365,0)),"")</f>
        <v/>
      </c>
      <c r="D12" s="219"/>
      <c r="E12" s="219"/>
      <c r="F12" s="231">
        <f t="shared" si="2"/>
        <v>0</v>
      </c>
      <c r="G12" s="222"/>
      <c r="H12" s="222"/>
      <c r="J12" t="str">
        <f t="shared" si="3"/>
        <v/>
      </c>
      <c r="K12" s="20"/>
      <c r="L12" s="20"/>
      <c r="M12" s="20"/>
      <c r="N12" s="20"/>
      <c r="O12" s="20"/>
      <c r="P12" s="20"/>
      <c r="Q12" s="20"/>
    </row>
    <row r="13" spans="1:22" x14ac:dyDescent="0.2">
      <c r="A13" t="str" cm="1">
        <f t="array" ref="A13">IFERROR(INDEX('School Tables'!$A$4:$G$365,'School Tables'!$J11,3),"")</f>
        <v/>
      </c>
      <c r="B13" s="229" t="str">
        <f>IFERROR(VLOOKUP(A13,'School Tables'!$C$3:$D$365,2,FALSE),"")</f>
        <v/>
      </c>
      <c r="C13" s="222" t="str">
        <f>IFERROR(INDEX('School Tables'!$B$3:$B$365,MATCH('School Level Expenditures'!B13,'School Tables'!$D$3:$D$365,0)),"")</f>
        <v/>
      </c>
      <c r="D13" s="219"/>
      <c r="E13" s="219"/>
      <c r="F13" s="231">
        <f t="shared" si="2"/>
        <v>0</v>
      </c>
      <c r="G13" s="222"/>
      <c r="H13" s="222"/>
      <c r="J13" t="str">
        <f t="shared" si="3"/>
        <v/>
      </c>
      <c r="K13" s="20"/>
      <c r="L13" s="20"/>
      <c r="M13" s="20"/>
      <c r="N13" s="20"/>
      <c r="O13" s="20"/>
      <c r="P13" s="20"/>
      <c r="Q13" s="20"/>
    </row>
    <row r="14" spans="1:22" x14ac:dyDescent="0.2">
      <c r="A14" t="str" cm="1">
        <f t="array" ref="A14">IFERROR(INDEX('School Tables'!$A$4:$G$365,'School Tables'!$J12,3),"")</f>
        <v/>
      </c>
      <c r="B14" s="229" t="str">
        <f>IFERROR(VLOOKUP(A14,'School Tables'!$C$3:$D$365,2,FALSE),"")</f>
        <v/>
      </c>
      <c r="C14" s="222" t="str">
        <f>IFERROR(INDEX('School Tables'!$B$3:$B$365,MATCH('School Level Expenditures'!B14,'School Tables'!$D$3:$D$365,0)),"")</f>
        <v/>
      </c>
      <c r="D14" s="219"/>
      <c r="E14" s="219"/>
      <c r="F14" s="231">
        <f t="shared" si="2"/>
        <v>0</v>
      </c>
      <c r="G14" s="222"/>
      <c r="H14" s="222"/>
      <c r="J14" t="str">
        <f t="shared" si="3"/>
        <v/>
      </c>
      <c r="K14" s="20"/>
      <c r="L14" s="20"/>
      <c r="M14" s="20"/>
      <c r="N14" s="20"/>
      <c r="O14" s="20"/>
      <c r="P14" s="20"/>
      <c r="Q14" s="20"/>
    </row>
    <row r="15" spans="1:22" x14ac:dyDescent="0.2">
      <c r="A15" t="str" cm="1">
        <f t="array" ref="A15">IFERROR(INDEX('School Tables'!$A$4:$G$365,'School Tables'!$J13,3),"")</f>
        <v/>
      </c>
      <c r="B15" s="229" t="str">
        <f>IFERROR(VLOOKUP(A15,'School Tables'!$C$3:$D$365,2,FALSE),"")</f>
        <v/>
      </c>
      <c r="C15" s="222" t="str">
        <f>IFERROR(INDEX('School Tables'!$B$3:$B$365,MATCH('School Level Expenditures'!B15,'School Tables'!$D$3:$D$365,0)),"")</f>
        <v/>
      </c>
      <c r="D15" s="219"/>
      <c r="E15" s="219"/>
      <c r="F15" s="231">
        <f t="shared" si="2"/>
        <v>0</v>
      </c>
      <c r="G15" s="222"/>
      <c r="H15" s="222"/>
      <c r="J15" t="str">
        <f t="shared" si="3"/>
        <v/>
      </c>
      <c r="K15" s="20"/>
      <c r="L15" s="20"/>
      <c r="M15" s="20"/>
      <c r="N15" s="20"/>
      <c r="O15" s="20"/>
      <c r="P15" s="20"/>
      <c r="Q15" s="20"/>
    </row>
    <row r="16" spans="1:22" x14ac:dyDescent="0.2">
      <c r="A16" t="str" cm="1">
        <f t="array" ref="A16">IFERROR(INDEX('School Tables'!$A$4:$G$365,'School Tables'!$J14,3),"")</f>
        <v/>
      </c>
      <c r="B16" s="229" t="str">
        <f>IFERROR(VLOOKUP(A16,'School Tables'!$C$3:$D$365,2,FALSE),"")</f>
        <v/>
      </c>
      <c r="C16" s="222" t="str">
        <f>IFERROR(INDEX('School Tables'!$B$3:$B$365,MATCH('School Level Expenditures'!B16,'School Tables'!$D$3:$D$365,0)),"")</f>
        <v/>
      </c>
      <c r="D16" s="219"/>
      <c r="E16" s="219"/>
      <c r="F16" s="231">
        <f t="shared" si="2"/>
        <v>0</v>
      </c>
      <c r="G16" s="222"/>
      <c r="H16" s="222"/>
      <c r="J16" t="str">
        <f t="shared" si="3"/>
        <v/>
      </c>
      <c r="K16" s="20"/>
      <c r="L16" s="20"/>
      <c r="M16" s="20"/>
      <c r="N16" s="20"/>
      <c r="O16" s="20"/>
      <c r="P16" s="20"/>
      <c r="Q16" s="20"/>
    </row>
    <row r="17" spans="1:17" x14ac:dyDescent="0.2">
      <c r="A17" t="str" cm="1">
        <f t="array" ref="A17">IFERROR(INDEX('School Tables'!$A$4:$G$365,'School Tables'!$J15,3),"")</f>
        <v/>
      </c>
      <c r="B17" s="229" t="str">
        <f>IFERROR(VLOOKUP(A17,'School Tables'!$C$3:$D$365,2,FALSE),"")</f>
        <v/>
      </c>
      <c r="C17" s="222" t="str">
        <f>IFERROR(INDEX('School Tables'!$B$3:$B$365,MATCH('School Level Expenditures'!B17,'School Tables'!$D$3:$D$365,0)),"")</f>
        <v/>
      </c>
      <c r="D17" s="219"/>
      <c r="E17" s="219"/>
      <c r="F17" s="231">
        <f t="shared" si="2"/>
        <v>0</v>
      </c>
      <c r="G17" s="222"/>
      <c r="H17" s="222"/>
      <c r="J17" t="str">
        <f t="shared" si="3"/>
        <v/>
      </c>
      <c r="K17" s="20"/>
      <c r="L17" s="20"/>
      <c r="M17" s="20"/>
      <c r="N17" s="20"/>
      <c r="O17" s="20"/>
      <c r="P17" s="20"/>
      <c r="Q17" s="20"/>
    </row>
    <row r="18" spans="1:17" x14ac:dyDescent="0.2">
      <c r="A18" t="str" cm="1">
        <f t="array" ref="A18">IFERROR(INDEX('School Tables'!$A$4:$G$365,'School Tables'!$J16,3),"")</f>
        <v/>
      </c>
      <c r="B18" s="229" t="str">
        <f>IFERROR(VLOOKUP(A18,'School Tables'!$C$3:$D$365,2,FALSE),"")</f>
        <v/>
      </c>
      <c r="C18" s="222" t="str">
        <f>IFERROR(INDEX('School Tables'!$B$3:$B$365,MATCH('School Level Expenditures'!B18,'School Tables'!$D$3:$D$365,0)),"")</f>
        <v/>
      </c>
      <c r="D18" s="219"/>
      <c r="E18" s="219"/>
      <c r="F18" s="231">
        <f t="shared" si="2"/>
        <v>0</v>
      </c>
      <c r="G18" s="222"/>
      <c r="H18" s="222"/>
      <c r="J18" t="str">
        <f t="shared" si="3"/>
        <v/>
      </c>
      <c r="K18" s="20"/>
      <c r="L18" s="20"/>
      <c r="M18" s="20"/>
      <c r="N18" s="20"/>
      <c r="O18" s="20"/>
      <c r="P18" s="20"/>
      <c r="Q18" s="20"/>
    </row>
    <row r="19" spans="1:17" x14ac:dyDescent="0.2">
      <c r="A19" t="str" cm="1">
        <f t="array" ref="A19">IFERROR(INDEX('School Tables'!$A$4:$G$365,'School Tables'!$J17,3),"")</f>
        <v/>
      </c>
      <c r="B19" s="229" t="str">
        <f>IFERROR(VLOOKUP(A19,'School Tables'!$C$3:$D$365,2,FALSE),"")</f>
        <v/>
      </c>
      <c r="C19" s="222" t="str">
        <f>IFERROR(INDEX('School Tables'!$B$3:$B$365,MATCH('School Level Expenditures'!B19,'School Tables'!$D$3:$D$365,0)),"")</f>
        <v/>
      </c>
      <c r="D19" s="219"/>
      <c r="E19" s="219"/>
      <c r="F19" s="231">
        <f t="shared" si="2"/>
        <v>0</v>
      </c>
      <c r="G19" s="222"/>
      <c r="H19" s="222"/>
      <c r="J19" t="str">
        <f t="shared" si="3"/>
        <v/>
      </c>
      <c r="K19" s="20"/>
      <c r="L19" s="20"/>
      <c r="M19" s="20"/>
      <c r="N19" s="20"/>
      <c r="O19" s="20"/>
      <c r="P19" s="20"/>
      <c r="Q19" s="20"/>
    </row>
    <row r="20" spans="1:17" x14ac:dyDescent="0.2">
      <c r="A20" t="str" cm="1">
        <f t="array" ref="A20">IFERROR(INDEX('School Tables'!$A$4:$G$365,'School Tables'!$J18,3),"")</f>
        <v/>
      </c>
      <c r="B20" s="229" t="str">
        <f>IFERROR(VLOOKUP(A20,'School Tables'!$C$3:$D$365,2,FALSE),"")</f>
        <v/>
      </c>
      <c r="C20" s="222" t="str">
        <f>IFERROR(INDEX('School Tables'!$B$3:$B$365,MATCH('School Level Expenditures'!B20,'School Tables'!$D$3:$D$365,0)),"")</f>
        <v/>
      </c>
      <c r="D20" s="219"/>
      <c r="E20" s="219"/>
      <c r="F20" s="231">
        <f t="shared" si="2"/>
        <v>0</v>
      </c>
      <c r="G20" s="222"/>
      <c r="H20" s="222"/>
      <c r="J20" t="str">
        <f t="shared" si="3"/>
        <v/>
      </c>
      <c r="K20" s="20"/>
      <c r="L20" s="20"/>
      <c r="M20" s="20"/>
      <c r="N20" s="20"/>
      <c r="O20" s="20"/>
      <c r="P20" s="20"/>
      <c r="Q20" s="20"/>
    </row>
    <row r="21" spans="1:17" ht="12" thickBot="1" x14ac:dyDescent="0.25">
      <c r="B21" s="230"/>
      <c r="C21" s="216"/>
      <c r="D21" s="261">
        <f>SUM(D5:D20)</f>
        <v>15010417.109999999</v>
      </c>
      <c r="E21" s="261">
        <f>SUM(E5:E20)</f>
        <v>845665.81499999994</v>
      </c>
      <c r="F21" s="216"/>
      <c r="G21" s="216"/>
      <c r="H21" s="216"/>
      <c r="K21" s="262">
        <f t="shared" ref="K21:Q21" si="4">SUM(K5:K20)</f>
        <v>11300562.66</v>
      </c>
      <c r="L21" s="262">
        <f t="shared" si="4"/>
        <v>978009.77</v>
      </c>
      <c r="M21" s="262">
        <f t="shared" si="4"/>
        <v>294029.21999999997</v>
      </c>
      <c r="N21" s="262">
        <f t="shared" si="4"/>
        <v>1055415.6599999999</v>
      </c>
      <c r="O21" s="262">
        <f t="shared" si="4"/>
        <v>5172795.45</v>
      </c>
      <c r="P21" s="262">
        <f t="shared" si="4"/>
        <v>630240.57000000007</v>
      </c>
      <c r="Q21" s="262">
        <f t="shared" si="4"/>
        <v>9406.2800000000007</v>
      </c>
    </row>
    <row r="22" spans="1:17" ht="12" thickTop="1" x14ac:dyDescent="0.2">
      <c r="B22" s="230"/>
      <c r="C22" s="216"/>
      <c r="D22" s="219"/>
      <c r="E22" s="219"/>
      <c r="F22" s="216"/>
      <c r="G22" s="216"/>
      <c r="H22" s="216"/>
      <c r="K22" s="309"/>
      <c r="L22" s="309"/>
      <c r="M22" s="309"/>
      <c r="N22" s="309"/>
      <c r="O22" s="309"/>
      <c r="P22" s="309"/>
      <c r="Q22" s="309"/>
    </row>
    <row r="23" spans="1:17" ht="27.75" customHeight="1" thickBot="1" x14ac:dyDescent="0.25">
      <c r="B23" s="230"/>
      <c r="C23" s="216"/>
      <c r="D23" s="219"/>
      <c r="E23" s="219"/>
      <c r="F23" s="216"/>
      <c r="G23" s="216"/>
      <c r="H23" s="216"/>
      <c r="J23" s="223" t="s">
        <v>1800</v>
      </c>
      <c r="K23" s="19">
        <f>SUM('DOE25'!L216:L219)+SUM('DOE25'!L296:L299)</f>
        <v>0</v>
      </c>
      <c r="L23" s="19">
        <f>'DOE25'!L221+'DOE25'!L301</f>
        <v>0</v>
      </c>
      <c r="M23" s="19">
        <f>'DOE25'!L222+'DOE25'!L302</f>
        <v>0</v>
      </c>
      <c r="N23" s="19">
        <f>'DOE25'!L224+'DOE25'!L304</f>
        <v>0</v>
      </c>
    </row>
    <row r="24" spans="1:17" ht="63" customHeight="1" x14ac:dyDescent="0.25">
      <c r="A24" s="221" t="s">
        <v>1526</v>
      </c>
      <c r="B24" s="222"/>
      <c r="C24" s="222"/>
      <c r="D24" s="223" t="s">
        <v>1524</v>
      </c>
      <c r="E24" s="223" t="s">
        <v>1525</v>
      </c>
      <c r="F24" s="224" t="s">
        <v>1532</v>
      </c>
      <c r="G24" s="225" t="s">
        <v>1534</v>
      </c>
      <c r="H24" s="226" t="s">
        <v>1516</v>
      </c>
      <c r="I24" s="313" t="str">
        <f>IF(SUM('DOE25'!G576:G588)&lt;=(SUM('School Level Expenditures'!D26:E26)),"","ERROR!! Other District Expenditures Line Less Than Page 22 Middle School Tuition Total")</f>
        <v/>
      </c>
      <c r="J24" s="223" t="s">
        <v>1516</v>
      </c>
      <c r="K24" s="310">
        <f>K34-K23</f>
        <v>0</v>
      </c>
      <c r="L24" s="310">
        <f t="shared" ref="L24:N24" si="5">L34-L23</f>
        <v>0</v>
      </c>
      <c r="M24" s="310">
        <f t="shared" si="5"/>
        <v>0</v>
      </c>
      <c r="N24" s="310">
        <f t="shared" si="5"/>
        <v>0</v>
      </c>
    </row>
    <row r="25" spans="1:17" ht="61.5" customHeight="1" thickBot="1" x14ac:dyDescent="0.25">
      <c r="A25" s="223" t="s">
        <v>1527</v>
      </c>
      <c r="B25" s="223" t="s">
        <v>1528</v>
      </c>
      <c r="C25" s="223" t="s">
        <v>893</v>
      </c>
      <c r="D25" s="223" t="s">
        <v>783</v>
      </c>
      <c r="E25" s="223" t="s">
        <v>783</v>
      </c>
      <c r="F25" s="232">
        <f>SUM(F26:F33)</f>
        <v>0</v>
      </c>
      <c r="G25" s="228">
        <f>'DOE25'!L230+'DOE25'!L310</f>
        <v>0</v>
      </c>
      <c r="H25" s="263">
        <f>F25-G25</f>
        <v>0</v>
      </c>
      <c r="I25" s="313" t="str">
        <f>IF(H25=0,"","ERROR!! Please review pages 8 and 12 totals in comparison with total on this page")</f>
        <v/>
      </c>
      <c r="J25" s="223" t="s">
        <v>1527</v>
      </c>
      <c r="K25" s="306" t="s">
        <v>1776</v>
      </c>
      <c r="L25" s="306" t="s">
        <v>1775</v>
      </c>
      <c r="M25" s="306" t="s">
        <v>1779</v>
      </c>
      <c r="N25" s="306" t="s">
        <v>1780</v>
      </c>
      <c r="O25" s="306" t="s">
        <v>1778</v>
      </c>
      <c r="P25" s="306" t="s">
        <v>1777</v>
      </c>
      <c r="Q25" s="306" t="s">
        <v>1781</v>
      </c>
    </row>
    <row r="26" spans="1:17" x14ac:dyDescent="0.2">
      <c r="A26" s="71" t="s">
        <v>1798</v>
      </c>
      <c r="B26" s="229">
        <v>99992</v>
      </c>
      <c r="C26" s="222" t="s">
        <v>1531</v>
      </c>
      <c r="D26" s="219"/>
      <c r="E26" s="219"/>
      <c r="F26" s="231">
        <f>D26+E26</f>
        <v>0</v>
      </c>
      <c r="G26" s="222"/>
      <c r="H26" s="222"/>
      <c r="J26" s="71" t="s">
        <v>1798</v>
      </c>
      <c r="K26" s="315"/>
      <c r="L26" s="315"/>
      <c r="M26" s="315"/>
      <c r="N26" s="315"/>
      <c r="O26" s="315"/>
      <c r="P26" s="315"/>
      <c r="Q26" s="315"/>
    </row>
    <row r="27" spans="1:17" x14ac:dyDescent="0.2">
      <c r="A27" t="str" cm="1">
        <f t="array" ref="A27">IFERROR(INDEX('School Tables'!$L$4:$R$100,'School Tables'!$U4,3),"")</f>
        <v/>
      </c>
      <c r="B27" s="229" t="str">
        <f>IFERROR(VLOOKUP(A27,'School Tables'!$N$4:$O$100,2,FALSE),"")</f>
        <v/>
      </c>
      <c r="C27" s="222" t="str">
        <f>IFERROR(INDEX('School Tables'!$M$4:$M$100,MATCH('School Level Expenditures'!A27,'School Tables'!$N$4:$N$100,0)),"")</f>
        <v/>
      </c>
      <c r="D27" s="219"/>
      <c r="E27" s="219"/>
      <c r="F27" s="231">
        <f t="shared" ref="F27:F33" si="6">D27+E27</f>
        <v>0</v>
      </c>
      <c r="G27" s="222"/>
      <c r="H27" s="222"/>
      <c r="J27" t="str">
        <f t="shared" ref="J27:J33" si="7">A27</f>
        <v/>
      </c>
      <c r="K27" s="20"/>
      <c r="L27" s="20"/>
      <c r="M27" s="307"/>
      <c r="N27" s="20"/>
      <c r="O27" s="20"/>
      <c r="P27" s="20"/>
      <c r="Q27" s="20"/>
    </row>
    <row r="28" spans="1:17" x14ac:dyDescent="0.2">
      <c r="A28" t="str" cm="1">
        <f t="array" ref="A28">IFERROR(INDEX('School Tables'!$L$4:$R$100,'School Tables'!$U5,3),"")</f>
        <v/>
      </c>
      <c r="B28" s="229" t="str">
        <f>IFERROR(VLOOKUP(A28,'School Tables'!$N$4:$O$100,2,FALSE),"")</f>
        <v/>
      </c>
      <c r="C28" s="222" t="str">
        <f>IFERROR(INDEX('School Tables'!$M$4:$M$100,MATCH('School Level Expenditures'!A28,'School Tables'!$N$4:$N$100,0)),"")</f>
        <v/>
      </c>
      <c r="D28" s="219"/>
      <c r="E28" s="219"/>
      <c r="F28" s="231">
        <f t="shared" si="6"/>
        <v>0</v>
      </c>
      <c r="G28" s="222"/>
      <c r="H28" s="222"/>
      <c r="J28" t="str">
        <f t="shared" si="7"/>
        <v/>
      </c>
      <c r="K28" s="20"/>
      <c r="L28" s="20"/>
      <c r="M28" s="20"/>
      <c r="N28" s="20"/>
      <c r="O28" s="20"/>
      <c r="P28" s="20"/>
      <c r="Q28" s="20"/>
    </row>
    <row r="29" spans="1:17" x14ac:dyDescent="0.2">
      <c r="A29" t="str" cm="1">
        <f t="array" ref="A29">IFERROR(INDEX('School Tables'!$L$4:$R$100,'School Tables'!$U6,3),"")</f>
        <v/>
      </c>
      <c r="B29" s="229" t="str">
        <f>IFERROR(VLOOKUP(A29,'School Tables'!$N$4:$O$100,2,FALSE),"")</f>
        <v/>
      </c>
      <c r="C29" s="222" t="str">
        <f>IFERROR(INDEX('School Tables'!$M$4:$M$100,MATCH('School Level Expenditures'!A29,'School Tables'!$N$4:$N$100,0)),"")</f>
        <v/>
      </c>
      <c r="D29" s="219"/>
      <c r="E29" s="219"/>
      <c r="F29" s="231">
        <f t="shared" si="6"/>
        <v>0</v>
      </c>
      <c r="G29" s="222"/>
      <c r="H29" s="222"/>
      <c r="J29" t="str">
        <f t="shared" si="7"/>
        <v/>
      </c>
      <c r="K29" s="20"/>
      <c r="L29" s="20"/>
      <c r="M29" s="20"/>
      <c r="N29" s="20"/>
      <c r="O29" s="20"/>
      <c r="P29" s="20"/>
      <c r="Q29" s="20"/>
    </row>
    <row r="30" spans="1:17" x14ac:dyDescent="0.2">
      <c r="A30" t="str" cm="1">
        <f t="array" ref="A30">IFERROR(INDEX('School Tables'!$L$4:$R$100,'School Tables'!$U7,3),"")</f>
        <v/>
      </c>
      <c r="B30" s="229" t="str">
        <f>IFERROR(VLOOKUP(A30,'School Tables'!$N$4:$O$100,2,FALSE),"")</f>
        <v/>
      </c>
      <c r="C30" s="222" t="str">
        <f>IFERROR(INDEX('School Tables'!$M$4:$M$100,MATCH('School Level Expenditures'!A30,'School Tables'!$N$4:$N$100,0)),"")</f>
        <v/>
      </c>
      <c r="D30" s="219"/>
      <c r="E30" s="219"/>
      <c r="F30" s="231">
        <f t="shared" si="6"/>
        <v>0</v>
      </c>
      <c r="G30" s="222"/>
      <c r="H30" s="222"/>
      <c r="J30" t="str">
        <f t="shared" si="7"/>
        <v/>
      </c>
      <c r="K30" s="20"/>
      <c r="L30" s="20"/>
      <c r="M30" s="20"/>
      <c r="N30" s="20"/>
      <c r="O30" s="20"/>
      <c r="P30" s="20"/>
      <c r="Q30" s="20"/>
    </row>
    <row r="31" spans="1:17" x14ac:dyDescent="0.2">
      <c r="A31" t="str" cm="1">
        <f t="array" ref="A31">IFERROR(INDEX('School Tables'!$L$4:$R$100,'School Tables'!$U8,3),"")</f>
        <v/>
      </c>
      <c r="B31" s="229" t="str">
        <f>IFERROR(VLOOKUP(A31,'School Tables'!$N$4:$O$100,2,FALSE),"")</f>
        <v/>
      </c>
      <c r="C31" s="222" t="str">
        <f>IFERROR(INDEX('School Tables'!$M$4:$M$100,MATCH('School Level Expenditures'!A31,'School Tables'!$N$4:$N$100,0)),"")</f>
        <v/>
      </c>
      <c r="D31" s="219"/>
      <c r="E31" s="219"/>
      <c r="F31" s="231">
        <f t="shared" si="6"/>
        <v>0</v>
      </c>
      <c r="G31" s="222"/>
      <c r="H31" s="222"/>
      <c r="J31" t="str">
        <f t="shared" si="7"/>
        <v/>
      </c>
      <c r="K31" s="20"/>
      <c r="L31" s="20"/>
      <c r="M31" s="20"/>
      <c r="N31" s="20"/>
      <c r="O31" s="20"/>
      <c r="P31" s="20"/>
      <c r="Q31" s="20"/>
    </row>
    <row r="32" spans="1:17" x14ac:dyDescent="0.2">
      <c r="A32" t="str" cm="1">
        <f t="array" ref="A32">IFERROR(INDEX('School Tables'!$L$4:$R$100,'School Tables'!$U9,3),"")</f>
        <v/>
      </c>
      <c r="B32" s="229" t="str">
        <f>IFERROR(VLOOKUP(A32,'School Tables'!$N$4:$O$100,2,FALSE),"")</f>
        <v/>
      </c>
      <c r="C32" s="222" t="str">
        <f>IFERROR(INDEX('School Tables'!$M$4:$M$100,MATCH('School Level Expenditures'!A32,'School Tables'!$N$4:$N$100,0)),"")</f>
        <v/>
      </c>
      <c r="D32" s="219"/>
      <c r="E32" s="219"/>
      <c r="F32" s="231">
        <f t="shared" si="6"/>
        <v>0</v>
      </c>
      <c r="G32" s="222"/>
      <c r="H32" s="222"/>
      <c r="J32" t="str">
        <f t="shared" si="7"/>
        <v/>
      </c>
      <c r="K32" s="20"/>
      <c r="L32" s="20"/>
      <c r="M32" s="20"/>
      <c r="N32" s="20"/>
      <c r="O32" s="20"/>
      <c r="P32" s="20"/>
      <c r="Q32" s="20"/>
    </row>
    <row r="33" spans="1:17" x14ac:dyDescent="0.2">
      <c r="A33" t="str" cm="1">
        <f t="array" ref="A33">IFERROR(INDEX('School Tables'!$L$4:$R$100,'School Tables'!$U10,3),"")</f>
        <v/>
      </c>
      <c r="B33" s="229" t="str">
        <f>IFERROR(VLOOKUP(A33,'School Tables'!$N$4:$O$100,2,FALSE),"")</f>
        <v/>
      </c>
      <c r="C33" s="222" t="str">
        <f t="array" ref="C33">IFERROR(INDEX('School Tables'!$K$3:$K$80,MATCH('School Level Expenditures'!B33,'School Tables'!$M$3:$M$79,0)),"")</f>
        <v/>
      </c>
      <c r="D33" s="219"/>
      <c r="E33" s="219"/>
      <c r="F33" s="231">
        <f t="shared" si="6"/>
        <v>0</v>
      </c>
      <c r="G33" s="222"/>
      <c r="H33" s="222"/>
      <c r="J33" t="str">
        <f t="shared" si="7"/>
        <v/>
      </c>
      <c r="K33" s="20"/>
      <c r="L33" s="20"/>
      <c r="M33" s="20"/>
      <c r="N33" s="20"/>
      <c r="O33" s="20"/>
      <c r="P33" s="20"/>
      <c r="Q33" s="20"/>
    </row>
    <row r="34" spans="1:17" ht="12" thickBot="1" x14ac:dyDescent="0.25">
      <c r="B34" s="230"/>
      <c r="C34" s="216"/>
      <c r="D34" s="261">
        <f>SUM(D26:D33)</f>
        <v>0</v>
      </c>
      <c r="E34" s="261">
        <f>SUM(E26:E33)</f>
        <v>0</v>
      </c>
      <c r="F34" s="216"/>
      <c r="G34" s="216"/>
      <c r="H34" s="216"/>
      <c r="K34" s="262">
        <f t="shared" ref="K34:Q34" si="8">SUM(K26:K33)</f>
        <v>0</v>
      </c>
      <c r="L34" s="262">
        <f t="shared" si="8"/>
        <v>0</v>
      </c>
      <c r="M34" s="262">
        <f t="shared" si="8"/>
        <v>0</v>
      </c>
      <c r="N34" s="262">
        <f t="shared" si="8"/>
        <v>0</v>
      </c>
      <c r="O34" s="262">
        <f t="shared" si="8"/>
        <v>0</v>
      </c>
      <c r="P34" s="262">
        <f t="shared" si="8"/>
        <v>0</v>
      </c>
      <c r="Q34" s="262">
        <f t="shared" si="8"/>
        <v>0</v>
      </c>
    </row>
    <row r="35" spans="1:17" ht="12" thickTop="1" x14ac:dyDescent="0.2">
      <c r="B35" s="230"/>
      <c r="C35" s="216"/>
      <c r="D35" s="219"/>
      <c r="E35" s="219"/>
      <c r="F35" s="216"/>
      <c r="G35" s="216"/>
      <c r="H35" s="216"/>
      <c r="K35" s="309"/>
      <c r="L35" s="309"/>
      <c r="M35" s="309"/>
      <c r="N35" s="309"/>
      <c r="O35" s="309"/>
      <c r="P35" s="309"/>
      <c r="Q35" s="309"/>
    </row>
    <row r="36" spans="1:17" ht="26.25" customHeight="1" thickBot="1" x14ac:dyDescent="0.25">
      <c r="B36" s="230"/>
      <c r="C36" s="216"/>
      <c r="D36" s="219"/>
      <c r="E36" s="219"/>
      <c r="F36" s="216"/>
      <c r="G36" s="216"/>
      <c r="H36" s="216"/>
      <c r="J36" s="223" t="s">
        <v>1801</v>
      </c>
      <c r="K36" s="19">
        <f>SUM('DOE25'!L234:L237)+SUM('DOE25'!L315:L318)</f>
        <v>9209424.9149999991</v>
      </c>
      <c r="L36" s="19">
        <f>'DOE25'!L239+'DOE25'!L320</f>
        <v>863437.92</v>
      </c>
      <c r="M36" s="19">
        <f>'DOE25'!L240+'DOE25'!L321</f>
        <v>181186.5</v>
      </c>
      <c r="N36" s="19">
        <f>'DOE25'!L242+'DOE25'!L323</f>
        <v>1374758.9800000002</v>
      </c>
    </row>
    <row r="37" spans="1:17" ht="65.25" customHeight="1" x14ac:dyDescent="0.25">
      <c r="A37" s="217" t="s">
        <v>367</v>
      </c>
      <c r="B37" s="222"/>
      <c r="C37" s="222"/>
      <c r="D37" s="223" t="s">
        <v>1524</v>
      </c>
      <c r="E37" s="223" t="s">
        <v>1525</v>
      </c>
      <c r="F37" s="224" t="s">
        <v>1532</v>
      </c>
      <c r="G37" s="225" t="s">
        <v>1535</v>
      </c>
      <c r="H37" s="226" t="s">
        <v>1516</v>
      </c>
      <c r="I37" s="313" t="str">
        <f>IF(SUM('DOE25'!H576:H588)&lt;=(SUM('School Level Expenditures'!D39:E39)),"","ERROR!! Other District Expenditures Line Less Than Page 22 High School Tuition Total")</f>
        <v/>
      </c>
      <c r="J37" s="223" t="s">
        <v>1516</v>
      </c>
      <c r="K37" s="310">
        <f>K45-K36</f>
        <v>-4.9999989569187164E-3</v>
      </c>
      <c r="L37" s="310">
        <f t="shared" ref="L37:N37" si="9">L45-L36</f>
        <v>0</v>
      </c>
      <c r="M37" s="310">
        <f t="shared" si="9"/>
        <v>0</v>
      </c>
      <c r="N37" s="310">
        <f t="shared" si="9"/>
        <v>0</v>
      </c>
    </row>
    <row r="38" spans="1:17" ht="63.75" customHeight="1" thickBot="1" x14ac:dyDescent="0.25">
      <c r="A38" s="218" t="s">
        <v>1529</v>
      </c>
      <c r="B38" s="223" t="s">
        <v>1530</v>
      </c>
      <c r="C38" s="223" t="s">
        <v>893</v>
      </c>
      <c r="D38" s="223" t="s">
        <v>783</v>
      </c>
      <c r="E38" s="223" t="s">
        <v>783</v>
      </c>
      <c r="F38" s="232">
        <f>SUM(F39:F44)</f>
        <v>13627427.735000001</v>
      </c>
      <c r="G38" s="228">
        <f>'DOE25'!L248+'DOE25'!L329</f>
        <v>13627427.735000001</v>
      </c>
      <c r="H38" s="263">
        <f>F38-G38</f>
        <v>0</v>
      </c>
      <c r="I38" s="313" t="str">
        <f>IF(H38=0,"","ERROR!! Please review pages 9 and 13 totals in comparison with total on this page")</f>
        <v/>
      </c>
      <c r="J38" s="223" t="s">
        <v>1529</v>
      </c>
      <c r="K38" s="306" t="s">
        <v>1776</v>
      </c>
      <c r="L38" s="306" t="s">
        <v>1775</v>
      </c>
      <c r="M38" s="306" t="s">
        <v>1779</v>
      </c>
      <c r="N38" s="306" t="s">
        <v>1780</v>
      </c>
      <c r="O38" s="306" t="s">
        <v>1778</v>
      </c>
      <c r="P38" s="306" t="s">
        <v>1777</v>
      </c>
      <c r="Q38" s="306" t="s">
        <v>1781</v>
      </c>
    </row>
    <row r="39" spans="1:17" x14ac:dyDescent="0.2">
      <c r="A39" s="71" t="s">
        <v>1798</v>
      </c>
      <c r="B39" s="229">
        <v>99993</v>
      </c>
      <c r="C39" s="222" t="s">
        <v>1531</v>
      </c>
      <c r="D39" s="219">
        <v>705585.78</v>
      </c>
      <c r="E39" s="219"/>
      <c r="F39" s="231">
        <f t="shared" ref="F39:F44" si="10">D39+E39</f>
        <v>705585.78</v>
      </c>
      <c r="G39" s="222"/>
      <c r="H39" s="222"/>
      <c r="J39" s="71" t="s">
        <v>1798</v>
      </c>
      <c r="K39" s="315"/>
      <c r="L39" s="315"/>
      <c r="M39" s="315"/>
      <c r="N39" s="315"/>
      <c r="O39" s="315"/>
      <c r="P39" s="315"/>
      <c r="Q39" s="315"/>
    </row>
    <row r="40" spans="1:17" x14ac:dyDescent="0.2">
      <c r="A40" t="str" cm="1">
        <f t="array" ref="A40">IFERROR(INDEX('School Tables'!$W$4:$AC$120,'School Tables'!$AF4,3),"")</f>
        <v>Pembroke Academy</v>
      </c>
      <c r="B40" s="229">
        <f>IFERROR(VLOOKUP(A40,'School Tables'!$Y$4:$Z$120,2,FALSE),"")</f>
        <v>22620</v>
      </c>
      <c r="C40" s="222" t="str">
        <f>IFERROR(INDEX('School Tables'!$X$4:$X$120,MATCH('School Level Expenditures'!A40,'School Tables'!$Y$4:$Y$120,0)),"")</f>
        <v>Pembroke</v>
      </c>
      <c r="D40" s="219">
        <f>'DOE25'!L248-705585.78</f>
        <v>12575326.930000002</v>
      </c>
      <c r="E40" s="219">
        <f>'DOE25'!L329</f>
        <v>346515.02500000002</v>
      </c>
      <c r="F40" s="231">
        <f t="shared" si="10"/>
        <v>12921841.955000002</v>
      </c>
      <c r="G40" s="222"/>
      <c r="H40" s="222"/>
      <c r="J40" t="str">
        <f>A40</f>
        <v>Pembroke Academy</v>
      </c>
      <c r="K40" s="20">
        <v>9209424.9100000001</v>
      </c>
      <c r="L40" s="20">
        <v>863437.92</v>
      </c>
      <c r="M40" s="307">
        <v>181186.5</v>
      </c>
      <c r="N40" s="20">
        <v>1374758.98</v>
      </c>
      <c r="O40" s="20">
        <v>4704934.6900000004</v>
      </c>
      <c r="P40" s="20">
        <v>471752.51</v>
      </c>
      <c r="Q40" s="20">
        <f>1839.21+7575.95</f>
        <v>9415.16</v>
      </c>
    </row>
    <row r="41" spans="1:17" x14ac:dyDescent="0.2">
      <c r="A41" t="str" cm="1">
        <f t="array" ref="A41">IFERROR(INDEX('School Tables'!$W$4:$AC$120,'School Tables'!$AF5,3),"")</f>
        <v/>
      </c>
      <c r="B41" s="229" t="str">
        <f>IFERROR(VLOOKUP(A41,'School Tables'!$Y$4:$Z$120,2,FALSE),"")</f>
        <v/>
      </c>
      <c r="C41" s="222" t="str">
        <f>IFERROR(INDEX('School Tables'!$X$4:$X$120,MATCH('School Level Expenditures'!A41,'School Tables'!$Y$4:$Y$120,0)),"")</f>
        <v/>
      </c>
      <c r="D41" s="219"/>
      <c r="E41" s="219"/>
      <c r="F41" s="231">
        <f t="shared" si="10"/>
        <v>0</v>
      </c>
      <c r="G41" s="222"/>
      <c r="H41" s="222"/>
      <c r="J41" t="str">
        <f>A41</f>
        <v/>
      </c>
      <c r="K41" s="20"/>
      <c r="L41" s="20"/>
      <c r="M41" s="20"/>
      <c r="N41" s="20"/>
      <c r="O41" s="20"/>
      <c r="P41" s="20"/>
      <c r="Q41" s="20"/>
    </row>
    <row r="42" spans="1:17" x14ac:dyDescent="0.2">
      <c r="A42" t="str" cm="1">
        <f t="array" ref="A42">IFERROR(INDEX('School Tables'!$W$4:$AC$120,'School Tables'!$AF6,3),"")</f>
        <v/>
      </c>
      <c r="B42" s="229" t="str">
        <f>IFERROR(VLOOKUP(A42,'School Tables'!$Y$4:$Z$120,2,FALSE),"")</f>
        <v/>
      </c>
      <c r="C42" s="222" t="str">
        <f>IFERROR(INDEX('School Tables'!$X$4:$X$120,MATCH('School Level Expenditures'!A42,'School Tables'!$Y$4:$Y$120,0)),"")</f>
        <v/>
      </c>
      <c r="D42" s="219"/>
      <c r="E42" s="219"/>
      <c r="F42" s="231">
        <f t="shared" si="10"/>
        <v>0</v>
      </c>
      <c r="G42" s="222"/>
      <c r="H42" s="222"/>
      <c r="J42" t="str">
        <f>A42</f>
        <v/>
      </c>
      <c r="K42" s="20"/>
      <c r="L42" s="20"/>
      <c r="M42" s="20"/>
      <c r="N42" s="20"/>
      <c r="O42" s="20"/>
      <c r="P42" s="20"/>
      <c r="Q42" s="20"/>
    </row>
    <row r="43" spans="1:17" x14ac:dyDescent="0.2">
      <c r="A43" t="str" cm="1">
        <f t="array" ref="A43">IFERROR(INDEX('School Tables'!$W$4:$AC$120,'School Tables'!$AF7,3),"")</f>
        <v/>
      </c>
      <c r="B43" s="229" t="str">
        <f>IFERROR(VLOOKUP(A43,'School Tables'!$Y$4:$Z$120,2,FALSE),"")</f>
        <v/>
      </c>
      <c r="C43" s="222" t="str">
        <f>IFERROR(INDEX('School Tables'!$X$4:$X$120,MATCH('School Level Expenditures'!A43,'School Tables'!$Y$4:$Y$120,0)),"")</f>
        <v/>
      </c>
      <c r="D43" s="20"/>
      <c r="E43" s="20"/>
      <c r="F43" s="231">
        <f t="shared" si="10"/>
        <v>0</v>
      </c>
      <c r="G43" s="222"/>
      <c r="H43" s="222"/>
      <c r="J43" t="str">
        <f>A43</f>
        <v/>
      </c>
      <c r="K43" s="20"/>
      <c r="L43" s="20"/>
      <c r="M43" s="20"/>
      <c r="N43" s="20"/>
      <c r="O43" s="20"/>
      <c r="P43" s="20"/>
      <c r="Q43" s="20"/>
    </row>
    <row r="44" spans="1:17" x14ac:dyDescent="0.2">
      <c r="A44" t="str" cm="1">
        <f t="array" ref="A44">IFERROR(INDEX('School Tables'!$W$4:$AC$120,'School Tables'!$AF8,3),"")</f>
        <v/>
      </c>
      <c r="B44" s="229" t="str">
        <f>IFERROR(VLOOKUP(A44,'School Tables'!$Y$4:$Z$120,2,FALSE),"")</f>
        <v/>
      </c>
      <c r="C44" s="222" t="str">
        <f>IFERROR(INDEX('School Tables'!$X$4:$X$120,MATCH('School Level Expenditures'!A44,'School Tables'!$Y$4:$Y$120,0)),"")</f>
        <v/>
      </c>
      <c r="D44" s="20"/>
      <c r="E44" s="20"/>
      <c r="F44" s="233">
        <f t="shared" si="10"/>
        <v>0</v>
      </c>
      <c r="G44" s="234"/>
      <c r="H44" s="234"/>
      <c r="J44" t="str">
        <f>A44</f>
        <v/>
      </c>
      <c r="K44" s="20"/>
      <c r="L44" s="20"/>
      <c r="M44" s="20"/>
      <c r="N44" s="20"/>
      <c r="O44" s="20"/>
      <c r="P44" s="20"/>
      <c r="Q44" s="20"/>
    </row>
    <row r="45" spans="1:17" ht="12" thickBot="1" x14ac:dyDescent="0.25">
      <c r="D45" s="261">
        <f>SUM(D39:D44)</f>
        <v>13280912.710000001</v>
      </c>
      <c r="E45" s="262">
        <f>SUM(E39:E44)</f>
        <v>346515.02500000002</v>
      </c>
      <c r="K45" s="262">
        <f t="shared" ref="K45:Q45" si="11">SUM(K39:K44)</f>
        <v>9209424.9100000001</v>
      </c>
      <c r="L45" s="262">
        <f t="shared" si="11"/>
        <v>863437.92</v>
      </c>
      <c r="M45" s="262">
        <f t="shared" si="11"/>
        <v>181186.5</v>
      </c>
      <c r="N45" s="262">
        <f t="shared" si="11"/>
        <v>1374758.98</v>
      </c>
      <c r="O45" s="262">
        <f t="shared" si="11"/>
        <v>4704934.6900000004</v>
      </c>
      <c r="P45" s="262">
        <f t="shared" si="11"/>
        <v>471752.51</v>
      </c>
      <c r="Q45" s="262">
        <f t="shared" si="11"/>
        <v>9415.16</v>
      </c>
    </row>
    <row r="46" spans="1:17" ht="12" thickTop="1" x14ac:dyDescent="0.2"/>
    <row r="48" spans="1:17" ht="12" x14ac:dyDescent="0.2">
      <c r="A48" s="210" t="s">
        <v>764</v>
      </c>
      <c r="B48" s="209"/>
      <c r="C48" s="209"/>
      <c r="D48" s="209"/>
      <c r="E48" s="209"/>
      <c r="F48" s="209"/>
      <c r="G48" s="209"/>
      <c r="H48" s="209"/>
      <c r="J48" s="209"/>
      <c r="K48" s="209"/>
      <c r="L48" s="209"/>
    </row>
    <row r="49" spans="1:18" ht="12" x14ac:dyDescent="0.2">
      <c r="A49" s="209" t="s">
        <v>1543</v>
      </c>
      <c r="B49" s="209"/>
      <c r="C49" s="209"/>
      <c r="D49" s="209"/>
      <c r="E49" s="209"/>
      <c r="F49" s="209"/>
      <c r="G49" s="209"/>
      <c r="H49" s="209"/>
      <c r="J49" s="209"/>
      <c r="K49" s="209"/>
      <c r="L49" s="209"/>
    </row>
    <row r="50" spans="1:18" ht="12" x14ac:dyDescent="0.2">
      <c r="A50" s="209" t="s">
        <v>1544</v>
      </c>
      <c r="B50" s="209"/>
      <c r="C50" s="209"/>
      <c r="D50" s="209"/>
      <c r="E50" s="209"/>
      <c r="F50" s="209"/>
      <c r="G50" s="209"/>
      <c r="H50" s="209"/>
      <c r="J50" s="209"/>
      <c r="K50" s="209"/>
      <c r="L50" s="209"/>
      <c r="R50"/>
    </row>
    <row r="51" spans="1:18" ht="12" x14ac:dyDescent="0.2">
      <c r="A51" s="209"/>
      <c r="B51" s="209"/>
      <c r="C51" s="209"/>
      <c r="D51" s="209"/>
      <c r="E51" s="209"/>
      <c r="F51" s="209"/>
      <c r="G51" s="209"/>
      <c r="H51" s="209"/>
      <c r="J51" s="209"/>
      <c r="K51" s="209"/>
      <c r="L51" s="209"/>
      <c r="R51"/>
    </row>
    <row r="52" spans="1:18" ht="12" x14ac:dyDescent="0.2">
      <c r="A52" s="209" t="s">
        <v>1782</v>
      </c>
      <c r="B52" s="209"/>
      <c r="C52" s="209"/>
      <c r="D52" s="209"/>
      <c r="E52" s="209"/>
      <c r="F52" s="209"/>
      <c r="G52" s="209"/>
      <c r="H52" s="209"/>
      <c r="J52" s="209"/>
      <c r="K52" s="209"/>
      <c r="L52" s="209"/>
      <c r="R52"/>
    </row>
    <row r="53" spans="1:18" ht="12" x14ac:dyDescent="0.2">
      <c r="A53" s="209"/>
      <c r="B53" s="209"/>
      <c r="C53" s="209"/>
      <c r="D53" s="209"/>
      <c r="E53" s="209"/>
      <c r="F53" s="209"/>
      <c r="G53" s="209"/>
      <c r="H53" s="209"/>
      <c r="J53" s="209"/>
      <c r="K53" s="209"/>
      <c r="L53" s="209"/>
      <c r="R53"/>
    </row>
    <row r="54" spans="1:18" ht="12" x14ac:dyDescent="0.2">
      <c r="A54" s="209" t="s">
        <v>1545</v>
      </c>
      <c r="B54" s="209"/>
      <c r="C54" s="209"/>
      <c r="D54" s="209"/>
      <c r="E54" s="209"/>
      <c r="F54" s="209"/>
      <c r="G54" s="209"/>
      <c r="H54" s="209"/>
      <c r="J54" s="209"/>
      <c r="K54" s="209"/>
      <c r="L54" s="209"/>
      <c r="R54"/>
    </row>
    <row r="55" spans="1:18" ht="12" x14ac:dyDescent="0.2">
      <c r="A55" s="209"/>
      <c r="B55" s="209"/>
      <c r="C55" s="209"/>
      <c r="D55" s="209"/>
      <c r="E55" s="209"/>
      <c r="F55" s="209"/>
      <c r="G55" s="209"/>
      <c r="H55" s="209"/>
      <c r="J55" s="209"/>
      <c r="K55" s="209"/>
      <c r="L55" s="209"/>
      <c r="R55"/>
    </row>
    <row r="56" spans="1:18" ht="12" x14ac:dyDescent="0.2">
      <c r="A56" s="209" t="s">
        <v>1791</v>
      </c>
      <c r="B56" s="209"/>
      <c r="C56" s="209"/>
      <c r="D56" s="209"/>
      <c r="E56" s="209"/>
      <c r="F56" s="209"/>
      <c r="G56" s="209"/>
      <c r="H56" s="209"/>
      <c r="J56" s="209"/>
      <c r="K56" s="209"/>
      <c r="L56" s="209"/>
      <c r="R56"/>
    </row>
    <row r="57" spans="1:18" ht="12" x14ac:dyDescent="0.2">
      <c r="A57" s="209"/>
      <c r="B57" s="209"/>
      <c r="C57" s="209"/>
      <c r="D57" s="209"/>
      <c r="E57" s="209"/>
      <c r="F57" s="209"/>
      <c r="G57" s="209"/>
      <c r="H57" s="209"/>
      <c r="J57" s="209"/>
      <c r="K57" s="209"/>
      <c r="L57" s="209"/>
      <c r="R57"/>
    </row>
    <row r="58" spans="1:18" ht="12" x14ac:dyDescent="0.2">
      <c r="A58" s="209"/>
      <c r="B58" s="209"/>
      <c r="C58" s="209"/>
      <c r="D58" s="209"/>
      <c r="E58" s="209"/>
      <c r="F58" s="209"/>
      <c r="G58" s="209"/>
      <c r="H58" s="209"/>
      <c r="J58" s="209"/>
      <c r="K58" s="209"/>
      <c r="L58" s="209"/>
      <c r="R58"/>
    </row>
    <row r="59" spans="1:18" ht="12" x14ac:dyDescent="0.2">
      <c r="A59" s="209"/>
      <c r="B59" s="209"/>
      <c r="C59" s="209"/>
      <c r="D59" s="209"/>
      <c r="E59" s="209"/>
      <c r="F59" s="209"/>
      <c r="G59" s="209"/>
      <c r="H59" s="209"/>
      <c r="J59" s="209"/>
      <c r="K59" s="209"/>
      <c r="L59" s="209"/>
      <c r="R59"/>
    </row>
    <row r="60" spans="1:18" ht="12" x14ac:dyDescent="0.2">
      <c r="A60" s="328"/>
      <c r="B60" s="328"/>
      <c r="C60" s="328"/>
      <c r="D60" s="328"/>
      <c r="E60" s="328"/>
      <c r="F60" s="328"/>
      <c r="G60" s="328"/>
      <c r="H60" s="209"/>
      <c r="J60" s="209"/>
      <c r="K60" s="209"/>
      <c r="L60" s="209"/>
      <c r="R60"/>
    </row>
    <row r="61" spans="1:18" x14ac:dyDescent="0.2">
      <c r="R61"/>
    </row>
    <row r="62" spans="1:18" x14ac:dyDescent="0.2">
      <c r="R62"/>
    </row>
    <row r="63" spans="1:18" x14ac:dyDescent="0.2">
      <c r="R63"/>
    </row>
    <row r="64" spans="1:18" x14ac:dyDescent="0.2">
      <c r="R64"/>
    </row>
    <row r="65" spans="18:18" x14ac:dyDescent="0.2">
      <c r="R65"/>
    </row>
    <row r="66" spans="18:18" x14ac:dyDescent="0.2">
      <c r="R66"/>
    </row>
    <row r="67" spans="18:18" x14ac:dyDescent="0.2">
      <c r="R67"/>
    </row>
    <row r="68" spans="18:18" x14ac:dyDescent="0.2">
      <c r="R68"/>
    </row>
    <row r="69" spans="18:18" x14ac:dyDescent="0.2">
      <c r="R69"/>
    </row>
    <row r="70" spans="18:18" x14ac:dyDescent="0.2">
      <c r="R70"/>
    </row>
    <row r="71" spans="18:18" x14ac:dyDescent="0.2">
      <c r="R71"/>
    </row>
    <row r="72" spans="18:18" x14ac:dyDescent="0.2">
      <c r="R72"/>
    </row>
    <row r="73" spans="18:18" x14ac:dyDescent="0.2">
      <c r="R73"/>
    </row>
    <row r="74" spans="18:18" x14ac:dyDescent="0.2">
      <c r="R74"/>
    </row>
    <row r="75" spans="18:18" x14ac:dyDescent="0.2">
      <c r="R75"/>
    </row>
    <row r="76" spans="18:18" x14ac:dyDescent="0.2">
      <c r="R76"/>
    </row>
    <row r="77" spans="18:18" x14ac:dyDescent="0.2">
      <c r="R77"/>
    </row>
    <row r="78" spans="18:18" x14ac:dyDescent="0.2">
      <c r="R78"/>
    </row>
    <row r="79" spans="18:18" x14ac:dyDescent="0.2">
      <c r="R79"/>
    </row>
    <row r="80" spans="18:18" x14ac:dyDescent="0.2">
      <c r="R80"/>
    </row>
    <row r="81" spans="18:18" x14ac:dyDescent="0.2">
      <c r="R81"/>
    </row>
    <row r="82" spans="18:18" x14ac:dyDescent="0.2">
      <c r="R82"/>
    </row>
    <row r="83" spans="18:18" x14ac:dyDescent="0.2">
      <c r="R83"/>
    </row>
    <row r="84" spans="18:18" x14ac:dyDescent="0.2">
      <c r="R84"/>
    </row>
    <row r="85" spans="18:18" x14ac:dyDescent="0.2">
      <c r="R85"/>
    </row>
    <row r="86" spans="18:18" x14ac:dyDescent="0.2">
      <c r="R86"/>
    </row>
    <row r="87" spans="18:18" x14ac:dyDescent="0.2">
      <c r="R87"/>
    </row>
    <row r="88" spans="18:18" x14ac:dyDescent="0.2">
      <c r="R88"/>
    </row>
    <row r="89" spans="18:18" x14ac:dyDescent="0.2">
      <c r="R89"/>
    </row>
    <row r="90" spans="18:18" x14ac:dyDescent="0.2">
      <c r="R90"/>
    </row>
    <row r="91" spans="18:18" x14ac:dyDescent="0.2">
      <c r="R91"/>
    </row>
    <row r="92" spans="18:18" x14ac:dyDescent="0.2">
      <c r="R92"/>
    </row>
    <row r="93" spans="18:18" x14ac:dyDescent="0.2">
      <c r="R93"/>
    </row>
    <row r="94" spans="18:18" x14ac:dyDescent="0.2">
      <c r="R94"/>
    </row>
    <row r="95" spans="18:18" x14ac:dyDescent="0.2">
      <c r="R95"/>
    </row>
    <row r="96" spans="18:18" x14ac:dyDescent="0.2">
      <c r="R96"/>
    </row>
    <row r="97" spans="18:18" x14ac:dyDescent="0.2">
      <c r="R97"/>
    </row>
    <row r="98" spans="18:18" x14ac:dyDescent="0.2">
      <c r="R98"/>
    </row>
    <row r="99" spans="18:18" x14ac:dyDescent="0.2">
      <c r="R99"/>
    </row>
    <row r="100" spans="18:18" x14ac:dyDescent="0.2">
      <c r="R100"/>
    </row>
    <row r="101" spans="18:18" x14ac:dyDescent="0.2">
      <c r="R101"/>
    </row>
    <row r="102" spans="18:18" x14ac:dyDescent="0.2">
      <c r="R102"/>
    </row>
    <row r="103" spans="18:18" x14ac:dyDescent="0.2">
      <c r="R103"/>
    </row>
    <row r="104" spans="18:18" x14ac:dyDescent="0.2">
      <c r="R104"/>
    </row>
    <row r="105" spans="18:18" x14ac:dyDescent="0.2">
      <c r="R105"/>
    </row>
    <row r="106" spans="18:18" x14ac:dyDescent="0.2">
      <c r="R106"/>
    </row>
    <row r="107" spans="18:18" x14ac:dyDescent="0.2">
      <c r="R107"/>
    </row>
    <row r="108" spans="18:18" x14ac:dyDescent="0.2">
      <c r="R108"/>
    </row>
    <row r="109" spans="18:18" x14ac:dyDescent="0.2">
      <c r="R109"/>
    </row>
    <row r="110" spans="18:18" x14ac:dyDescent="0.2">
      <c r="R110"/>
    </row>
    <row r="111" spans="18:18" x14ac:dyDescent="0.2">
      <c r="R111"/>
    </row>
    <row r="112" spans="18:18" x14ac:dyDescent="0.2">
      <c r="R112"/>
    </row>
    <row r="113" spans="18:18" x14ac:dyDescent="0.2">
      <c r="R113"/>
    </row>
    <row r="114" spans="18:18" x14ac:dyDescent="0.2">
      <c r="R114"/>
    </row>
    <row r="115" spans="18:18" x14ac:dyDescent="0.2">
      <c r="R115"/>
    </row>
    <row r="116" spans="18:18" x14ac:dyDescent="0.2">
      <c r="R116"/>
    </row>
    <row r="117" spans="18:18" x14ac:dyDescent="0.2">
      <c r="R117"/>
    </row>
    <row r="118" spans="18:18" x14ac:dyDescent="0.2">
      <c r="R118"/>
    </row>
    <row r="119" spans="18:18" x14ac:dyDescent="0.2">
      <c r="R119"/>
    </row>
    <row r="120" spans="18:18" x14ac:dyDescent="0.2">
      <c r="R120"/>
    </row>
    <row r="121" spans="18:18" x14ac:dyDescent="0.2">
      <c r="R121"/>
    </row>
    <row r="122" spans="18:18" x14ac:dyDescent="0.2">
      <c r="R122"/>
    </row>
    <row r="123" spans="18:18" x14ac:dyDescent="0.2">
      <c r="R123"/>
    </row>
    <row r="124" spans="18:18" x14ac:dyDescent="0.2">
      <c r="R124"/>
    </row>
    <row r="125" spans="18:18" x14ac:dyDescent="0.2">
      <c r="R125"/>
    </row>
    <row r="126" spans="18:18" x14ac:dyDescent="0.2">
      <c r="R126"/>
    </row>
    <row r="127" spans="18:18" x14ac:dyDescent="0.2">
      <c r="R127"/>
    </row>
    <row r="128" spans="18:18" x14ac:dyDescent="0.2">
      <c r="R128"/>
    </row>
    <row r="129" spans="18:18" x14ac:dyDescent="0.2">
      <c r="R129"/>
    </row>
    <row r="130" spans="18:18" x14ac:dyDescent="0.2">
      <c r="R130"/>
    </row>
    <row r="131" spans="18:18" x14ac:dyDescent="0.2">
      <c r="R131"/>
    </row>
    <row r="132" spans="18:18" x14ac:dyDescent="0.2">
      <c r="R132"/>
    </row>
    <row r="133" spans="18:18" x14ac:dyDescent="0.2">
      <c r="R133"/>
    </row>
    <row r="134" spans="18:18" x14ac:dyDescent="0.2">
      <c r="R134"/>
    </row>
    <row r="135" spans="18:18" x14ac:dyDescent="0.2">
      <c r="R135"/>
    </row>
    <row r="136" spans="18:18" x14ac:dyDescent="0.2">
      <c r="R136"/>
    </row>
    <row r="137" spans="18:18" x14ac:dyDescent="0.2">
      <c r="R137"/>
    </row>
    <row r="138" spans="18:18" x14ac:dyDescent="0.2">
      <c r="R138"/>
    </row>
    <row r="139" spans="18:18" x14ac:dyDescent="0.2">
      <c r="R139"/>
    </row>
    <row r="140" spans="18:18" x14ac:dyDescent="0.2">
      <c r="R140"/>
    </row>
    <row r="141" spans="18:18" x14ac:dyDescent="0.2">
      <c r="R141"/>
    </row>
    <row r="142" spans="18:18" x14ac:dyDescent="0.2">
      <c r="R142"/>
    </row>
    <row r="143" spans="18:18" x14ac:dyDescent="0.2">
      <c r="R143"/>
    </row>
    <row r="144" spans="18:18" x14ac:dyDescent="0.2">
      <c r="R144"/>
    </row>
    <row r="145" spans="18:18" x14ac:dyDescent="0.2">
      <c r="R145"/>
    </row>
    <row r="146" spans="18:18" x14ac:dyDescent="0.2">
      <c r="R146"/>
    </row>
    <row r="147" spans="18:18" x14ac:dyDescent="0.2">
      <c r="R147"/>
    </row>
    <row r="148" spans="18:18" x14ac:dyDescent="0.2">
      <c r="R148"/>
    </row>
    <row r="149" spans="18:18" x14ac:dyDescent="0.2">
      <c r="R149"/>
    </row>
    <row r="150" spans="18:18" x14ac:dyDescent="0.2">
      <c r="R150"/>
    </row>
    <row r="151" spans="18:18" x14ac:dyDescent="0.2">
      <c r="R151"/>
    </row>
    <row r="152" spans="18:18" x14ac:dyDescent="0.2">
      <c r="R152"/>
    </row>
    <row r="153" spans="18:18" x14ac:dyDescent="0.2">
      <c r="R153"/>
    </row>
    <row r="154" spans="18:18" x14ac:dyDescent="0.2">
      <c r="R154"/>
    </row>
    <row r="155" spans="18:18" x14ac:dyDescent="0.2">
      <c r="R155"/>
    </row>
    <row r="156" spans="18:18" x14ac:dyDescent="0.2">
      <c r="R156"/>
    </row>
    <row r="157" spans="18:18" x14ac:dyDescent="0.2">
      <c r="R157"/>
    </row>
    <row r="158" spans="18:18" x14ac:dyDescent="0.2">
      <c r="R158"/>
    </row>
    <row r="159" spans="18:18" x14ac:dyDescent="0.2">
      <c r="R159"/>
    </row>
    <row r="160" spans="18:18" x14ac:dyDescent="0.2">
      <c r="R160"/>
    </row>
    <row r="161" spans="18:18" x14ac:dyDescent="0.2">
      <c r="R161"/>
    </row>
    <row r="162" spans="18:18" x14ac:dyDescent="0.2">
      <c r="R162"/>
    </row>
    <row r="163" spans="18:18" x14ac:dyDescent="0.2">
      <c r="R163"/>
    </row>
    <row r="164" spans="18:18" x14ac:dyDescent="0.2">
      <c r="R164"/>
    </row>
    <row r="165" spans="18:18" x14ac:dyDescent="0.2">
      <c r="R165"/>
    </row>
    <row r="166" spans="18:18" x14ac:dyDescent="0.2">
      <c r="R166"/>
    </row>
    <row r="167" spans="18:18" x14ac:dyDescent="0.2">
      <c r="R167"/>
    </row>
    <row r="168" spans="18:18" x14ac:dyDescent="0.2">
      <c r="R168"/>
    </row>
    <row r="169" spans="18:18" x14ac:dyDescent="0.2">
      <c r="R169"/>
    </row>
    <row r="170" spans="18:18" x14ac:dyDescent="0.2">
      <c r="R170"/>
    </row>
    <row r="171" spans="18:18" x14ac:dyDescent="0.2">
      <c r="R171"/>
    </row>
    <row r="172" spans="18:18" x14ac:dyDescent="0.2">
      <c r="R172"/>
    </row>
    <row r="173" spans="18:18" x14ac:dyDescent="0.2">
      <c r="R173"/>
    </row>
    <row r="174" spans="18:18" x14ac:dyDescent="0.2">
      <c r="R174"/>
    </row>
    <row r="175" spans="18:18" x14ac:dyDescent="0.2">
      <c r="R175"/>
    </row>
    <row r="176" spans="18:18" x14ac:dyDescent="0.2">
      <c r="R176"/>
    </row>
    <row r="177" spans="18:18" x14ac:dyDescent="0.2">
      <c r="R177"/>
    </row>
    <row r="178" spans="18:18" x14ac:dyDescent="0.2">
      <c r="R178"/>
    </row>
    <row r="179" spans="18:18" x14ac:dyDescent="0.2">
      <c r="R179"/>
    </row>
    <row r="180" spans="18:18" x14ac:dyDescent="0.2">
      <c r="R180"/>
    </row>
    <row r="181" spans="18:18" x14ac:dyDescent="0.2">
      <c r="R181"/>
    </row>
    <row r="182" spans="18:18" x14ac:dyDescent="0.2">
      <c r="R182"/>
    </row>
    <row r="183" spans="18:18" x14ac:dyDescent="0.2">
      <c r="R183"/>
    </row>
    <row r="184" spans="18:18" x14ac:dyDescent="0.2">
      <c r="R184"/>
    </row>
    <row r="185" spans="18:18" x14ac:dyDescent="0.2">
      <c r="R185"/>
    </row>
    <row r="186" spans="18:18" x14ac:dyDescent="0.2">
      <c r="R186"/>
    </row>
    <row r="187" spans="18:18" x14ac:dyDescent="0.2">
      <c r="R187"/>
    </row>
    <row r="188" spans="18:18" x14ac:dyDescent="0.2">
      <c r="R188"/>
    </row>
    <row r="189" spans="18:18" x14ac:dyDescent="0.2">
      <c r="R189"/>
    </row>
    <row r="190" spans="18:18" x14ac:dyDescent="0.2">
      <c r="R190"/>
    </row>
    <row r="191" spans="18:18" x14ac:dyDescent="0.2">
      <c r="R191"/>
    </row>
    <row r="192" spans="18:18" x14ac:dyDescent="0.2">
      <c r="R192"/>
    </row>
    <row r="193" spans="18:18" x14ac:dyDescent="0.2">
      <c r="R193"/>
    </row>
    <row r="194" spans="18:18" x14ac:dyDescent="0.2">
      <c r="R194"/>
    </row>
    <row r="195" spans="18:18" x14ac:dyDescent="0.2">
      <c r="R195"/>
    </row>
    <row r="196" spans="18:18" x14ac:dyDescent="0.2">
      <c r="R196"/>
    </row>
    <row r="197" spans="18:18" x14ac:dyDescent="0.2">
      <c r="R197"/>
    </row>
    <row r="198" spans="18:18" x14ac:dyDescent="0.2">
      <c r="R198"/>
    </row>
    <row r="199" spans="18:18" x14ac:dyDescent="0.2">
      <c r="R199"/>
    </row>
    <row r="200" spans="18:18" x14ac:dyDescent="0.2">
      <c r="R200"/>
    </row>
    <row r="201" spans="18:18" x14ac:dyDescent="0.2">
      <c r="R201"/>
    </row>
    <row r="202" spans="18:18" x14ac:dyDescent="0.2">
      <c r="R202"/>
    </row>
    <row r="203" spans="18:18" x14ac:dyDescent="0.2">
      <c r="R203"/>
    </row>
    <row r="204" spans="18:18" x14ac:dyDescent="0.2">
      <c r="R204"/>
    </row>
    <row r="205" spans="18:18" x14ac:dyDescent="0.2">
      <c r="R205"/>
    </row>
    <row r="206" spans="18:18" x14ac:dyDescent="0.2">
      <c r="R206"/>
    </row>
    <row r="207" spans="18:18" x14ac:dyDescent="0.2">
      <c r="R207"/>
    </row>
    <row r="208" spans="18:18" x14ac:dyDescent="0.2">
      <c r="R208"/>
    </row>
    <row r="209" spans="18:18" x14ac:dyDescent="0.2">
      <c r="R209"/>
    </row>
    <row r="210" spans="18:18" x14ac:dyDescent="0.2">
      <c r="R210"/>
    </row>
    <row r="211" spans="18:18" x14ac:dyDescent="0.2">
      <c r="R211"/>
    </row>
    <row r="212" spans="18:18" x14ac:dyDescent="0.2">
      <c r="R212"/>
    </row>
    <row r="213" spans="18:18" x14ac:dyDescent="0.2">
      <c r="R213"/>
    </row>
    <row r="214" spans="18:18" x14ac:dyDescent="0.2">
      <c r="R214"/>
    </row>
    <row r="215" spans="18:18" x14ac:dyDescent="0.2">
      <c r="R215"/>
    </row>
    <row r="216" spans="18:18" x14ac:dyDescent="0.2">
      <c r="R216"/>
    </row>
    <row r="217" spans="18:18" x14ac:dyDescent="0.2">
      <c r="R217"/>
    </row>
    <row r="218" spans="18:18" x14ac:dyDescent="0.2">
      <c r="R218"/>
    </row>
    <row r="219" spans="18:18" x14ac:dyDescent="0.2">
      <c r="R219"/>
    </row>
    <row r="220" spans="18:18" x14ac:dyDescent="0.2">
      <c r="R220"/>
    </row>
    <row r="221" spans="18:18" x14ac:dyDescent="0.2">
      <c r="R221"/>
    </row>
    <row r="222" spans="18:18" x14ac:dyDescent="0.2">
      <c r="R222"/>
    </row>
    <row r="223" spans="18:18" x14ac:dyDescent="0.2">
      <c r="R223"/>
    </row>
    <row r="224" spans="18:18" x14ac:dyDescent="0.2">
      <c r="R224"/>
    </row>
    <row r="225" spans="18:18" x14ac:dyDescent="0.2">
      <c r="R225"/>
    </row>
    <row r="226" spans="18:18" x14ac:dyDescent="0.2">
      <c r="R226"/>
    </row>
    <row r="227" spans="18:18" x14ac:dyDescent="0.2">
      <c r="R227"/>
    </row>
    <row r="228" spans="18:18" x14ac:dyDescent="0.2">
      <c r="R228"/>
    </row>
    <row r="229" spans="18:18" x14ac:dyDescent="0.2">
      <c r="R229"/>
    </row>
    <row r="230" spans="18:18" x14ac:dyDescent="0.2">
      <c r="R230"/>
    </row>
    <row r="231" spans="18:18" x14ac:dyDescent="0.2">
      <c r="R231"/>
    </row>
    <row r="232" spans="18:18" x14ac:dyDescent="0.2">
      <c r="R232"/>
    </row>
    <row r="233" spans="18:18" x14ac:dyDescent="0.2">
      <c r="R233"/>
    </row>
    <row r="234" spans="18:18" x14ac:dyDescent="0.2">
      <c r="R234"/>
    </row>
    <row r="235" spans="18:18" x14ac:dyDescent="0.2">
      <c r="R235"/>
    </row>
    <row r="236" spans="18:18" x14ac:dyDescent="0.2">
      <c r="R236"/>
    </row>
    <row r="237" spans="18:18" x14ac:dyDescent="0.2">
      <c r="R237"/>
    </row>
    <row r="238" spans="18:18" x14ac:dyDescent="0.2">
      <c r="R238"/>
    </row>
    <row r="239" spans="18:18" x14ac:dyDescent="0.2">
      <c r="R239"/>
    </row>
    <row r="240" spans="18:18" x14ac:dyDescent="0.2">
      <c r="R240"/>
    </row>
    <row r="241" spans="18:18" x14ac:dyDescent="0.2">
      <c r="R241"/>
    </row>
    <row r="242" spans="18:18" x14ac:dyDescent="0.2">
      <c r="R242"/>
    </row>
    <row r="243" spans="18:18" x14ac:dyDescent="0.2">
      <c r="R243"/>
    </row>
    <row r="244" spans="18:18" x14ac:dyDescent="0.2">
      <c r="R244"/>
    </row>
    <row r="245" spans="18:18" x14ac:dyDescent="0.2">
      <c r="R245"/>
    </row>
    <row r="246" spans="18:18" x14ac:dyDescent="0.2">
      <c r="R246"/>
    </row>
    <row r="247" spans="18:18" x14ac:dyDescent="0.2">
      <c r="R247"/>
    </row>
    <row r="248" spans="18:18" x14ac:dyDescent="0.2">
      <c r="R248"/>
    </row>
    <row r="249" spans="18:18" x14ac:dyDescent="0.2">
      <c r="R249"/>
    </row>
    <row r="250" spans="18:18" x14ac:dyDescent="0.2">
      <c r="R250"/>
    </row>
    <row r="251" spans="18:18" x14ac:dyDescent="0.2">
      <c r="R251"/>
    </row>
    <row r="252" spans="18:18" x14ac:dyDescent="0.2">
      <c r="R252"/>
    </row>
    <row r="253" spans="18:18" x14ac:dyDescent="0.2">
      <c r="R253"/>
    </row>
    <row r="254" spans="18:18" x14ac:dyDescent="0.2">
      <c r="R254"/>
    </row>
    <row r="255" spans="18:18" x14ac:dyDescent="0.2">
      <c r="R255"/>
    </row>
    <row r="256" spans="18:18" x14ac:dyDescent="0.2">
      <c r="R256"/>
    </row>
    <row r="257" spans="18:18" x14ac:dyDescent="0.2">
      <c r="R257"/>
    </row>
    <row r="258" spans="18:18" x14ac:dyDescent="0.2">
      <c r="R258"/>
    </row>
    <row r="259" spans="18:18" x14ac:dyDescent="0.2">
      <c r="R259"/>
    </row>
    <row r="260" spans="18:18" x14ac:dyDescent="0.2">
      <c r="R260"/>
    </row>
    <row r="261" spans="18:18" x14ac:dyDescent="0.2">
      <c r="R261"/>
    </row>
    <row r="262" spans="18:18" x14ac:dyDescent="0.2">
      <c r="R262"/>
    </row>
    <row r="263" spans="18:18" x14ac:dyDescent="0.2">
      <c r="R263"/>
    </row>
    <row r="264" spans="18:18" x14ac:dyDescent="0.2">
      <c r="R264"/>
    </row>
    <row r="265" spans="18:18" x14ac:dyDescent="0.2">
      <c r="R265"/>
    </row>
    <row r="266" spans="18:18" x14ac:dyDescent="0.2">
      <c r="R266"/>
    </row>
    <row r="267" spans="18:18" x14ac:dyDescent="0.2">
      <c r="R267"/>
    </row>
    <row r="268" spans="18:18" x14ac:dyDescent="0.2">
      <c r="R268"/>
    </row>
    <row r="269" spans="18:18" x14ac:dyDescent="0.2">
      <c r="R269"/>
    </row>
    <row r="270" spans="18:18" x14ac:dyDescent="0.2">
      <c r="R270"/>
    </row>
    <row r="271" spans="18:18" x14ac:dyDescent="0.2">
      <c r="R271"/>
    </row>
    <row r="272" spans="18:18" x14ac:dyDescent="0.2">
      <c r="R272"/>
    </row>
    <row r="273" spans="18:18" x14ac:dyDescent="0.2">
      <c r="R273"/>
    </row>
    <row r="274" spans="18:18" x14ac:dyDescent="0.2">
      <c r="R274"/>
    </row>
    <row r="275" spans="18:18" x14ac:dyDescent="0.2">
      <c r="R275"/>
    </row>
    <row r="276" spans="18:18" x14ac:dyDescent="0.2">
      <c r="R276"/>
    </row>
    <row r="277" spans="18:18" x14ac:dyDescent="0.2">
      <c r="R277"/>
    </row>
    <row r="278" spans="18:18" x14ac:dyDescent="0.2">
      <c r="R278"/>
    </row>
    <row r="279" spans="18:18" x14ac:dyDescent="0.2">
      <c r="R279"/>
    </row>
    <row r="280" spans="18:18" x14ac:dyDescent="0.2">
      <c r="R280"/>
    </row>
    <row r="281" spans="18:18" x14ac:dyDescent="0.2">
      <c r="R281"/>
    </row>
    <row r="282" spans="18:18" x14ac:dyDescent="0.2">
      <c r="R282"/>
    </row>
    <row r="283" spans="18:18" x14ac:dyDescent="0.2">
      <c r="R283"/>
    </row>
    <row r="284" spans="18:18" x14ac:dyDescent="0.2">
      <c r="R284"/>
    </row>
    <row r="285" spans="18:18" x14ac:dyDescent="0.2">
      <c r="R285"/>
    </row>
    <row r="286" spans="18:18" x14ac:dyDescent="0.2">
      <c r="R286"/>
    </row>
    <row r="287" spans="18:18" x14ac:dyDescent="0.2">
      <c r="R287"/>
    </row>
    <row r="288" spans="18:18" x14ac:dyDescent="0.2">
      <c r="R288"/>
    </row>
    <row r="289" spans="18:18" x14ac:dyDescent="0.2">
      <c r="R289"/>
    </row>
    <row r="290" spans="18:18" x14ac:dyDescent="0.2">
      <c r="R290"/>
    </row>
    <row r="291" spans="18:18" x14ac:dyDescent="0.2">
      <c r="R291"/>
    </row>
    <row r="292" spans="18:18" x14ac:dyDescent="0.2">
      <c r="R292"/>
    </row>
    <row r="293" spans="18:18" x14ac:dyDescent="0.2">
      <c r="R293"/>
    </row>
    <row r="294" spans="18:18" x14ac:dyDescent="0.2">
      <c r="R294"/>
    </row>
    <row r="295" spans="18:18" x14ac:dyDescent="0.2">
      <c r="R295"/>
    </row>
    <row r="296" spans="18:18" x14ac:dyDescent="0.2">
      <c r="R296"/>
    </row>
    <row r="297" spans="18:18" x14ac:dyDescent="0.2">
      <c r="R297"/>
    </row>
    <row r="298" spans="18:18" x14ac:dyDescent="0.2">
      <c r="R298"/>
    </row>
    <row r="299" spans="18:18" x14ac:dyDescent="0.2">
      <c r="R299"/>
    </row>
    <row r="300" spans="18:18" x14ac:dyDescent="0.2">
      <c r="R300"/>
    </row>
    <row r="301" spans="18:18" x14ac:dyDescent="0.2">
      <c r="R301"/>
    </row>
    <row r="302" spans="18:18" x14ac:dyDescent="0.2">
      <c r="R302"/>
    </row>
    <row r="303" spans="18:18" x14ac:dyDescent="0.2">
      <c r="R303"/>
    </row>
    <row r="304" spans="18:18" x14ac:dyDescent="0.2">
      <c r="R304"/>
    </row>
    <row r="305" spans="18:18" x14ac:dyDescent="0.2">
      <c r="R305"/>
    </row>
    <row r="306" spans="18:18" x14ac:dyDescent="0.2">
      <c r="R306"/>
    </row>
    <row r="307" spans="18:18" x14ac:dyDescent="0.2">
      <c r="R307"/>
    </row>
    <row r="308" spans="18:18" x14ac:dyDescent="0.2">
      <c r="R308"/>
    </row>
    <row r="309" spans="18:18" x14ac:dyDescent="0.2">
      <c r="R309"/>
    </row>
    <row r="310" spans="18:18" x14ac:dyDescent="0.2">
      <c r="R310"/>
    </row>
    <row r="311" spans="18:18" x14ac:dyDescent="0.2">
      <c r="R311"/>
    </row>
    <row r="312" spans="18:18" x14ac:dyDescent="0.2">
      <c r="R312"/>
    </row>
    <row r="313" spans="18:18" x14ac:dyDescent="0.2">
      <c r="R313"/>
    </row>
    <row r="314" spans="18:18" x14ac:dyDescent="0.2">
      <c r="R314"/>
    </row>
    <row r="315" spans="18:18" x14ac:dyDescent="0.2">
      <c r="R315"/>
    </row>
    <row r="316" spans="18:18" x14ac:dyDescent="0.2">
      <c r="R316"/>
    </row>
    <row r="317" spans="18:18" x14ac:dyDescent="0.2">
      <c r="R317"/>
    </row>
    <row r="318" spans="18:18" x14ac:dyDescent="0.2">
      <c r="R318"/>
    </row>
    <row r="319" spans="18:18" x14ac:dyDescent="0.2">
      <c r="R319"/>
    </row>
    <row r="320" spans="18:18" x14ac:dyDescent="0.2">
      <c r="R320"/>
    </row>
    <row r="321" spans="18:18" x14ac:dyDescent="0.2">
      <c r="R321"/>
    </row>
    <row r="322" spans="18:18" x14ac:dyDescent="0.2">
      <c r="R322"/>
    </row>
    <row r="323" spans="18:18" x14ac:dyDescent="0.2">
      <c r="R323"/>
    </row>
    <row r="324" spans="18:18" x14ac:dyDescent="0.2">
      <c r="R324"/>
    </row>
    <row r="325" spans="18:18" x14ac:dyDescent="0.2">
      <c r="R325"/>
    </row>
    <row r="326" spans="18:18" x14ac:dyDescent="0.2">
      <c r="R326"/>
    </row>
    <row r="327" spans="18:18" x14ac:dyDescent="0.2">
      <c r="R327"/>
    </row>
    <row r="328" spans="18:18" x14ac:dyDescent="0.2">
      <c r="R328"/>
    </row>
    <row r="329" spans="18:18" x14ac:dyDescent="0.2">
      <c r="R329"/>
    </row>
    <row r="330" spans="18:18" x14ac:dyDescent="0.2">
      <c r="R330"/>
    </row>
    <row r="331" spans="18:18" x14ac:dyDescent="0.2">
      <c r="R331"/>
    </row>
    <row r="332" spans="18:18" x14ac:dyDescent="0.2">
      <c r="R332"/>
    </row>
    <row r="333" spans="18:18" x14ac:dyDescent="0.2">
      <c r="R333"/>
    </row>
    <row r="334" spans="18:18" x14ac:dyDescent="0.2">
      <c r="R334"/>
    </row>
    <row r="335" spans="18:18" x14ac:dyDescent="0.2">
      <c r="R335"/>
    </row>
    <row r="336" spans="18:18" x14ac:dyDescent="0.2">
      <c r="R336"/>
    </row>
    <row r="337" spans="18:18" x14ac:dyDescent="0.2">
      <c r="R337"/>
    </row>
    <row r="338" spans="18:18" x14ac:dyDescent="0.2">
      <c r="R338"/>
    </row>
    <row r="339" spans="18:18" x14ac:dyDescent="0.2">
      <c r="R339"/>
    </row>
    <row r="340" spans="18:18" x14ac:dyDescent="0.2">
      <c r="R340"/>
    </row>
    <row r="341" spans="18:18" x14ac:dyDescent="0.2">
      <c r="R341"/>
    </row>
    <row r="342" spans="18:18" x14ac:dyDescent="0.2">
      <c r="R342"/>
    </row>
    <row r="343" spans="18:18" x14ac:dyDescent="0.2">
      <c r="R343"/>
    </row>
    <row r="344" spans="18:18" x14ac:dyDescent="0.2">
      <c r="R344"/>
    </row>
    <row r="345" spans="18:18" x14ac:dyDescent="0.2">
      <c r="R345"/>
    </row>
    <row r="346" spans="18:18" x14ac:dyDescent="0.2">
      <c r="R346"/>
    </row>
    <row r="347" spans="18:18" x14ac:dyDescent="0.2">
      <c r="R347"/>
    </row>
    <row r="348" spans="18:18" x14ac:dyDescent="0.2">
      <c r="R348"/>
    </row>
    <row r="349" spans="18:18" x14ac:dyDescent="0.2">
      <c r="R349"/>
    </row>
    <row r="350" spans="18:18" x14ac:dyDescent="0.2">
      <c r="R350"/>
    </row>
    <row r="351" spans="18:18" x14ac:dyDescent="0.2">
      <c r="R351"/>
    </row>
    <row r="352" spans="18:18" x14ac:dyDescent="0.2">
      <c r="R352"/>
    </row>
    <row r="353" spans="18:18" x14ac:dyDescent="0.2">
      <c r="R353"/>
    </row>
    <row r="354" spans="18:18" x14ac:dyDescent="0.2">
      <c r="R354"/>
    </row>
    <row r="355" spans="18:18" x14ac:dyDescent="0.2">
      <c r="R355"/>
    </row>
    <row r="356" spans="18:18" x14ac:dyDescent="0.2">
      <c r="R356"/>
    </row>
    <row r="357" spans="18:18" x14ac:dyDescent="0.2">
      <c r="R357"/>
    </row>
    <row r="358" spans="18:18" x14ac:dyDescent="0.2">
      <c r="R358"/>
    </row>
    <row r="359" spans="18:18" x14ac:dyDescent="0.2">
      <c r="R359"/>
    </row>
    <row r="360" spans="18:18" x14ac:dyDescent="0.2">
      <c r="R360"/>
    </row>
    <row r="361" spans="18:18" x14ac:dyDescent="0.2">
      <c r="R361"/>
    </row>
    <row r="362" spans="18:18" x14ac:dyDescent="0.2">
      <c r="R362"/>
    </row>
    <row r="363" spans="18:18" x14ac:dyDescent="0.2">
      <c r="R363"/>
    </row>
    <row r="364" spans="18:18" x14ac:dyDescent="0.2">
      <c r="R364"/>
    </row>
    <row r="365" spans="18:18" x14ac:dyDescent="0.2">
      <c r="R365"/>
    </row>
    <row r="366" spans="18:18" x14ac:dyDescent="0.2">
      <c r="R366"/>
    </row>
    <row r="367" spans="18:18" x14ac:dyDescent="0.2">
      <c r="R367"/>
    </row>
    <row r="368" spans="18:18" x14ac:dyDescent="0.2">
      <c r="R368"/>
    </row>
    <row r="369" spans="18:18" x14ac:dyDescent="0.2">
      <c r="R369"/>
    </row>
    <row r="370" spans="18:18" x14ac:dyDescent="0.2">
      <c r="R370"/>
    </row>
    <row r="371" spans="18:18" x14ac:dyDescent="0.2">
      <c r="R371"/>
    </row>
    <row r="372" spans="18:18" x14ac:dyDescent="0.2">
      <c r="R372"/>
    </row>
    <row r="373" spans="18:18" x14ac:dyDescent="0.2">
      <c r="R373"/>
    </row>
    <row r="374" spans="18:18" x14ac:dyDescent="0.2">
      <c r="R374"/>
    </row>
    <row r="375" spans="18:18" x14ac:dyDescent="0.2">
      <c r="R375"/>
    </row>
    <row r="376" spans="18:18" x14ac:dyDescent="0.2">
      <c r="R376"/>
    </row>
    <row r="377" spans="18:18" x14ac:dyDescent="0.2">
      <c r="R377"/>
    </row>
    <row r="378" spans="18:18" x14ac:dyDescent="0.2">
      <c r="R378"/>
    </row>
    <row r="379" spans="18:18" x14ac:dyDescent="0.2">
      <c r="R379"/>
    </row>
    <row r="380" spans="18:18" x14ac:dyDescent="0.2">
      <c r="R380"/>
    </row>
    <row r="381" spans="18:18" x14ac:dyDescent="0.2">
      <c r="R381"/>
    </row>
    <row r="382" spans="18:18" x14ac:dyDescent="0.2">
      <c r="R382"/>
    </row>
    <row r="383" spans="18:18" x14ac:dyDescent="0.2">
      <c r="R383"/>
    </row>
    <row r="384" spans="18:18" x14ac:dyDescent="0.2">
      <c r="R384"/>
    </row>
    <row r="385" spans="18:18" x14ac:dyDescent="0.2">
      <c r="R385"/>
    </row>
    <row r="386" spans="18:18" x14ac:dyDescent="0.2">
      <c r="R386"/>
    </row>
    <row r="387" spans="18:18" x14ac:dyDescent="0.2">
      <c r="R387"/>
    </row>
    <row r="388" spans="18:18" x14ac:dyDescent="0.2">
      <c r="R388"/>
    </row>
    <row r="389" spans="18:18" x14ac:dyDescent="0.2">
      <c r="R389"/>
    </row>
    <row r="390" spans="18:18" x14ac:dyDescent="0.2">
      <c r="R390"/>
    </row>
    <row r="391" spans="18:18" x14ac:dyDescent="0.2">
      <c r="R391"/>
    </row>
    <row r="392" spans="18:18" x14ac:dyDescent="0.2">
      <c r="R392"/>
    </row>
    <row r="393" spans="18:18" x14ac:dyDescent="0.2">
      <c r="R393"/>
    </row>
    <row r="394" spans="18:18" x14ac:dyDescent="0.2">
      <c r="R394"/>
    </row>
    <row r="395" spans="18:18" x14ac:dyDescent="0.2">
      <c r="R395"/>
    </row>
    <row r="396" spans="18:18" x14ac:dyDescent="0.2">
      <c r="R396"/>
    </row>
    <row r="397" spans="18:18" x14ac:dyDescent="0.2">
      <c r="R397"/>
    </row>
    <row r="398" spans="18:18" x14ac:dyDescent="0.2">
      <c r="R398"/>
    </row>
    <row r="399" spans="18:18" x14ac:dyDescent="0.2">
      <c r="R399"/>
    </row>
    <row r="400" spans="18:18" x14ac:dyDescent="0.2">
      <c r="R400"/>
    </row>
    <row r="401" spans="18:18" x14ac:dyDescent="0.2">
      <c r="R401"/>
    </row>
    <row r="402" spans="18:18" x14ac:dyDescent="0.2">
      <c r="R402"/>
    </row>
    <row r="403" spans="18:18" x14ac:dyDescent="0.2">
      <c r="R403"/>
    </row>
    <row r="404" spans="18:18" x14ac:dyDescent="0.2">
      <c r="R404"/>
    </row>
    <row r="405" spans="18:18" x14ac:dyDescent="0.2">
      <c r="R405"/>
    </row>
    <row r="406" spans="18:18" x14ac:dyDescent="0.2">
      <c r="R406"/>
    </row>
    <row r="407" spans="18:18" x14ac:dyDescent="0.2">
      <c r="R407"/>
    </row>
    <row r="408" spans="18:18" x14ac:dyDescent="0.2">
      <c r="R408"/>
    </row>
    <row r="409" spans="18:18" x14ac:dyDescent="0.2">
      <c r="R409"/>
    </row>
    <row r="410" spans="18:18" x14ac:dyDescent="0.2">
      <c r="R410"/>
    </row>
    <row r="411" spans="18:18" x14ac:dyDescent="0.2">
      <c r="R411"/>
    </row>
    <row r="412" spans="18:18" x14ac:dyDescent="0.2">
      <c r="R412"/>
    </row>
    <row r="413" spans="18:18" x14ac:dyDescent="0.2">
      <c r="R413"/>
    </row>
    <row r="414" spans="18:18" x14ac:dyDescent="0.2">
      <c r="R414"/>
    </row>
    <row r="415" spans="18:18" x14ac:dyDescent="0.2">
      <c r="R415"/>
    </row>
    <row r="416" spans="18:18" x14ac:dyDescent="0.2">
      <c r="R416"/>
    </row>
    <row r="417" spans="18:18" x14ac:dyDescent="0.2">
      <c r="R417"/>
    </row>
    <row r="418" spans="18:18" x14ac:dyDescent="0.2">
      <c r="R418"/>
    </row>
    <row r="419" spans="18:18" x14ac:dyDescent="0.2">
      <c r="R419"/>
    </row>
    <row r="420" spans="18:18" x14ac:dyDescent="0.2">
      <c r="R420"/>
    </row>
    <row r="421" spans="18:18" x14ac:dyDescent="0.2">
      <c r="R421"/>
    </row>
    <row r="422" spans="18:18" x14ac:dyDescent="0.2">
      <c r="R422"/>
    </row>
    <row r="423" spans="18:18" x14ac:dyDescent="0.2">
      <c r="R423"/>
    </row>
    <row r="424" spans="18:18" x14ac:dyDescent="0.2">
      <c r="R424"/>
    </row>
    <row r="425" spans="18:18" x14ac:dyDescent="0.2">
      <c r="R425"/>
    </row>
    <row r="426" spans="18:18" x14ac:dyDescent="0.2">
      <c r="R426"/>
    </row>
    <row r="427" spans="18:18" x14ac:dyDescent="0.2">
      <c r="R427"/>
    </row>
    <row r="428" spans="18:18" x14ac:dyDescent="0.2">
      <c r="R428"/>
    </row>
    <row r="429" spans="18:18" x14ac:dyDescent="0.2">
      <c r="R429"/>
    </row>
    <row r="430" spans="18:18" x14ac:dyDescent="0.2">
      <c r="R430"/>
    </row>
    <row r="431" spans="18:18" x14ac:dyDescent="0.2">
      <c r="R431"/>
    </row>
    <row r="432" spans="18:18" x14ac:dyDescent="0.2">
      <c r="R432"/>
    </row>
    <row r="433" spans="18:18" x14ac:dyDescent="0.2">
      <c r="R433"/>
    </row>
    <row r="434" spans="18:18" x14ac:dyDescent="0.2">
      <c r="R434"/>
    </row>
    <row r="435" spans="18:18" x14ac:dyDescent="0.2">
      <c r="R435"/>
    </row>
    <row r="436" spans="18:18" x14ac:dyDescent="0.2">
      <c r="R436"/>
    </row>
    <row r="437" spans="18:18" x14ac:dyDescent="0.2">
      <c r="R437"/>
    </row>
    <row r="438" spans="18:18" x14ac:dyDescent="0.2">
      <c r="R438"/>
    </row>
    <row r="439" spans="18:18" x14ac:dyDescent="0.2">
      <c r="R439"/>
    </row>
    <row r="440" spans="18:18" x14ac:dyDescent="0.2">
      <c r="R440"/>
    </row>
    <row r="441" spans="18:18" x14ac:dyDescent="0.2">
      <c r="R441"/>
    </row>
    <row r="442" spans="18:18" x14ac:dyDescent="0.2">
      <c r="R442"/>
    </row>
    <row r="443" spans="18:18" x14ac:dyDescent="0.2">
      <c r="R443"/>
    </row>
    <row r="444" spans="18:18" x14ac:dyDescent="0.2">
      <c r="R444"/>
    </row>
    <row r="445" spans="18:18" x14ac:dyDescent="0.2">
      <c r="R445"/>
    </row>
    <row r="446" spans="18:18" x14ac:dyDescent="0.2">
      <c r="R446"/>
    </row>
    <row r="447" spans="18:18" x14ac:dyDescent="0.2">
      <c r="R447"/>
    </row>
    <row r="448" spans="18:18" x14ac:dyDescent="0.2">
      <c r="R448"/>
    </row>
    <row r="449" spans="18:18" x14ac:dyDescent="0.2">
      <c r="R449"/>
    </row>
    <row r="450" spans="18:18" x14ac:dyDescent="0.2">
      <c r="R450"/>
    </row>
    <row r="451" spans="18:18" x14ac:dyDescent="0.2">
      <c r="R451"/>
    </row>
    <row r="452" spans="18:18" x14ac:dyDescent="0.2">
      <c r="R452"/>
    </row>
    <row r="453" spans="18:18" x14ac:dyDescent="0.2">
      <c r="R453"/>
    </row>
    <row r="454" spans="18:18" x14ac:dyDescent="0.2">
      <c r="R454"/>
    </row>
    <row r="455" spans="18:18" x14ac:dyDescent="0.2">
      <c r="R455"/>
    </row>
    <row r="456" spans="18:18" x14ac:dyDescent="0.2">
      <c r="R456"/>
    </row>
    <row r="457" spans="18:18" x14ac:dyDescent="0.2">
      <c r="R457"/>
    </row>
    <row r="458" spans="18:18" x14ac:dyDescent="0.2">
      <c r="R458"/>
    </row>
    <row r="459" spans="18:18" x14ac:dyDescent="0.2">
      <c r="R459"/>
    </row>
    <row r="460" spans="18:18" x14ac:dyDescent="0.2">
      <c r="R460"/>
    </row>
    <row r="461" spans="18:18" x14ac:dyDescent="0.2">
      <c r="R461"/>
    </row>
    <row r="462" spans="18:18" x14ac:dyDescent="0.2">
      <c r="R462"/>
    </row>
    <row r="463" spans="18:18" x14ac:dyDescent="0.2">
      <c r="R463"/>
    </row>
    <row r="464" spans="18:18" x14ac:dyDescent="0.2">
      <c r="R464"/>
    </row>
    <row r="465" spans="18:18" x14ac:dyDescent="0.2">
      <c r="R465"/>
    </row>
    <row r="466" spans="18:18" x14ac:dyDescent="0.2">
      <c r="R466"/>
    </row>
    <row r="467" spans="18:18" x14ac:dyDescent="0.2">
      <c r="R467"/>
    </row>
    <row r="468" spans="18:18" x14ac:dyDescent="0.2">
      <c r="R468"/>
    </row>
    <row r="469" spans="18:18" x14ac:dyDescent="0.2">
      <c r="R469"/>
    </row>
    <row r="470" spans="18:18" x14ac:dyDescent="0.2">
      <c r="R470"/>
    </row>
    <row r="471" spans="18:18" x14ac:dyDescent="0.2">
      <c r="R471"/>
    </row>
    <row r="472" spans="18:18" x14ac:dyDescent="0.2">
      <c r="R472"/>
    </row>
    <row r="473" spans="18:18" x14ac:dyDescent="0.2">
      <c r="R473"/>
    </row>
    <row r="474" spans="18:18" x14ac:dyDescent="0.2">
      <c r="R474"/>
    </row>
    <row r="475" spans="18:18" x14ac:dyDescent="0.2">
      <c r="R475"/>
    </row>
    <row r="476" spans="18:18" x14ac:dyDescent="0.2">
      <c r="R476"/>
    </row>
    <row r="477" spans="18:18" x14ac:dyDescent="0.2">
      <c r="R477"/>
    </row>
    <row r="478" spans="18:18" x14ac:dyDescent="0.2">
      <c r="R478"/>
    </row>
    <row r="479" spans="18:18" x14ac:dyDescent="0.2">
      <c r="R479"/>
    </row>
    <row r="480" spans="18:18" x14ac:dyDescent="0.2">
      <c r="R480"/>
    </row>
    <row r="481" spans="18:18" x14ac:dyDescent="0.2">
      <c r="R481"/>
    </row>
    <row r="482" spans="18:18" x14ac:dyDescent="0.2">
      <c r="R482"/>
    </row>
    <row r="483" spans="18:18" x14ac:dyDescent="0.2">
      <c r="R483"/>
    </row>
    <row r="484" spans="18:18" x14ac:dyDescent="0.2">
      <c r="R484"/>
    </row>
    <row r="485" spans="18:18" x14ac:dyDescent="0.2">
      <c r="R485"/>
    </row>
    <row r="486" spans="18:18" x14ac:dyDescent="0.2">
      <c r="R486"/>
    </row>
    <row r="487" spans="18:18" x14ac:dyDescent="0.2">
      <c r="R487"/>
    </row>
    <row r="488" spans="18:18" x14ac:dyDescent="0.2">
      <c r="R488"/>
    </row>
    <row r="489" spans="18:18" x14ac:dyDescent="0.2">
      <c r="R489"/>
    </row>
    <row r="490" spans="18:18" x14ac:dyDescent="0.2">
      <c r="R490"/>
    </row>
    <row r="491" spans="18:18" x14ac:dyDescent="0.2">
      <c r="R491"/>
    </row>
    <row r="492" spans="18:18" x14ac:dyDescent="0.2">
      <c r="R492"/>
    </row>
    <row r="493" spans="18:18" x14ac:dyDescent="0.2">
      <c r="R493"/>
    </row>
    <row r="494" spans="18:18" x14ac:dyDescent="0.2">
      <c r="R494"/>
    </row>
    <row r="495" spans="18:18" x14ac:dyDescent="0.2">
      <c r="R495"/>
    </row>
    <row r="496" spans="18:18" x14ac:dyDescent="0.2">
      <c r="R496"/>
    </row>
    <row r="497" spans="18:18" x14ac:dyDescent="0.2">
      <c r="R497"/>
    </row>
    <row r="498" spans="18:18" x14ac:dyDescent="0.2">
      <c r="R498"/>
    </row>
    <row r="499" spans="18:18" x14ac:dyDescent="0.2">
      <c r="R499"/>
    </row>
    <row r="500" spans="18:18" x14ac:dyDescent="0.2">
      <c r="R500"/>
    </row>
    <row r="501" spans="18:18" x14ac:dyDescent="0.2">
      <c r="R501"/>
    </row>
    <row r="502" spans="18:18" x14ac:dyDescent="0.2">
      <c r="R502"/>
    </row>
    <row r="503" spans="18:18" x14ac:dyDescent="0.2">
      <c r="R503"/>
    </row>
    <row r="504" spans="18:18" x14ac:dyDescent="0.2">
      <c r="R504"/>
    </row>
    <row r="505" spans="18:18" x14ac:dyDescent="0.2">
      <c r="R505"/>
    </row>
    <row r="506" spans="18:18" x14ac:dyDescent="0.2">
      <c r="R506"/>
    </row>
    <row r="507" spans="18:18" x14ac:dyDescent="0.2">
      <c r="R507"/>
    </row>
    <row r="508" spans="18:18" x14ac:dyDescent="0.2">
      <c r="R508"/>
    </row>
    <row r="509" spans="18:18" x14ac:dyDescent="0.2">
      <c r="R509"/>
    </row>
    <row r="510" spans="18:18" x14ac:dyDescent="0.2">
      <c r="R510"/>
    </row>
    <row r="511" spans="18:18" x14ac:dyDescent="0.2">
      <c r="R511"/>
    </row>
    <row r="512" spans="18:18" x14ac:dyDescent="0.2">
      <c r="R512"/>
    </row>
    <row r="513" spans="18:18" x14ac:dyDescent="0.2">
      <c r="R513"/>
    </row>
    <row r="514" spans="18:18" x14ac:dyDescent="0.2">
      <c r="R514"/>
    </row>
    <row r="515" spans="18:18" x14ac:dyDescent="0.2">
      <c r="R515"/>
    </row>
    <row r="516" spans="18:18" x14ac:dyDescent="0.2">
      <c r="R516"/>
    </row>
    <row r="517" spans="18:18" x14ac:dyDescent="0.2">
      <c r="R517"/>
    </row>
    <row r="518" spans="18:18" x14ac:dyDescent="0.2">
      <c r="R518"/>
    </row>
    <row r="519" spans="18:18" x14ac:dyDescent="0.2">
      <c r="R519"/>
    </row>
    <row r="520" spans="18:18" x14ac:dyDescent="0.2">
      <c r="R520"/>
    </row>
    <row r="521" spans="18:18" x14ac:dyDescent="0.2">
      <c r="R521"/>
    </row>
    <row r="522" spans="18:18" x14ac:dyDescent="0.2">
      <c r="R522"/>
    </row>
    <row r="523" spans="18:18" x14ac:dyDescent="0.2">
      <c r="R523"/>
    </row>
    <row r="524" spans="18:18" x14ac:dyDescent="0.2">
      <c r="R524"/>
    </row>
    <row r="525" spans="18:18" x14ac:dyDescent="0.2">
      <c r="R525"/>
    </row>
    <row r="526" spans="18:18" x14ac:dyDescent="0.2">
      <c r="R526"/>
    </row>
    <row r="527" spans="18:18" x14ac:dyDescent="0.2">
      <c r="R527"/>
    </row>
    <row r="528" spans="18:18" x14ac:dyDescent="0.2">
      <c r="R528"/>
    </row>
    <row r="529" spans="18:18" x14ac:dyDescent="0.2">
      <c r="R529"/>
    </row>
    <row r="530" spans="18:18" x14ac:dyDescent="0.2">
      <c r="R530"/>
    </row>
    <row r="531" spans="18:18" x14ac:dyDescent="0.2">
      <c r="R531"/>
    </row>
    <row r="532" spans="18:18" x14ac:dyDescent="0.2">
      <c r="R532"/>
    </row>
    <row r="533" spans="18:18" x14ac:dyDescent="0.2">
      <c r="R533"/>
    </row>
    <row r="534" spans="18:18" x14ac:dyDescent="0.2">
      <c r="R534"/>
    </row>
    <row r="535" spans="18:18" x14ac:dyDescent="0.2">
      <c r="R535"/>
    </row>
    <row r="536" spans="18:18" x14ac:dyDescent="0.2">
      <c r="R536"/>
    </row>
    <row r="537" spans="18:18" x14ac:dyDescent="0.2">
      <c r="R537"/>
    </row>
    <row r="538" spans="18:18" x14ac:dyDescent="0.2">
      <c r="R538"/>
    </row>
    <row r="539" spans="18:18" x14ac:dyDescent="0.2">
      <c r="R539"/>
    </row>
    <row r="540" spans="18:18" x14ac:dyDescent="0.2">
      <c r="R540"/>
    </row>
    <row r="541" spans="18:18" x14ac:dyDescent="0.2">
      <c r="R541"/>
    </row>
    <row r="542" spans="18:18" x14ac:dyDescent="0.2">
      <c r="R542"/>
    </row>
    <row r="543" spans="18:18" x14ac:dyDescent="0.2">
      <c r="R543"/>
    </row>
    <row r="544" spans="18:18" x14ac:dyDescent="0.2">
      <c r="R544"/>
    </row>
    <row r="545" spans="18:18" x14ac:dyDescent="0.2">
      <c r="R545"/>
    </row>
    <row r="546" spans="18:18" x14ac:dyDescent="0.2">
      <c r="R546"/>
    </row>
    <row r="547" spans="18:18" x14ac:dyDescent="0.2">
      <c r="R547"/>
    </row>
    <row r="548" spans="18:18" x14ac:dyDescent="0.2">
      <c r="R548"/>
    </row>
    <row r="549" spans="18:18" x14ac:dyDescent="0.2">
      <c r="R549"/>
    </row>
    <row r="550" spans="18:18" x14ac:dyDescent="0.2">
      <c r="R550"/>
    </row>
    <row r="551" spans="18:18" x14ac:dyDescent="0.2">
      <c r="R551"/>
    </row>
    <row r="552" spans="18:18" x14ac:dyDescent="0.2">
      <c r="R552"/>
    </row>
    <row r="553" spans="18:18" x14ac:dyDescent="0.2">
      <c r="R553"/>
    </row>
    <row r="554" spans="18:18" x14ac:dyDescent="0.2">
      <c r="R554"/>
    </row>
    <row r="555" spans="18:18" x14ac:dyDescent="0.2">
      <c r="R555"/>
    </row>
    <row r="556" spans="18:18" x14ac:dyDescent="0.2">
      <c r="R556"/>
    </row>
    <row r="557" spans="18:18" x14ac:dyDescent="0.2">
      <c r="R557"/>
    </row>
    <row r="558" spans="18:18" x14ac:dyDescent="0.2">
      <c r="R558"/>
    </row>
    <row r="559" spans="18:18" x14ac:dyDescent="0.2">
      <c r="R559"/>
    </row>
    <row r="560" spans="18:18" x14ac:dyDescent="0.2">
      <c r="R560"/>
    </row>
    <row r="561" spans="18:18" x14ac:dyDescent="0.2">
      <c r="R561"/>
    </row>
    <row r="562" spans="18:18" x14ac:dyDescent="0.2">
      <c r="R562"/>
    </row>
    <row r="563" spans="18:18" x14ac:dyDescent="0.2">
      <c r="R563"/>
    </row>
    <row r="564" spans="18:18" x14ac:dyDescent="0.2">
      <c r="R564"/>
    </row>
    <row r="565" spans="18:18" x14ac:dyDescent="0.2">
      <c r="R565"/>
    </row>
    <row r="566" spans="18:18" x14ac:dyDescent="0.2">
      <c r="R566"/>
    </row>
    <row r="567" spans="18:18" x14ac:dyDescent="0.2">
      <c r="R567"/>
    </row>
    <row r="568" spans="18:18" x14ac:dyDescent="0.2">
      <c r="R568"/>
    </row>
    <row r="569" spans="18:18" x14ac:dyDescent="0.2">
      <c r="R569"/>
    </row>
    <row r="570" spans="18:18" x14ac:dyDescent="0.2">
      <c r="R570"/>
    </row>
    <row r="571" spans="18:18" x14ac:dyDescent="0.2">
      <c r="R571"/>
    </row>
    <row r="572" spans="18:18" x14ac:dyDescent="0.2">
      <c r="R572"/>
    </row>
    <row r="573" spans="18:18" x14ac:dyDescent="0.2">
      <c r="R573"/>
    </row>
    <row r="574" spans="18:18" x14ac:dyDescent="0.2">
      <c r="R574"/>
    </row>
    <row r="575" spans="18:18" x14ac:dyDescent="0.2">
      <c r="R575"/>
    </row>
    <row r="576" spans="18:18" x14ac:dyDescent="0.2">
      <c r="R576"/>
    </row>
    <row r="577" spans="18:18" x14ac:dyDescent="0.2">
      <c r="R577"/>
    </row>
    <row r="578" spans="18:18" x14ac:dyDescent="0.2">
      <c r="R578"/>
    </row>
    <row r="579" spans="18:18" x14ac:dyDescent="0.2">
      <c r="R579"/>
    </row>
    <row r="580" spans="18:18" x14ac:dyDescent="0.2">
      <c r="R580"/>
    </row>
    <row r="581" spans="18:18" x14ac:dyDescent="0.2">
      <c r="R581"/>
    </row>
    <row r="582" spans="18:18" x14ac:dyDescent="0.2">
      <c r="R582"/>
    </row>
    <row r="583" spans="18:18" x14ac:dyDescent="0.2">
      <c r="R583"/>
    </row>
    <row r="584" spans="18:18" x14ac:dyDescent="0.2">
      <c r="R584"/>
    </row>
    <row r="585" spans="18:18" x14ac:dyDescent="0.2">
      <c r="R585"/>
    </row>
    <row r="586" spans="18:18" x14ac:dyDescent="0.2">
      <c r="R586"/>
    </row>
    <row r="587" spans="18:18" x14ac:dyDescent="0.2">
      <c r="R587"/>
    </row>
    <row r="588" spans="18:18" x14ac:dyDescent="0.2">
      <c r="R588"/>
    </row>
    <row r="589" spans="18:18" x14ac:dyDescent="0.2">
      <c r="R589"/>
    </row>
    <row r="590" spans="18:18" x14ac:dyDescent="0.2">
      <c r="R590"/>
    </row>
    <row r="591" spans="18:18" x14ac:dyDescent="0.2">
      <c r="R591"/>
    </row>
    <row r="592" spans="18:18" x14ac:dyDescent="0.2">
      <c r="R592"/>
    </row>
    <row r="593" spans="18:18" x14ac:dyDescent="0.2">
      <c r="R593"/>
    </row>
    <row r="594" spans="18:18" x14ac:dyDescent="0.2">
      <c r="R594"/>
    </row>
    <row r="595" spans="18:18" x14ac:dyDescent="0.2">
      <c r="R595"/>
    </row>
    <row r="596" spans="18:18" x14ac:dyDescent="0.2">
      <c r="R596"/>
    </row>
    <row r="597" spans="18:18" x14ac:dyDescent="0.2">
      <c r="R597"/>
    </row>
    <row r="598" spans="18:18" x14ac:dyDescent="0.2">
      <c r="R598"/>
    </row>
    <row r="599" spans="18:18" x14ac:dyDescent="0.2">
      <c r="R599"/>
    </row>
    <row r="600" spans="18:18" x14ac:dyDescent="0.2">
      <c r="R600"/>
    </row>
    <row r="601" spans="18:18" x14ac:dyDescent="0.2">
      <c r="R601"/>
    </row>
    <row r="602" spans="18:18" x14ac:dyDescent="0.2">
      <c r="R602"/>
    </row>
    <row r="603" spans="18:18" x14ac:dyDescent="0.2">
      <c r="R603"/>
    </row>
    <row r="604" spans="18:18" x14ac:dyDescent="0.2">
      <c r="R604"/>
    </row>
    <row r="605" spans="18:18" x14ac:dyDescent="0.2">
      <c r="R605"/>
    </row>
    <row r="606" spans="18:18" x14ac:dyDescent="0.2">
      <c r="R606"/>
    </row>
    <row r="607" spans="18:18" x14ac:dyDescent="0.2">
      <c r="R607"/>
    </row>
    <row r="608" spans="18:18" x14ac:dyDescent="0.2">
      <c r="R608"/>
    </row>
    <row r="609" spans="18:18" x14ac:dyDescent="0.2">
      <c r="R609"/>
    </row>
    <row r="610" spans="18:18" x14ac:dyDescent="0.2">
      <c r="R610"/>
    </row>
    <row r="611" spans="18:18" x14ac:dyDescent="0.2">
      <c r="R611"/>
    </row>
    <row r="612" spans="18:18" x14ac:dyDescent="0.2">
      <c r="R612"/>
    </row>
    <row r="613" spans="18:18" x14ac:dyDescent="0.2">
      <c r="R613"/>
    </row>
    <row r="614" spans="18:18" x14ac:dyDescent="0.2">
      <c r="R614"/>
    </row>
    <row r="615" spans="18:18" x14ac:dyDescent="0.2">
      <c r="R615"/>
    </row>
    <row r="616" spans="18:18" x14ac:dyDescent="0.2">
      <c r="R616"/>
    </row>
    <row r="617" spans="18:18" x14ac:dyDescent="0.2">
      <c r="R617"/>
    </row>
    <row r="618" spans="18:18" x14ac:dyDescent="0.2">
      <c r="R618"/>
    </row>
    <row r="619" spans="18:18" x14ac:dyDescent="0.2">
      <c r="R619"/>
    </row>
    <row r="620" spans="18:18" x14ac:dyDescent="0.2">
      <c r="R620"/>
    </row>
    <row r="621" spans="18:18" x14ac:dyDescent="0.2">
      <c r="R621"/>
    </row>
    <row r="622" spans="18:18" x14ac:dyDescent="0.2">
      <c r="R622"/>
    </row>
    <row r="623" spans="18:18" x14ac:dyDescent="0.2">
      <c r="R623"/>
    </row>
    <row r="624" spans="18:18" x14ac:dyDescent="0.2">
      <c r="R624"/>
    </row>
    <row r="625" spans="18:18" x14ac:dyDescent="0.2">
      <c r="R625"/>
    </row>
    <row r="626" spans="18:18" x14ac:dyDescent="0.2">
      <c r="R626"/>
    </row>
    <row r="627" spans="18:18" x14ac:dyDescent="0.2">
      <c r="R627"/>
    </row>
    <row r="628" spans="18:18" x14ac:dyDescent="0.2">
      <c r="R628"/>
    </row>
    <row r="629" spans="18:18" x14ac:dyDescent="0.2">
      <c r="R629"/>
    </row>
    <row r="630" spans="18:18" x14ac:dyDescent="0.2">
      <c r="R630"/>
    </row>
    <row r="631" spans="18:18" x14ac:dyDescent="0.2">
      <c r="R631"/>
    </row>
    <row r="632" spans="18:18" x14ac:dyDescent="0.2">
      <c r="R632"/>
    </row>
    <row r="633" spans="18:18" x14ac:dyDescent="0.2">
      <c r="R633"/>
    </row>
    <row r="634" spans="18:18" x14ac:dyDescent="0.2">
      <c r="R634"/>
    </row>
    <row r="635" spans="18:18" x14ac:dyDescent="0.2">
      <c r="R635"/>
    </row>
    <row r="636" spans="18:18" x14ac:dyDescent="0.2">
      <c r="R636"/>
    </row>
    <row r="637" spans="18:18" x14ac:dyDescent="0.2">
      <c r="R637"/>
    </row>
    <row r="638" spans="18:18" x14ac:dyDescent="0.2">
      <c r="R638"/>
    </row>
    <row r="639" spans="18:18" x14ac:dyDescent="0.2">
      <c r="R639"/>
    </row>
    <row r="640" spans="18:18" x14ac:dyDescent="0.2">
      <c r="R640"/>
    </row>
    <row r="641" spans="18:18" x14ac:dyDescent="0.2">
      <c r="R641"/>
    </row>
    <row r="642" spans="18:18" x14ac:dyDescent="0.2">
      <c r="R642"/>
    </row>
    <row r="643" spans="18:18" x14ac:dyDescent="0.2">
      <c r="R643"/>
    </row>
    <row r="644" spans="18:18" x14ac:dyDescent="0.2">
      <c r="R644"/>
    </row>
    <row r="645" spans="18:18" x14ac:dyDescent="0.2">
      <c r="R645"/>
    </row>
    <row r="646" spans="18:18" x14ac:dyDescent="0.2">
      <c r="R646"/>
    </row>
    <row r="647" spans="18:18" x14ac:dyDescent="0.2">
      <c r="R647"/>
    </row>
    <row r="648" spans="18:18" x14ac:dyDescent="0.2">
      <c r="R648"/>
    </row>
    <row r="649" spans="18:18" x14ac:dyDescent="0.2">
      <c r="R649"/>
    </row>
    <row r="650" spans="18:18" x14ac:dyDescent="0.2">
      <c r="R650"/>
    </row>
    <row r="651" spans="18:18" x14ac:dyDescent="0.2">
      <c r="R651"/>
    </row>
    <row r="652" spans="18:18" x14ac:dyDescent="0.2">
      <c r="R652"/>
    </row>
    <row r="653" spans="18:18" x14ac:dyDescent="0.2">
      <c r="R653"/>
    </row>
    <row r="654" spans="18:18" x14ac:dyDescent="0.2">
      <c r="R654"/>
    </row>
    <row r="655" spans="18:18" x14ac:dyDescent="0.2">
      <c r="R655"/>
    </row>
    <row r="656" spans="18:18" x14ac:dyDescent="0.2">
      <c r="R656"/>
    </row>
    <row r="657" spans="18:18" x14ac:dyDescent="0.2">
      <c r="R657"/>
    </row>
    <row r="658" spans="18:18" x14ac:dyDescent="0.2">
      <c r="R658"/>
    </row>
    <row r="659" spans="18:18" x14ac:dyDescent="0.2">
      <c r="R659"/>
    </row>
    <row r="660" spans="18:18" x14ac:dyDescent="0.2">
      <c r="R660"/>
    </row>
    <row r="661" spans="18:18" x14ac:dyDescent="0.2">
      <c r="R661"/>
    </row>
    <row r="662" spans="18:18" x14ac:dyDescent="0.2">
      <c r="R662"/>
    </row>
    <row r="663" spans="18:18" x14ac:dyDescent="0.2">
      <c r="R663"/>
    </row>
    <row r="664" spans="18:18" x14ac:dyDescent="0.2">
      <c r="R664"/>
    </row>
    <row r="665" spans="18:18" x14ac:dyDescent="0.2">
      <c r="R665"/>
    </row>
    <row r="666" spans="18:18" x14ac:dyDescent="0.2">
      <c r="R666"/>
    </row>
    <row r="667" spans="18:18" x14ac:dyDescent="0.2">
      <c r="R667"/>
    </row>
    <row r="668" spans="18:18" x14ac:dyDescent="0.2">
      <c r="R668"/>
    </row>
    <row r="669" spans="18:18" x14ac:dyDescent="0.2">
      <c r="R669"/>
    </row>
    <row r="670" spans="18:18" x14ac:dyDescent="0.2">
      <c r="R670"/>
    </row>
    <row r="671" spans="18:18" x14ac:dyDescent="0.2">
      <c r="R671"/>
    </row>
    <row r="672" spans="18:18" x14ac:dyDescent="0.2">
      <c r="R672"/>
    </row>
    <row r="673" spans="18:18" x14ac:dyDescent="0.2">
      <c r="R673"/>
    </row>
    <row r="674" spans="18:18" x14ac:dyDescent="0.2">
      <c r="R674"/>
    </row>
    <row r="675" spans="18:18" x14ac:dyDescent="0.2">
      <c r="R675"/>
    </row>
    <row r="676" spans="18:18" x14ac:dyDescent="0.2">
      <c r="R676"/>
    </row>
    <row r="677" spans="18:18" x14ac:dyDescent="0.2">
      <c r="R677"/>
    </row>
    <row r="678" spans="18:18" x14ac:dyDescent="0.2">
      <c r="R678"/>
    </row>
    <row r="679" spans="18:18" x14ac:dyDescent="0.2">
      <c r="R679"/>
    </row>
    <row r="680" spans="18:18" x14ac:dyDescent="0.2">
      <c r="R680"/>
    </row>
    <row r="681" spans="18:18" x14ac:dyDescent="0.2">
      <c r="R681"/>
    </row>
    <row r="682" spans="18:18" x14ac:dyDescent="0.2">
      <c r="R682"/>
    </row>
    <row r="683" spans="18:18" x14ac:dyDescent="0.2">
      <c r="R683"/>
    </row>
    <row r="684" spans="18:18" x14ac:dyDescent="0.2">
      <c r="R684"/>
    </row>
    <row r="685" spans="18:18" x14ac:dyDescent="0.2">
      <c r="R685"/>
    </row>
    <row r="686" spans="18:18" x14ac:dyDescent="0.2">
      <c r="R686"/>
    </row>
    <row r="687" spans="18:18" x14ac:dyDescent="0.2">
      <c r="R687"/>
    </row>
    <row r="688" spans="18:18" x14ac:dyDescent="0.2">
      <c r="R688"/>
    </row>
    <row r="689" spans="18:18" x14ac:dyDescent="0.2">
      <c r="R689"/>
    </row>
    <row r="690" spans="18:18" x14ac:dyDescent="0.2">
      <c r="R690"/>
    </row>
    <row r="691" spans="18:18" x14ac:dyDescent="0.2">
      <c r="R691"/>
    </row>
    <row r="692" spans="18:18" x14ac:dyDescent="0.2">
      <c r="R692"/>
    </row>
    <row r="693" spans="18:18" x14ac:dyDescent="0.2">
      <c r="R693"/>
    </row>
    <row r="694" spans="18:18" x14ac:dyDescent="0.2">
      <c r="R694"/>
    </row>
    <row r="695" spans="18:18" x14ac:dyDescent="0.2">
      <c r="R695"/>
    </row>
    <row r="696" spans="18:18" x14ac:dyDescent="0.2">
      <c r="R696"/>
    </row>
    <row r="697" spans="18:18" x14ac:dyDescent="0.2">
      <c r="R697"/>
    </row>
    <row r="698" spans="18:18" x14ac:dyDescent="0.2">
      <c r="R698"/>
    </row>
    <row r="699" spans="18:18" x14ac:dyDescent="0.2">
      <c r="R699"/>
    </row>
    <row r="700" spans="18:18" x14ac:dyDescent="0.2">
      <c r="R700"/>
    </row>
    <row r="701" spans="18:18" x14ac:dyDescent="0.2">
      <c r="R701"/>
    </row>
    <row r="702" spans="18:18" x14ac:dyDescent="0.2">
      <c r="R702"/>
    </row>
    <row r="703" spans="18:18" x14ac:dyDescent="0.2">
      <c r="R703"/>
    </row>
    <row r="704" spans="18:18" x14ac:dyDescent="0.2">
      <c r="R704"/>
    </row>
    <row r="705" spans="18:18" x14ac:dyDescent="0.2">
      <c r="R705"/>
    </row>
    <row r="706" spans="18:18" x14ac:dyDescent="0.2">
      <c r="R706"/>
    </row>
    <row r="707" spans="18:18" x14ac:dyDescent="0.2">
      <c r="R707"/>
    </row>
    <row r="708" spans="18:18" x14ac:dyDescent="0.2">
      <c r="R708"/>
    </row>
    <row r="709" spans="18:18" x14ac:dyDescent="0.2">
      <c r="R709"/>
    </row>
    <row r="710" spans="18:18" x14ac:dyDescent="0.2">
      <c r="R710"/>
    </row>
    <row r="711" spans="18:18" x14ac:dyDescent="0.2">
      <c r="R711"/>
    </row>
    <row r="712" spans="18:18" x14ac:dyDescent="0.2">
      <c r="R712"/>
    </row>
    <row r="713" spans="18:18" x14ac:dyDescent="0.2">
      <c r="R713"/>
    </row>
    <row r="714" spans="18:18" x14ac:dyDescent="0.2">
      <c r="R714"/>
    </row>
    <row r="715" spans="18:18" x14ac:dyDescent="0.2">
      <c r="R715"/>
    </row>
    <row r="716" spans="18:18" x14ac:dyDescent="0.2">
      <c r="R716"/>
    </row>
    <row r="717" spans="18:18" x14ac:dyDescent="0.2">
      <c r="R717"/>
    </row>
    <row r="718" spans="18:18" x14ac:dyDescent="0.2">
      <c r="R718"/>
    </row>
    <row r="719" spans="18:18" x14ac:dyDescent="0.2">
      <c r="R719"/>
    </row>
    <row r="720" spans="18:18" x14ac:dyDescent="0.2">
      <c r="R720"/>
    </row>
    <row r="721" spans="18:18" x14ac:dyDescent="0.2">
      <c r="R721"/>
    </row>
    <row r="722" spans="18:18" x14ac:dyDescent="0.2">
      <c r="R722"/>
    </row>
    <row r="723" spans="18:18" x14ac:dyDescent="0.2">
      <c r="R723"/>
    </row>
    <row r="724" spans="18:18" x14ac:dyDescent="0.2">
      <c r="R724"/>
    </row>
    <row r="725" spans="18:18" x14ac:dyDescent="0.2">
      <c r="R725"/>
    </row>
    <row r="726" spans="18:18" x14ac:dyDescent="0.2">
      <c r="R726"/>
    </row>
    <row r="727" spans="18:18" x14ac:dyDescent="0.2">
      <c r="R727"/>
    </row>
  </sheetData>
  <sheetProtection algorithmName="SHA-512" hashValue="CcS6wmr+8T2uHEXzvIgdLjB/UUSQXiFJC3NMlSVYsL/Iz1X46oNK+abDDrNhzPWUWx7VS9GGPiS4JhbzGLv26g==" saltValue="MkxYR0NHfHr5lXRlOl+Pfg==" spinCount="100000" sheet="1" objects="1" scenarios="1"/>
  <sortState xmlns:xlrd2="http://schemas.microsoft.com/office/spreadsheetml/2017/richdata2" ref="R4:U570">
    <sortCondition ref="U4:U570"/>
    <sortCondition ref="S4:S570"/>
  </sortState>
  <mergeCells count="2">
    <mergeCell ref="A60:G60"/>
    <mergeCell ref="O1:V1"/>
  </mergeCells>
  <conditionalFormatting sqref="H4">
    <cfRule type="cellIs" dxfId="27" priority="38" operator="equal">
      <formula>0</formula>
    </cfRule>
    <cfRule type="cellIs" dxfId="26" priority="39" operator="notEqual">
      <formula>0</formula>
    </cfRule>
  </conditionalFormatting>
  <conditionalFormatting sqref="H25">
    <cfRule type="cellIs" dxfId="25" priority="24" operator="equal">
      <formula>0</formula>
    </cfRule>
    <cfRule type="cellIs" dxfId="24" priority="25" operator="notEqual">
      <formula>0</formula>
    </cfRule>
  </conditionalFormatting>
  <conditionalFormatting sqref="H38">
    <cfRule type="cellIs" dxfId="23" priority="20" operator="equal">
      <formula>0</formula>
    </cfRule>
    <cfRule type="cellIs" dxfId="22" priority="21" operator="notEqual">
      <formula>0</formula>
    </cfRule>
  </conditionalFormatting>
  <conditionalFormatting sqref="I3:I4">
    <cfRule type="notContainsBlanks" dxfId="21" priority="7">
      <formula>LEN(TRIM(I3))&gt;0</formula>
    </cfRule>
  </conditionalFormatting>
  <conditionalFormatting sqref="I24:I25">
    <cfRule type="notContainsBlanks" dxfId="20" priority="8">
      <formula>LEN(TRIM(I24))&gt;0</formula>
    </cfRule>
  </conditionalFormatting>
  <conditionalFormatting sqref="I37:I38">
    <cfRule type="notContainsBlanks" dxfId="19" priority="5">
      <formula>LEN(TRIM(I37))&gt;0</formula>
    </cfRule>
  </conditionalFormatting>
  <conditionalFormatting sqref="K24:N24">
    <cfRule type="cellIs" dxfId="18" priority="3" operator="notEqual">
      <formula>0</formula>
    </cfRule>
    <cfRule type="cellIs" dxfId="17" priority="4" operator="equal">
      <formula>0</formula>
    </cfRule>
  </conditionalFormatting>
  <conditionalFormatting sqref="K37:N37">
    <cfRule type="cellIs" dxfId="16" priority="1" operator="notEqual">
      <formula>0</formula>
    </cfRule>
    <cfRule type="cellIs" dxfId="15" priority="2" operator="equal">
      <formula>0</formula>
    </cfRule>
  </conditionalFormatting>
  <conditionalFormatting sqref="K3:P3">
    <cfRule type="cellIs" dxfId="14" priority="14" operator="notEqual">
      <formula>0</formula>
    </cfRule>
    <cfRule type="cellIs" dxfId="13" priority="15" operator="equal">
      <formula>0</formula>
    </cfRule>
  </conditionalFormatting>
  <conditionalFormatting sqref="R3">
    <cfRule type="expression" dxfId="12" priority="16">
      <formula>$S$2="NO"</formula>
    </cfRule>
  </conditionalFormatting>
  <pageMargins left="0.7" right="0.7" top="0.75" bottom="0.75" header="0.3" footer="0.3"/>
  <pageSetup scale="62" fitToWidth="2" orientation="landscape" r:id="rId1"/>
  <colBreaks count="1" manualBreakCount="1">
    <brk id="9" max="53"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zoomScale="80" zoomScaleNormal="80" workbookViewId="0">
      <selection activeCell="G21" sqref="G21"/>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0" customWidth="1"/>
  </cols>
  <sheetData>
    <row r="1" spans="1:9" x14ac:dyDescent="0.2">
      <c r="A1" s="95" t="str">
        <f>'DOE25'!A1</f>
        <v>NAME:</v>
      </c>
      <c r="B1" s="2"/>
      <c r="C1" s="13"/>
      <c r="D1" s="13"/>
      <c r="E1" s="15"/>
      <c r="F1" s="13"/>
      <c r="G1" s="13"/>
      <c r="H1" s="90"/>
      <c r="I1" s="90"/>
    </row>
    <row r="2" spans="1:9" x14ac:dyDescent="0.2">
      <c r="A2" s="4" t="str">
        <f>'DOE25'!A2</f>
        <v>Pembroke</v>
      </c>
      <c r="C2" s="15" t="s">
        <v>264</v>
      </c>
      <c r="D2" s="15" t="s">
        <v>265</v>
      </c>
      <c r="E2" s="15" t="s">
        <v>266</v>
      </c>
      <c r="F2" s="15" t="s">
        <v>267</v>
      </c>
      <c r="G2" s="15" t="s">
        <v>268</v>
      </c>
      <c r="H2" s="91"/>
      <c r="I2" s="91"/>
    </row>
    <row r="3" spans="1:9" x14ac:dyDescent="0.2">
      <c r="A3" s="5" t="s">
        <v>270</v>
      </c>
      <c r="B3" s="6" t="s">
        <v>138</v>
      </c>
      <c r="C3" s="22" t="s">
        <v>273</v>
      </c>
      <c r="D3" s="22" t="s">
        <v>274</v>
      </c>
      <c r="E3" s="22" t="s">
        <v>275</v>
      </c>
      <c r="F3" s="22" t="s">
        <v>276</v>
      </c>
      <c r="G3" s="22" t="s">
        <v>277</v>
      </c>
      <c r="H3" s="4"/>
      <c r="I3" s="4"/>
    </row>
    <row r="4" spans="1:9" x14ac:dyDescent="0.2">
      <c r="A4" s="1" t="s">
        <v>279</v>
      </c>
      <c r="B4" s="3"/>
      <c r="C4" s="3"/>
      <c r="D4" s="3"/>
      <c r="E4" s="3"/>
      <c r="F4" s="3"/>
      <c r="G4" s="3"/>
      <c r="H4" s="90"/>
      <c r="I4" s="90"/>
    </row>
    <row r="5" spans="1:9" x14ac:dyDescent="0.2">
      <c r="A5" s="3"/>
      <c r="B5" s="7"/>
      <c r="C5" s="24" t="s">
        <v>280</v>
      </c>
      <c r="D5" s="25" t="s">
        <v>281</v>
      </c>
      <c r="E5" s="24" t="s">
        <v>282</v>
      </c>
      <c r="F5" s="24" t="s">
        <v>283</v>
      </c>
      <c r="G5" s="24" t="s">
        <v>284</v>
      </c>
      <c r="H5" s="24" t="s">
        <v>100</v>
      </c>
      <c r="I5" s="90"/>
    </row>
    <row r="6" spans="1:9" x14ac:dyDescent="0.2">
      <c r="A6" s="1" t="s">
        <v>285</v>
      </c>
      <c r="B6" s="7"/>
      <c r="C6" s="14" t="s">
        <v>286</v>
      </c>
      <c r="D6" s="13"/>
      <c r="E6" s="13"/>
      <c r="F6" s="13"/>
      <c r="G6" s="13"/>
      <c r="H6" s="90"/>
      <c r="I6" s="90"/>
    </row>
    <row r="7" spans="1:9" x14ac:dyDescent="0.2">
      <c r="A7" s="28" t="s">
        <v>287</v>
      </c>
      <c r="B7" s="7"/>
      <c r="C7" s="23" t="s">
        <v>288</v>
      </c>
      <c r="D7" s="23" t="s">
        <v>288</v>
      </c>
      <c r="E7" s="23" t="s">
        <v>288</v>
      </c>
      <c r="F7" s="23" t="s">
        <v>288</v>
      </c>
      <c r="G7" s="23" t="s">
        <v>288</v>
      </c>
      <c r="H7" s="23" t="s">
        <v>288</v>
      </c>
      <c r="I7" s="90"/>
    </row>
    <row r="8" spans="1:9" x14ac:dyDescent="0.2">
      <c r="A8" s="1" t="s">
        <v>139</v>
      </c>
      <c r="B8" s="6">
        <v>100</v>
      </c>
      <c r="C8" s="73">
        <f>'DOE25'!F9</f>
        <v>840294.42</v>
      </c>
      <c r="D8" s="73">
        <f>'DOE25'!G9</f>
        <v>14.79</v>
      </c>
      <c r="E8" s="73">
        <f>'DOE25'!H9</f>
        <v>0</v>
      </c>
      <c r="F8" s="73">
        <f>'DOE25'!I9</f>
        <v>0</v>
      </c>
      <c r="G8" s="73">
        <f>'DOE25'!J9</f>
        <v>1688749</v>
      </c>
      <c r="H8" s="13">
        <f>SUM(C8:G8)</f>
        <v>2529058.21</v>
      </c>
      <c r="I8" s="90"/>
    </row>
    <row r="9" spans="1:9" x14ac:dyDescent="0.2">
      <c r="A9" s="1" t="s">
        <v>140</v>
      </c>
      <c r="B9" s="6">
        <v>110</v>
      </c>
      <c r="C9" s="73">
        <f>'DOE25'!F10</f>
        <v>0</v>
      </c>
      <c r="D9" s="73">
        <f>'DOE25'!G10</f>
        <v>0</v>
      </c>
      <c r="E9" s="73">
        <f>'DOE25'!H10</f>
        <v>0</v>
      </c>
      <c r="F9" s="73">
        <f>'DOE25'!I10</f>
        <v>0</v>
      </c>
      <c r="G9" s="73">
        <f>'DOE25'!J10</f>
        <v>0</v>
      </c>
      <c r="H9" s="13">
        <f t="shared" ref="H9:H18" si="0">SUM(C9:G9)</f>
        <v>0</v>
      </c>
      <c r="I9" s="90"/>
    </row>
    <row r="10" spans="1:9" x14ac:dyDescent="0.2">
      <c r="A10" s="1" t="s">
        <v>141</v>
      </c>
      <c r="B10" s="6">
        <v>120</v>
      </c>
      <c r="C10" s="73">
        <f>'DOE25'!F11</f>
        <v>0</v>
      </c>
      <c r="D10" s="23" t="s">
        <v>288</v>
      </c>
      <c r="E10" s="23" t="s">
        <v>288</v>
      </c>
      <c r="F10" s="23" t="s">
        <v>288</v>
      </c>
      <c r="G10" s="23" t="s">
        <v>288</v>
      </c>
      <c r="H10" s="13">
        <f t="shared" si="0"/>
        <v>0</v>
      </c>
      <c r="I10" s="90"/>
    </row>
    <row r="11" spans="1:9" x14ac:dyDescent="0.2">
      <c r="A11" s="1" t="s">
        <v>142</v>
      </c>
      <c r="B11" s="6">
        <v>130</v>
      </c>
      <c r="C11" s="73">
        <f>'DOE25'!F12</f>
        <v>0</v>
      </c>
      <c r="D11" s="73">
        <f>'DOE25'!G12</f>
        <v>0</v>
      </c>
      <c r="E11" s="73">
        <f>'DOE25'!H12</f>
        <v>0</v>
      </c>
      <c r="F11" s="73">
        <f>'DOE25'!I12</f>
        <v>0</v>
      </c>
      <c r="G11" s="73">
        <f>'DOE25'!J12</f>
        <v>0</v>
      </c>
      <c r="H11" s="13">
        <f t="shared" si="0"/>
        <v>0</v>
      </c>
      <c r="I11" s="90"/>
    </row>
    <row r="12" spans="1:9" x14ac:dyDescent="0.2">
      <c r="A12" s="1" t="s">
        <v>143</v>
      </c>
      <c r="B12" s="6">
        <v>140</v>
      </c>
      <c r="C12" s="73">
        <f>'DOE25'!F13</f>
        <v>-307868.27</v>
      </c>
      <c r="D12" s="73">
        <f>'DOE25'!G13</f>
        <v>87286.44</v>
      </c>
      <c r="E12" s="73">
        <f>'DOE25'!H13</f>
        <v>90462.96</v>
      </c>
      <c r="F12" s="73">
        <f>'DOE25'!I13</f>
        <v>0</v>
      </c>
      <c r="G12" s="73">
        <f>'DOE25'!J13</f>
        <v>0</v>
      </c>
      <c r="H12" s="13">
        <f t="shared" si="0"/>
        <v>-130118.87000000001</v>
      </c>
      <c r="I12" s="90"/>
    </row>
    <row r="13" spans="1:9" x14ac:dyDescent="0.2">
      <c r="A13" s="1" t="s">
        <v>144</v>
      </c>
      <c r="B13" s="6">
        <v>150</v>
      </c>
      <c r="C13" s="73">
        <f>'DOE25'!F14</f>
        <v>158961.13</v>
      </c>
      <c r="D13" s="73">
        <f>'DOE25'!G14</f>
        <v>369958.62</v>
      </c>
      <c r="E13" s="73">
        <f>'DOE25'!H14</f>
        <v>-3300.33</v>
      </c>
      <c r="F13" s="73">
        <f>'DOE25'!I14</f>
        <v>0</v>
      </c>
      <c r="G13" s="73">
        <f>'DOE25'!J14</f>
        <v>0</v>
      </c>
      <c r="H13" s="13">
        <f t="shared" si="0"/>
        <v>525619.42000000004</v>
      </c>
      <c r="I13" s="90"/>
    </row>
    <row r="14" spans="1:9" x14ac:dyDescent="0.2">
      <c r="A14" s="1" t="s">
        <v>145</v>
      </c>
      <c r="B14" s="6">
        <v>160</v>
      </c>
      <c r="C14" s="23" t="s">
        <v>288</v>
      </c>
      <c r="D14" s="23" t="s">
        <v>288</v>
      </c>
      <c r="E14" s="23" t="s">
        <v>288</v>
      </c>
      <c r="F14" s="73">
        <f>'DOE25'!I15</f>
        <v>0</v>
      </c>
      <c r="G14" s="23" t="s">
        <v>288</v>
      </c>
      <c r="H14" s="13">
        <f t="shared" si="0"/>
        <v>0</v>
      </c>
      <c r="I14" s="90"/>
    </row>
    <row r="15" spans="1:9" x14ac:dyDescent="0.2">
      <c r="A15" s="1" t="s">
        <v>146</v>
      </c>
      <c r="B15" s="6">
        <v>170</v>
      </c>
      <c r="C15" s="73">
        <f>'DOE25'!F16</f>
        <v>0</v>
      </c>
      <c r="D15" s="73">
        <f>'DOE25'!G16</f>
        <v>39804.879999999997</v>
      </c>
      <c r="E15" s="73">
        <f>'DOE25'!H16</f>
        <v>0</v>
      </c>
      <c r="F15" s="73">
        <f>'DOE25'!I16</f>
        <v>0</v>
      </c>
      <c r="G15" s="23" t="s">
        <v>288</v>
      </c>
      <c r="H15" s="13">
        <f t="shared" si="0"/>
        <v>39804.879999999997</v>
      </c>
      <c r="I15" s="90"/>
    </row>
    <row r="16" spans="1:9" x14ac:dyDescent="0.2">
      <c r="A16" s="1" t="s">
        <v>147</v>
      </c>
      <c r="B16" s="6">
        <v>180</v>
      </c>
      <c r="C16" s="73">
        <f>'DOE25'!F17</f>
        <v>411809</v>
      </c>
      <c r="D16" s="73">
        <f>'DOE25'!G17</f>
        <v>0</v>
      </c>
      <c r="E16" s="73">
        <f>'DOE25'!H17</f>
        <v>0</v>
      </c>
      <c r="F16" s="73">
        <f>'DOE25'!I17</f>
        <v>0</v>
      </c>
      <c r="G16" s="73">
        <f>'DOE25'!J17</f>
        <v>0</v>
      </c>
      <c r="H16" s="13">
        <f t="shared" si="0"/>
        <v>411809</v>
      </c>
      <c r="I16" s="90"/>
    </row>
    <row r="17" spans="1:9" ht="12" thickBot="1" x14ac:dyDescent="0.25">
      <c r="A17" s="1" t="s">
        <v>148</v>
      </c>
      <c r="B17" s="6">
        <v>190</v>
      </c>
      <c r="C17" s="73">
        <f>'DOE25'!F18</f>
        <v>0</v>
      </c>
      <c r="D17" s="73">
        <f>'DOE25'!G18</f>
        <v>0</v>
      </c>
      <c r="E17" s="73">
        <f>'DOE25'!H18</f>
        <v>0</v>
      </c>
      <c r="F17" s="73">
        <f>'DOE25'!I18</f>
        <v>0</v>
      </c>
      <c r="G17" s="73">
        <f>'DOE25'!J18</f>
        <v>0</v>
      </c>
      <c r="H17" s="13">
        <f t="shared" si="0"/>
        <v>0</v>
      </c>
      <c r="I17" s="90"/>
    </row>
    <row r="18" spans="1:9" ht="12" thickTop="1" x14ac:dyDescent="0.2">
      <c r="A18" s="35" t="s">
        <v>149</v>
      </c>
      <c r="B18" s="36"/>
      <c r="C18" s="38">
        <f>SUM(C8:C17)</f>
        <v>1103196.28</v>
      </c>
      <c r="D18" s="38">
        <f>SUM(D8:D17)</f>
        <v>497064.73</v>
      </c>
      <c r="E18" s="38">
        <f>SUM(E8:E17)</f>
        <v>87162.63</v>
      </c>
      <c r="F18" s="38">
        <f>SUM(F8:F17)</f>
        <v>0</v>
      </c>
      <c r="G18" s="38">
        <f>SUM(G8:G17)</f>
        <v>1688749</v>
      </c>
      <c r="H18" s="38">
        <f t="shared" si="0"/>
        <v>3376172.64</v>
      </c>
      <c r="I18" s="90"/>
    </row>
    <row r="19" spans="1:9" x14ac:dyDescent="0.2">
      <c r="A19" s="1" t="s">
        <v>302</v>
      </c>
      <c r="B19" s="3"/>
      <c r="C19" s="13"/>
      <c r="D19" s="13"/>
      <c r="E19" s="13"/>
      <c r="F19" s="13"/>
      <c r="G19" s="13"/>
      <c r="H19" s="13"/>
      <c r="I19" s="90"/>
    </row>
    <row r="20" spans="1:9" x14ac:dyDescent="0.2">
      <c r="A20" s="28" t="s">
        <v>303</v>
      </c>
      <c r="B20" s="7"/>
      <c r="C20" s="23" t="s">
        <v>288</v>
      </c>
      <c r="D20" s="23" t="s">
        <v>288</v>
      </c>
      <c r="E20" s="23" t="s">
        <v>288</v>
      </c>
      <c r="F20" s="23" t="s">
        <v>288</v>
      </c>
      <c r="G20" s="23" t="s">
        <v>288</v>
      </c>
      <c r="H20" s="23" t="s">
        <v>288</v>
      </c>
      <c r="I20" s="90"/>
    </row>
    <row r="21" spans="1:9" x14ac:dyDescent="0.2">
      <c r="A21" s="1" t="s">
        <v>150</v>
      </c>
      <c r="B21" s="6">
        <v>400</v>
      </c>
      <c r="C21" s="73">
        <f>'DOE25'!F22</f>
        <v>0</v>
      </c>
      <c r="D21" s="73">
        <f>'DOE25'!G22</f>
        <v>0</v>
      </c>
      <c r="E21" s="73">
        <f>'DOE25'!H22</f>
        <v>56634.63</v>
      </c>
      <c r="F21" s="73">
        <f>'DOE25'!I22</f>
        <v>0</v>
      </c>
      <c r="G21" s="73">
        <f>'DOE25'!J22</f>
        <v>0</v>
      </c>
      <c r="H21" s="13">
        <f t="shared" ref="H21:H31" si="1">SUM(C21:G21)</f>
        <v>56634.63</v>
      </c>
      <c r="I21" s="90"/>
    </row>
    <row r="22" spans="1:9" x14ac:dyDescent="0.2">
      <c r="A22" s="1" t="s">
        <v>151</v>
      </c>
      <c r="B22" s="6">
        <v>410</v>
      </c>
      <c r="C22" s="73">
        <f>'DOE25'!F23</f>
        <v>397021.1</v>
      </c>
      <c r="D22" s="73">
        <f>'DOE25'!G23</f>
        <v>42387.97</v>
      </c>
      <c r="E22" s="73">
        <f>'DOE25'!H23</f>
        <v>1675.95</v>
      </c>
      <c r="F22" s="73">
        <f>'DOE25'!I23</f>
        <v>0</v>
      </c>
      <c r="G22" s="73">
        <f>'DOE25'!J23</f>
        <v>0</v>
      </c>
      <c r="H22" s="13">
        <f t="shared" si="1"/>
        <v>441085.01999999996</v>
      </c>
      <c r="I22" s="90"/>
    </row>
    <row r="23" spans="1:9" x14ac:dyDescent="0.2">
      <c r="A23" s="1" t="s">
        <v>152</v>
      </c>
      <c r="B23" s="6">
        <v>420</v>
      </c>
      <c r="C23" s="73">
        <f>'DOE25'!F24</f>
        <v>519560.25</v>
      </c>
      <c r="D23" s="73">
        <f>'DOE25'!G24</f>
        <v>8796</v>
      </c>
      <c r="E23" s="73">
        <f>'DOE25'!H24</f>
        <v>0</v>
      </c>
      <c r="F23" s="73">
        <f>'DOE25'!I24</f>
        <v>0</v>
      </c>
      <c r="G23" s="73">
        <f>'DOE25'!J24</f>
        <v>0</v>
      </c>
      <c r="H23" s="13">
        <f t="shared" si="1"/>
        <v>528356.25</v>
      </c>
      <c r="I23" s="90"/>
    </row>
    <row r="24" spans="1:9" x14ac:dyDescent="0.2">
      <c r="A24" s="1" t="s">
        <v>153</v>
      </c>
      <c r="B24" s="6">
        <v>430</v>
      </c>
      <c r="C24" s="73">
        <f>'DOE25'!F25</f>
        <v>0</v>
      </c>
      <c r="D24" s="73">
        <f>'DOE25'!G25</f>
        <v>0</v>
      </c>
      <c r="E24" s="73">
        <f>'DOE25'!H25</f>
        <v>0</v>
      </c>
      <c r="F24" s="73">
        <f>'DOE25'!I25</f>
        <v>0</v>
      </c>
      <c r="G24" s="23" t="s">
        <v>288</v>
      </c>
      <c r="H24" s="13">
        <f t="shared" si="1"/>
        <v>0</v>
      </c>
      <c r="I24" s="90"/>
    </row>
    <row r="25" spans="1:9" x14ac:dyDescent="0.2">
      <c r="A25" s="1" t="s">
        <v>154</v>
      </c>
      <c r="B25" s="6">
        <v>440</v>
      </c>
      <c r="C25" s="73">
        <f>'DOE25'!F26</f>
        <v>0</v>
      </c>
      <c r="D25" s="23" t="s">
        <v>288</v>
      </c>
      <c r="E25" s="23" t="s">
        <v>288</v>
      </c>
      <c r="F25" s="73">
        <f>'DOE25'!I26</f>
        <v>0</v>
      </c>
      <c r="G25" s="23" t="s">
        <v>288</v>
      </c>
      <c r="H25" s="13">
        <f t="shared" si="1"/>
        <v>0</v>
      </c>
      <c r="I25" s="90"/>
    </row>
    <row r="26" spans="1:9" x14ac:dyDescent="0.2">
      <c r="A26" s="1" t="s">
        <v>155</v>
      </c>
      <c r="B26" s="6">
        <v>450</v>
      </c>
      <c r="C26" s="73">
        <f>'DOE25'!F27</f>
        <v>0</v>
      </c>
      <c r="D26" s="23" t="s">
        <v>288</v>
      </c>
      <c r="E26" s="23" t="s">
        <v>288</v>
      </c>
      <c r="F26" s="73">
        <f>'DOE25'!I27</f>
        <v>0</v>
      </c>
      <c r="G26" s="23" t="s">
        <v>288</v>
      </c>
      <c r="H26" s="13">
        <f t="shared" si="1"/>
        <v>0</v>
      </c>
      <c r="I26" s="90"/>
    </row>
    <row r="27" spans="1:9" x14ac:dyDescent="0.2">
      <c r="A27" s="1" t="s">
        <v>156</v>
      </c>
      <c r="B27" s="6">
        <v>460</v>
      </c>
      <c r="C27" s="73">
        <f>'DOE25'!F28</f>
        <v>0</v>
      </c>
      <c r="D27" s="73">
        <f>'DOE25'!G28</f>
        <v>0</v>
      </c>
      <c r="E27" s="73">
        <f>'DOE25'!H28</f>
        <v>0</v>
      </c>
      <c r="F27" s="73">
        <f>'DOE25'!I28</f>
        <v>0</v>
      </c>
      <c r="G27" s="23" t="s">
        <v>288</v>
      </c>
      <c r="H27" s="13">
        <f t="shared" si="1"/>
        <v>0</v>
      </c>
      <c r="I27" s="90"/>
    </row>
    <row r="28" spans="1:9" x14ac:dyDescent="0.2">
      <c r="A28" s="1" t="s">
        <v>157</v>
      </c>
      <c r="B28" s="6">
        <v>470</v>
      </c>
      <c r="C28" s="73">
        <f>'DOE25'!F29</f>
        <v>0</v>
      </c>
      <c r="D28" s="73">
        <f>'DOE25'!G29</f>
        <v>0</v>
      </c>
      <c r="E28" s="73">
        <f>'DOE25'!H29</f>
        <v>0</v>
      </c>
      <c r="F28" s="73">
        <f>'DOE25'!I29</f>
        <v>0</v>
      </c>
      <c r="G28" s="23" t="s">
        <v>288</v>
      </c>
      <c r="H28" s="13">
        <f t="shared" si="1"/>
        <v>0</v>
      </c>
      <c r="I28" s="90"/>
    </row>
    <row r="29" spans="1:9" x14ac:dyDescent="0.2">
      <c r="A29" s="1" t="s">
        <v>158</v>
      </c>
      <c r="B29" s="6">
        <v>480</v>
      </c>
      <c r="C29" s="73">
        <f>'DOE25'!F30</f>
        <v>0</v>
      </c>
      <c r="D29" s="73">
        <f>'DOE25'!G30</f>
        <v>0</v>
      </c>
      <c r="E29" s="73">
        <f>'DOE25'!H30</f>
        <v>0</v>
      </c>
      <c r="F29" s="73">
        <f>'DOE25'!I30</f>
        <v>0</v>
      </c>
      <c r="G29" s="23" t="s">
        <v>288</v>
      </c>
      <c r="H29" s="13">
        <f t="shared" si="1"/>
        <v>0</v>
      </c>
      <c r="I29" s="90"/>
    </row>
    <row r="30" spans="1:9" ht="12" thickBot="1" x14ac:dyDescent="0.25">
      <c r="A30" s="1" t="s">
        <v>159</v>
      </c>
      <c r="B30" s="56">
        <v>490</v>
      </c>
      <c r="C30" s="73">
        <f>'DOE25'!F31</f>
        <v>0</v>
      </c>
      <c r="D30" s="73">
        <f>'DOE25'!G31</f>
        <v>0</v>
      </c>
      <c r="E30" s="73">
        <f>'DOE25'!H31</f>
        <v>2275.58</v>
      </c>
      <c r="F30" s="73">
        <f>'DOE25'!I31</f>
        <v>0</v>
      </c>
      <c r="G30" s="73">
        <f>'DOE25'!J31</f>
        <v>0</v>
      </c>
      <c r="H30" s="13">
        <f t="shared" si="1"/>
        <v>2275.58</v>
      </c>
      <c r="I30" s="90"/>
    </row>
    <row r="31" spans="1:9" ht="12" thickTop="1" x14ac:dyDescent="0.2">
      <c r="A31" s="35" t="s">
        <v>160</v>
      </c>
      <c r="B31" s="2"/>
      <c r="C31" s="38">
        <f>SUM(C21:C30)</f>
        <v>916581.35</v>
      </c>
      <c r="D31" s="38">
        <f>SUM(D21:D30)</f>
        <v>51183.97</v>
      </c>
      <c r="E31" s="38">
        <f>SUM(E21:E30)</f>
        <v>60586.159999999996</v>
      </c>
      <c r="F31" s="38">
        <f>SUM(F21:F30)</f>
        <v>0</v>
      </c>
      <c r="G31" s="38">
        <f>SUM(G21:G30)</f>
        <v>0</v>
      </c>
      <c r="H31" s="38">
        <f t="shared" si="1"/>
        <v>1028351.48</v>
      </c>
      <c r="I31" s="90"/>
    </row>
    <row r="32" spans="1:9" x14ac:dyDescent="0.2">
      <c r="A32" s="28" t="s">
        <v>304</v>
      </c>
      <c r="B32" s="2" t="s">
        <v>286</v>
      </c>
      <c r="C32" s="23" t="s">
        <v>288</v>
      </c>
      <c r="D32" s="23" t="s">
        <v>288</v>
      </c>
      <c r="E32" s="23" t="s">
        <v>288</v>
      </c>
      <c r="F32" s="23" t="s">
        <v>288</v>
      </c>
      <c r="G32" s="23" t="s">
        <v>288</v>
      </c>
      <c r="H32" s="23" t="s">
        <v>288</v>
      </c>
      <c r="I32" s="90"/>
    </row>
    <row r="33" spans="1:9" x14ac:dyDescent="0.2">
      <c r="A33" s="28" t="s">
        <v>842</v>
      </c>
      <c r="B33" s="2"/>
      <c r="C33" s="23" t="s">
        <v>288</v>
      </c>
      <c r="D33" s="23" t="s">
        <v>288</v>
      </c>
      <c r="E33" s="23" t="s">
        <v>288</v>
      </c>
      <c r="F33" s="23" t="s">
        <v>288</v>
      </c>
      <c r="G33" s="23" t="s">
        <v>288</v>
      </c>
      <c r="H33" s="23" t="s">
        <v>288</v>
      </c>
      <c r="I33" s="90"/>
    </row>
    <row r="34" spans="1:9" x14ac:dyDescent="0.2">
      <c r="A34" s="1" t="s">
        <v>845</v>
      </c>
      <c r="B34" s="6">
        <v>751</v>
      </c>
      <c r="C34" s="73">
        <f>'DOE25'!F35</f>
        <v>0</v>
      </c>
      <c r="D34" s="73">
        <f>'DOE25'!G35</f>
        <v>0</v>
      </c>
      <c r="E34" s="73">
        <f>'DOE25'!H35</f>
        <v>0</v>
      </c>
      <c r="F34" s="73">
        <f>'DOE25'!I35</f>
        <v>0</v>
      </c>
      <c r="G34" s="23" t="s">
        <v>288</v>
      </c>
      <c r="H34" s="13">
        <f t="shared" ref="H34:H51" si="2">SUM(C34:G34)</f>
        <v>0</v>
      </c>
      <c r="I34" s="90"/>
    </row>
    <row r="35" spans="1:9" x14ac:dyDescent="0.2">
      <c r="A35" s="1" t="s">
        <v>846</v>
      </c>
      <c r="B35" s="6">
        <v>752</v>
      </c>
      <c r="C35" s="73">
        <f>'DOE25'!F36</f>
        <v>0</v>
      </c>
      <c r="D35" s="73">
        <f>'DOE25'!G36</f>
        <v>0</v>
      </c>
      <c r="E35" s="73">
        <f>'DOE25'!H36</f>
        <v>0</v>
      </c>
      <c r="F35" s="73">
        <f>'DOE25'!I36</f>
        <v>0</v>
      </c>
      <c r="G35" s="23" t="s">
        <v>288</v>
      </c>
      <c r="H35" s="13">
        <f t="shared" si="2"/>
        <v>0</v>
      </c>
      <c r="I35" s="90"/>
    </row>
    <row r="36" spans="1:9" x14ac:dyDescent="0.2">
      <c r="A36" s="1" t="s">
        <v>852</v>
      </c>
      <c r="B36" s="6">
        <v>756</v>
      </c>
      <c r="C36" s="73">
        <f>'DOE25'!F37</f>
        <v>0</v>
      </c>
      <c r="D36" s="73">
        <f>'DOE25'!G37</f>
        <v>0</v>
      </c>
      <c r="E36" s="73">
        <f>'DOE25'!H37</f>
        <v>0</v>
      </c>
      <c r="F36" s="73">
        <f>'DOE25'!I37</f>
        <v>0</v>
      </c>
      <c r="G36" s="73">
        <f>'DOE25'!J37</f>
        <v>0</v>
      </c>
      <c r="H36" s="13">
        <f t="shared" si="2"/>
        <v>0</v>
      </c>
      <c r="I36" s="90"/>
    </row>
    <row r="37" spans="1:9" x14ac:dyDescent="0.2">
      <c r="A37" s="28" t="s">
        <v>841</v>
      </c>
      <c r="B37" s="6"/>
      <c r="C37" s="23" t="s">
        <v>288</v>
      </c>
      <c r="D37" s="23" t="s">
        <v>288</v>
      </c>
      <c r="E37" s="23" t="s">
        <v>288</v>
      </c>
      <c r="F37" s="23" t="s">
        <v>288</v>
      </c>
      <c r="G37" s="23" t="s">
        <v>288</v>
      </c>
      <c r="H37" s="23" t="s">
        <v>288</v>
      </c>
      <c r="I37" s="90"/>
    </row>
    <row r="38" spans="1:9" x14ac:dyDescent="0.2">
      <c r="A38" s="1" t="s">
        <v>853</v>
      </c>
      <c r="B38" s="6">
        <v>756</v>
      </c>
      <c r="C38" s="73">
        <f>'DOE25'!F39</f>
        <v>0</v>
      </c>
      <c r="D38" s="73">
        <f>'DOE25'!G39</f>
        <v>0</v>
      </c>
      <c r="E38" s="73">
        <f>'DOE25'!H39</f>
        <v>0</v>
      </c>
      <c r="F38" s="73">
        <f>'DOE25'!I39</f>
        <v>0</v>
      </c>
      <c r="G38" s="73">
        <f>'DOE25'!J39</f>
        <v>0</v>
      </c>
      <c r="H38" s="13">
        <f t="shared" si="2"/>
        <v>0</v>
      </c>
      <c r="I38" s="90"/>
    </row>
    <row r="39" spans="1:9" x14ac:dyDescent="0.2">
      <c r="A39" s="1" t="s">
        <v>857</v>
      </c>
      <c r="B39" s="6"/>
      <c r="C39" s="23" t="s">
        <v>288</v>
      </c>
      <c r="D39" s="73">
        <f>'DOE25'!G40</f>
        <v>0</v>
      </c>
      <c r="E39" s="23" t="s">
        <v>288</v>
      </c>
      <c r="F39" s="23" t="s">
        <v>288</v>
      </c>
      <c r="G39" s="23" t="s">
        <v>288</v>
      </c>
      <c r="H39" s="13">
        <f t="shared" si="2"/>
        <v>0</v>
      </c>
      <c r="I39" s="90"/>
    </row>
    <row r="40" spans="1:9" x14ac:dyDescent="0.2">
      <c r="A40" s="1" t="s">
        <v>867</v>
      </c>
      <c r="B40" s="6"/>
      <c r="C40" s="23" t="s">
        <v>288</v>
      </c>
      <c r="D40" s="23" t="s">
        <v>288</v>
      </c>
      <c r="E40" s="23" t="s">
        <v>288</v>
      </c>
      <c r="F40" s="73">
        <f>'DOE25'!I41</f>
        <v>0</v>
      </c>
      <c r="G40" s="23" t="s">
        <v>288</v>
      </c>
      <c r="H40" s="13">
        <f t="shared" si="2"/>
        <v>0</v>
      </c>
      <c r="I40" s="90"/>
    </row>
    <row r="41" spans="1:9" x14ac:dyDescent="0.2">
      <c r="A41" s="28" t="s">
        <v>843</v>
      </c>
      <c r="B41" s="6"/>
      <c r="C41" s="23" t="s">
        <v>288</v>
      </c>
      <c r="D41" s="23" t="s">
        <v>288</v>
      </c>
      <c r="E41" s="23" t="s">
        <v>288</v>
      </c>
      <c r="F41" s="23" t="s">
        <v>288</v>
      </c>
      <c r="G41" s="23" t="s">
        <v>288</v>
      </c>
      <c r="H41" s="23" t="s">
        <v>288</v>
      </c>
      <c r="I41" s="90"/>
    </row>
    <row r="42" spans="1:9" x14ac:dyDescent="0.2">
      <c r="A42" s="1" t="s">
        <v>858</v>
      </c>
      <c r="B42" s="6">
        <v>754</v>
      </c>
      <c r="C42" s="73">
        <f>'DOE25'!F43</f>
        <v>0</v>
      </c>
      <c r="D42" s="73">
        <f>'DOE25'!G43</f>
        <v>0</v>
      </c>
      <c r="E42" s="73">
        <f>'DOE25'!H43</f>
        <v>0</v>
      </c>
      <c r="F42" s="73">
        <f>'DOE25'!I43</f>
        <v>0</v>
      </c>
      <c r="G42" s="73">
        <f>'DOE25'!J43</f>
        <v>0</v>
      </c>
      <c r="H42" s="13">
        <f t="shared" si="2"/>
        <v>0</v>
      </c>
      <c r="I42" s="90"/>
    </row>
    <row r="43" spans="1:9" x14ac:dyDescent="0.2">
      <c r="A43" s="1" t="s">
        <v>859</v>
      </c>
      <c r="B43" s="6">
        <v>755</v>
      </c>
      <c r="C43" s="73">
        <f>'DOE25'!F44</f>
        <v>186614.93</v>
      </c>
      <c r="D43" s="73">
        <f>'DOE25'!G44</f>
        <v>0</v>
      </c>
      <c r="E43" s="73">
        <f>'DOE25'!H44</f>
        <v>0</v>
      </c>
      <c r="F43" s="73">
        <f>'DOE25'!I44</f>
        <v>0</v>
      </c>
      <c r="G43" s="23" t="s">
        <v>288</v>
      </c>
      <c r="H43" s="13">
        <f t="shared" si="2"/>
        <v>186614.93</v>
      </c>
      <c r="I43" s="90"/>
    </row>
    <row r="44" spans="1:9" x14ac:dyDescent="0.2">
      <c r="A44" s="1" t="s">
        <v>860</v>
      </c>
      <c r="B44" s="6">
        <v>753</v>
      </c>
      <c r="C44" s="73">
        <f>'DOE25'!F45</f>
        <v>0</v>
      </c>
      <c r="D44" s="73">
        <f>'DOE25'!G45</f>
        <v>0</v>
      </c>
      <c r="E44" s="73">
        <f>'DOE25'!H45</f>
        <v>0</v>
      </c>
      <c r="F44" s="73">
        <f>'DOE25'!I45</f>
        <v>0</v>
      </c>
      <c r="G44" s="73">
        <f>'DOE25'!J45</f>
        <v>0</v>
      </c>
      <c r="H44" s="13">
        <f t="shared" si="2"/>
        <v>0</v>
      </c>
      <c r="I44" s="90"/>
    </row>
    <row r="45" spans="1:9" x14ac:dyDescent="0.2">
      <c r="A45" s="1" t="s">
        <v>876</v>
      </c>
      <c r="B45" s="6"/>
      <c r="C45" s="73">
        <f>'DOE25'!F46</f>
        <v>0</v>
      </c>
      <c r="D45" s="23" t="s">
        <v>288</v>
      </c>
      <c r="E45" s="23" t="s">
        <v>288</v>
      </c>
      <c r="F45" s="23" t="s">
        <v>288</v>
      </c>
      <c r="G45" s="23" t="s">
        <v>288</v>
      </c>
      <c r="H45" s="13">
        <f t="shared" si="2"/>
        <v>0</v>
      </c>
      <c r="I45" s="90"/>
    </row>
    <row r="46" spans="1:9" x14ac:dyDescent="0.2">
      <c r="A46" s="28" t="s">
        <v>844</v>
      </c>
      <c r="B46" s="6"/>
      <c r="C46" s="23" t="s">
        <v>288</v>
      </c>
      <c r="D46" s="23" t="s">
        <v>288</v>
      </c>
      <c r="E46" s="23" t="s">
        <v>288</v>
      </c>
      <c r="F46" s="23" t="s">
        <v>288</v>
      </c>
      <c r="G46" s="23" t="s">
        <v>288</v>
      </c>
      <c r="H46" s="23" t="s">
        <v>288</v>
      </c>
      <c r="I46" s="90"/>
    </row>
    <row r="47" spans="1:9" x14ac:dyDescent="0.2">
      <c r="A47" s="1" t="s">
        <v>877</v>
      </c>
      <c r="B47" s="6">
        <v>760</v>
      </c>
      <c r="C47" s="73">
        <f>'DOE25'!F48</f>
        <v>0</v>
      </c>
      <c r="D47" s="73">
        <f>'DOE25'!G48</f>
        <v>445880.76</v>
      </c>
      <c r="E47" s="73">
        <f>'DOE25'!H48</f>
        <v>26576.47</v>
      </c>
      <c r="F47" s="73">
        <f>'DOE25'!I48</f>
        <v>0</v>
      </c>
      <c r="G47" s="73">
        <f>'DOE25'!J48</f>
        <v>1688749</v>
      </c>
      <c r="H47" s="13">
        <f t="shared" si="2"/>
        <v>2161206.23</v>
      </c>
      <c r="I47" s="90"/>
    </row>
    <row r="48" spans="1:9" x14ac:dyDescent="0.2">
      <c r="A48" s="1" t="s">
        <v>878</v>
      </c>
      <c r="B48" s="6">
        <v>753</v>
      </c>
      <c r="C48" s="73">
        <f>'DOE25'!F49</f>
        <v>0</v>
      </c>
      <c r="D48" s="73">
        <f>'DOE25'!G49</f>
        <v>0</v>
      </c>
      <c r="E48" s="73">
        <f>'DOE25'!H49</f>
        <v>0</v>
      </c>
      <c r="F48" s="73">
        <f>'DOE25'!I49</f>
        <v>0</v>
      </c>
      <c r="G48" s="73">
        <f>'DOE25'!J49</f>
        <v>0</v>
      </c>
      <c r="H48" s="13">
        <f t="shared" si="2"/>
        <v>0</v>
      </c>
      <c r="I48" s="90"/>
    </row>
    <row r="49" spans="1:9" ht="12" thickBot="1" x14ac:dyDescent="0.25">
      <c r="A49" s="28" t="s">
        <v>879</v>
      </c>
      <c r="B49" s="56">
        <v>770</v>
      </c>
      <c r="C49" s="73">
        <f>'DOE25'!F50</f>
        <v>0</v>
      </c>
      <c r="D49" s="23" t="s">
        <v>288</v>
      </c>
      <c r="E49" s="23" t="s">
        <v>288</v>
      </c>
      <c r="F49" s="23" t="s">
        <v>288</v>
      </c>
      <c r="G49" s="23" t="s">
        <v>288</v>
      </c>
      <c r="H49" s="13">
        <f t="shared" si="2"/>
        <v>0</v>
      </c>
      <c r="I49" s="90"/>
    </row>
    <row r="50" spans="1:9" ht="12.75" thickTop="1" thickBot="1" x14ac:dyDescent="0.25">
      <c r="A50" s="35" t="s">
        <v>880</v>
      </c>
      <c r="B50" s="44"/>
      <c r="C50" s="38">
        <f>SUM(C34:C49)</f>
        <v>186614.93</v>
      </c>
      <c r="D50" s="38">
        <f>SUM(D34:D49)</f>
        <v>445880.76</v>
      </c>
      <c r="E50" s="38">
        <f>SUM(E34:E49)</f>
        <v>26576.47</v>
      </c>
      <c r="F50" s="38">
        <f>SUM(F34:F49)</f>
        <v>0</v>
      </c>
      <c r="G50" s="38">
        <f>SUM(G34:G49)</f>
        <v>1688749</v>
      </c>
      <c r="H50" s="38">
        <f t="shared" si="2"/>
        <v>2347821.16</v>
      </c>
      <c r="I50" s="90"/>
    </row>
    <row r="51" spans="1:9" ht="12" thickTop="1" x14ac:dyDescent="0.2">
      <c r="A51" s="35" t="s">
        <v>881</v>
      </c>
      <c r="B51" s="2"/>
      <c r="C51" s="38">
        <f>C50+C31</f>
        <v>1103196.28</v>
      </c>
      <c r="D51" s="38">
        <f>D50+D31</f>
        <v>497064.73</v>
      </c>
      <c r="E51" s="38">
        <f>E50+E31</f>
        <v>87162.63</v>
      </c>
      <c r="F51" s="38">
        <f>F50+F31</f>
        <v>0</v>
      </c>
      <c r="G51" s="38">
        <f>G50+G31</f>
        <v>1688749</v>
      </c>
      <c r="H51" s="38">
        <f t="shared" si="2"/>
        <v>3376172.64</v>
      </c>
      <c r="I51" s="90"/>
    </row>
    <row r="52" spans="1:9" x14ac:dyDescent="0.2">
      <c r="H52" s="13"/>
      <c r="I52" s="90"/>
    </row>
    <row r="53" spans="1:9" x14ac:dyDescent="0.2">
      <c r="B53" s="3"/>
      <c r="C53" s="16" t="s">
        <v>280</v>
      </c>
      <c r="D53" s="16" t="s">
        <v>281</v>
      </c>
      <c r="E53" s="16" t="s">
        <v>282</v>
      </c>
      <c r="F53" s="16" t="s">
        <v>283</v>
      </c>
      <c r="G53" s="16" t="s">
        <v>306</v>
      </c>
      <c r="H53"/>
    </row>
    <row r="54" spans="1:9" x14ac:dyDescent="0.2">
      <c r="A54" s="1" t="s">
        <v>319</v>
      </c>
      <c r="B54" s="3"/>
      <c r="C54" s="23" t="s">
        <v>288</v>
      </c>
      <c r="D54" s="23" t="s">
        <v>288</v>
      </c>
      <c r="E54" s="23" t="s">
        <v>288</v>
      </c>
      <c r="F54" s="23" t="s">
        <v>288</v>
      </c>
      <c r="G54" s="23" t="s">
        <v>288</v>
      </c>
      <c r="H54" s="23" t="s">
        <v>288</v>
      </c>
      <c r="I54" s="19"/>
    </row>
    <row r="55" spans="1:9" x14ac:dyDescent="0.2">
      <c r="A55" s="33" t="s">
        <v>161</v>
      </c>
      <c r="B55" s="3"/>
      <c r="C55" s="23" t="s">
        <v>288</v>
      </c>
      <c r="D55" s="23" t="s">
        <v>288</v>
      </c>
      <c r="E55" s="23" t="s">
        <v>288</v>
      </c>
      <c r="F55" s="23" t="s">
        <v>288</v>
      </c>
      <c r="G55" s="23" t="s">
        <v>288</v>
      </c>
      <c r="H55" s="23" t="s">
        <v>288</v>
      </c>
      <c r="I55"/>
    </row>
    <row r="56" spans="1:9" x14ac:dyDescent="0.2">
      <c r="A56" s="1" t="s">
        <v>162</v>
      </c>
      <c r="B56" s="6" t="s">
        <v>163</v>
      </c>
      <c r="C56" s="73">
        <f>'DOE25'!F60</f>
        <v>13963592</v>
      </c>
      <c r="D56" s="73">
        <f>'DOE25'!G60</f>
        <v>0</v>
      </c>
      <c r="E56" s="73">
        <f>'DOE25'!H60</f>
        <v>0</v>
      </c>
      <c r="F56" s="73">
        <f>'DOE25'!I60</f>
        <v>0</v>
      </c>
      <c r="G56" s="73">
        <f>'DOE25'!J60</f>
        <v>0</v>
      </c>
      <c r="H56" s="13">
        <f t="shared" ref="H56:H63" si="3">SUM(C56:G56)</f>
        <v>13963592</v>
      </c>
      <c r="I56"/>
    </row>
    <row r="57" spans="1:9" x14ac:dyDescent="0.2">
      <c r="A57" s="1" t="s">
        <v>164</v>
      </c>
      <c r="B57" s="6" t="s">
        <v>165</v>
      </c>
      <c r="C57" s="73">
        <f>'DOE25'!F79</f>
        <v>6441532.0699999994</v>
      </c>
      <c r="D57" s="23" t="s">
        <v>288</v>
      </c>
      <c r="E57" s="73">
        <f>'DOE25'!H79</f>
        <v>0</v>
      </c>
      <c r="F57" s="23" t="s">
        <v>288</v>
      </c>
      <c r="G57" s="23" t="s">
        <v>288</v>
      </c>
      <c r="H57" s="13">
        <f t="shared" si="3"/>
        <v>6441532.0699999994</v>
      </c>
      <c r="I57"/>
    </row>
    <row r="58" spans="1:9" x14ac:dyDescent="0.2">
      <c r="A58" s="1" t="s">
        <v>166</v>
      </c>
      <c r="B58" s="6" t="s">
        <v>167</v>
      </c>
      <c r="C58" s="73">
        <f>'DOE25'!F94</f>
        <v>17100</v>
      </c>
      <c r="D58" s="23" t="s">
        <v>288</v>
      </c>
      <c r="E58" s="73">
        <f>'DOE25'!H94</f>
        <v>0</v>
      </c>
      <c r="F58" s="23" t="s">
        <v>288</v>
      </c>
      <c r="G58" s="23" t="s">
        <v>288</v>
      </c>
      <c r="H58" s="13">
        <f t="shared" si="3"/>
        <v>17100</v>
      </c>
      <c r="I58"/>
    </row>
    <row r="59" spans="1:9" x14ac:dyDescent="0.2">
      <c r="A59" s="1" t="s">
        <v>168</v>
      </c>
      <c r="B59" s="6" t="s">
        <v>169</v>
      </c>
      <c r="C59" s="73">
        <f>'DOE25'!F96</f>
        <v>54855.28</v>
      </c>
      <c r="D59" s="73">
        <f>'DOE25'!G96</f>
        <v>14.79</v>
      </c>
      <c r="E59" s="73">
        <f>'DOE25'!H96</f>
        <v>0</v>
      </c>
      <c r="F59" s="73">
        <f>'DOE25'!I96</f>
        <v>0</v>
      </c>
      <c r="G59" s="73">
        <f>'DOE25'!J96</f>
        <v>98992.38</v>
      </c>
      <c r="H59" s="13">
        <f t="shared" si="3"/>
        <v>153862.45000000001</v>
      </c>
      <c r="I59"/>
    </row>
    <row r="60" spans="1:9" x14ac:dyDescent="0.2">
      <c r="A60" s="1" t="s">
        <v>170</v>
      </c>
      <c r="B60" s="22" t="s">
        <v>171</v>
      </c>
      <c r="C60" s="23" t="s">
        <v>288</v>
      </c>
      <c r="D60" s="73">
        <f>'DOE25'!G97</f>
        <v>416894.62</v>
      </c>
      <c r="E60" s="23" t="s">
        <v>288</v>
      </c>
      <c r="F60" s="23" t="s">
        <v>288</v>
      </c>
      <c r="G60" s="23" t="s">
        <v>288</v>
      </c>
      <c r="H60" s="13">
        <f t="shared" si="3"/>
        <v>416894.62</v>
      </c>
      <c r="I60"/>
    </row>
    <row r="61" spans="1:9" ht="12" thickBot="1" x14ac:dyDescent="0.25">
      <c r="A61" s="1" t="s">
        <v>172</v>
      </c>
      <c r="B61" s="22" t="s">
        <v>173</v>
      </c>
      <c r="C61" s="73">
        <f>SUM('DOE25'!F98:F110)</f>
        <v>338994.14999999997</v>
      </c>
      <c r="D61" s="73">
        <f>SUM('DOE25'!G98:G110)</f>
        <v>6703</v>
      </c>
      <c r="E61" s="73">
        <f>SUM('DOE25'!H98:H110)</f>
        <v>14553.12</v>
      </c>
      <c r="F61" s="73">
        <f>SUM('DOE25'!I98:I110)</f>
        <v>0</v>
      </c>
      <c r="G61" s="73">
        <f>SUM('DOE25'!J98:J110)</f>
        <v>0</v>
      </c>
      <c r="H61" s="13">
        <f t="shared" si="3"/>
        <v>360250.26999999996</v>
      </c>
      <c r="I61"/>
    </row>
    <row r="62" spans="1:9" ht="12.75" thickTop="1" thickBot="1" x14ac:dyDescent="0.25">
      <c r="A62" s="28" t="s">
        <v>174</v>
      </c>
      <c r="B62" s="6"/>
      <c r="C62" s="93">
        <f>SUM(C57:C61)</f>
        <v>6852481.5</v>
      </c>
      <c r="D62" s="93">
        <f>SUM(D57:D61)</f>
        <v>423612.41</v>
      </c>
      <c r="E62" s="93">
        <f>SUM(E57:E61)</f>
        <v>14553.12</v>
      </c>
      <c r="F62" s="93">
        <f>SUM(F57:F61)</f>
        <v>0</v>
      </c>
      <c r="G62" s="93">
        <f>SUM(G57:G61)</f>
        <v>98992.38</v>
      </c>
      <c r="H62" s="13">
        <f t="shared" si="3"/>
        <v>7389639.4100000001</v>
      </c>
      <c r="I62"/>
    </row>
    <row r="63" spans="1:9" ht="12" thickTop="1" x14ac:dyDescent="0.2">
      <c r="A63" s="28" t="s">
        <v>175</v>
      </c>
      <c r="B63" s="6"/>
      <c r="C63" s="21">
        <f>C56+C62</f>
        <v>20816073.5</v>
      </c>
      <c r="D63" s="21">
        <f>D56+D62</f>
        <v>423612.41</v>
      </c>
      <c r="E63" s="21">
        <f>E56+E62</f>
        <v>14553.12</v>
      </c>
      <c r="F63" s="21">
        <f>F56+F62</f>
        <v>0</v>
      </c>
      <c r="G63" s="21">
        <f>G56+G62</f>
        <v>98992.38</v>
      </c>
      <c r="H63" s="13">
        <f t="shared" si="3"/>
        <v>21353231.41</v>
      </c>
      <c r="I63"/>
    </row>
    <row r="64" spans="1:9" x14ac:dyDescent="0.2">
      <c r="A64" s="28" t="s">
        <v>320</v>
      </c>
      <c r="B64" s="6"/>
      <c r="C64" s="23" t="s">
        <v>288</v>
      </c>
      <c r="D64" s="23" t="s">
        <v>288</v>
      </c>
      <c r="E64" s="23" t="s">
        <v>288</v>
      </c>
      <c r="F64" s="23" t="s">
        <v>288</v>
      </c>
      <c r="G64" s="23" t="s">
        <v>288</v>
      </c>
      <c r="H64" s="23" t="s">
        <v>288</v>
      </c>
      <c r="I64"/>
    </row>
    <row r="65" spans="1:9" x14ac:dyDescent="0.2">
      <c r="A65" s="28" t="s">
        <v>176</v>
      </c>
      <c r="B65" s="6"/>
      <c r="C65" s="23" t="s">
        <v>288</v>
      </c>
      <c r="D65" s="23" t="s">
        <v>288</v>
      </c>
      <c r="E65" s="23" t="s">
        <v>288</v>
      </c>
      <c r="F65" s="23" t="s">
        <v>288</v>
      </c>
      <c r="G65" s="23" t="s">
        <v>288</v>
      </c>
      <c r="H65" s="23" t="s">
        <v>288</v>
      </c>
      <c r="I65"/>
    </row>
    <row r="66" spans="1:9" x14ac:dyDescent="0.2">
      <c r="A66" s="1" t="s">
        <v>830</v>
      </c>
      <c r="B66" s="6">
        <v>3111</v>
      </c>
      <c r="C66" s="73">
        <f>'DOE25'!F117</f>
        <v>5996631.7999999998</v>
      </c>
      <c r="D66" s="23" t="s">
        <v>288</v>
      </c>
      <c r="E66" s="23" t="s">
        <v>288</v>
      </c>
      <c r="F66" s="23" t="s">
        <v>288</v>
      </c>
      <c r="G66" s="23" t="s">
        <v>288</v>
      </c>
      <c r="H66" s="13">
        <f t="shared" ref="H66:H81" si="4">SUM(C66:G66)</f>
        <v>5996631.7999999998</v>
      </c>
      <c r="I66"/>
    </row>
    <row r="67" spans="1:9" x14ac:dyDescent="0.2">
      <c r="A67" s="1" t="s">
        <v>767</v>
      </c>
      <c r="B67" s="6">
        <v>3112</v>
      </c>
      <c r="C67" s="73">
        <f>'DOE25'!F118</f>
        <v>1413042</v>
      </c>
      <c r="D67" s="23"/>
      <c r="E67" s="23"/>
      <c r="F67" s="23"/>
      <c r="G67" s="23"/>
      <c r="H67" s="13">
        <f t="shared" si="4"/>
        <v>1413042</v>
      </c>
      <c r="I67"/>
    </row>
    <row r="68" spans="1:9" x14ac:dyDescent="0.2">
      <c r="A68" s="1" t="s">
        <v>869</v>
      </c>
      <c r="B68" s="6">
        <v>3119</v>
      </c>
      <c r="C68" s="23" t="str">
        <f>'DOE25'!F119</f>
        <v>............</v>
      </c>
      <c r="D68" s="23" t="s">
        <v>288</v>
      </c>
      <c r="E68" s="23" t="s">
        <v>288</v>
      </c>
      <c r="F68" s="23" t="s">
        <v>288</v>
      </c>
      <c r="G68" s="23" t="s">
        <v>288</v>
      </c>
      <c r="H68" s="23" t="s">
        <v>288</v>
      </c>
      <c r="I68"/>
    </row>
    <row r="69" spans="1:9" ht="12" thickBot="1" x14ac:dyDescent="0.25">
      <c r="A69" s="1" t="s">
        <v>251</v>
      </c>
      <c r="B69" s="6" t="s">
        <v>177</v>
      </c>
      <c r="C69" s="73">
        <f>'DOE25'!F120</f>
        <v>25573.11</v>
      </c>
      <c r="D69" s="73">
        <f>'DOE25'!G120</f>
        <v>0</v>
      </c>
      <c r="E69" s="73">
        <f>'DOE25'!H120</f>
        <v>14400</v>
      </c>
      <c r="F69" s="73">
        <f>'DOE25'!I120</f>
        <v>0</v>
      </c>
      <c r="G69" s="73">
        <f>'DOE25'!J120</f>
        <v>0</v>
      </c>
      <c r="H69" s="13">
        <f t="shared" si="4"/>
        <v>39973.11</v>
      </c>
      <c r="I69"/>
    </row>
    <row r="70" spans="1:9" ht="12" thickTop="1" x14ac:dyDescent="0.2">
      <c r="A70" s="28" t="s">
        <v>252</v>
      </c>
      <c r="B70" s="2"/>
      <c r="C70" s="97">
        <f>SUM(C66:C69)</f>
        <v>7435246.9100000001</v>
      </c>
      <c r="D70" s="97">
        <f>D69</f>
        <v>0</v>
      </c>
      <c r="E70" s="97">
        <f>E69</f>
        <v>14400</v>
      </c>
      <c r="F70" s="97">
        <f>F69</f>
        <v>0</v>
      </c>
      <c r="G70" s="97">
        <f>G69</f>
        <v>0</v>
      </c>
      <c r="H70" s="13">
        <f t="shared" si="4"/>
        <v>7449646.9100000001</v>
      </c>
      <c r="I70"/>
    </row>
    <row r="71" spans="1:9" x14ac:dyDescent="0.2">
      <c r="A71" s="28" t="s">
        <v>178</v>
      </c>
      <c r="B71" s="2"/>
      <c r="C71" s="23" t="s">
        <v>288</v>
      </c>
      <c r="D71" s="23" t="s">
        <v>288</v>
      </c>
      <c r="E71" s="23" t="s">
        <v>288</v>
      </c>
      <c r="F71" s="23" t="s">
        <v>288</v>
      </c>
      <c r="G71" s="23" t="s">
        <v>288</v>
      </c>
      <c r="H71" s="23" t="s">
        <v>288</v>
      </c>
      <c r="I71"/>
    </row>
    <row r="72" spans="1:9" x14ac:dyDescent="0.2">
      <c r="A72" s="1" t="s">
        <v>253</v>
      </c>
      <c r="B72" s="6">
        <v>3210</v>
      </c>
      <c r="C72" s="73">
        <f>'DOE25'!F123</f>
        <v>115585.18</v>
      </c>
      <c r="D72" s="23" t="s">
        <v>288</v>
      </c>
      <c r="E72" s="23" t="s">
        <v>288</v>
      </c>
      <c r="F72" s="73">
        <f>'DOE25'!I123</f>
        <v>0</v>
      </c>
      <c r="G72" s="23" t="s">
        <v>288</v>
      </c>
      <c r="H72" s="13">
        <f t="shared" si="4"/>
        <v>115585.18</v>
      </c>
      <c r="I72"/>
    </row>
    <row r="73" spans="1:9" x14ac:dyDescent="0.2">
      <c r="A73" s="1" t="s">
        <v>254</v>
      </c>
      <c r="B73" s="6">
        <v>3215</v>
      </c>
      <c r="C73" s="73">
        <f>'DOE25'!F124</f>
        <v>0</v>
      </c>
      <c r="D73" s="23" t="s">
        <v>288</v>
      </c>
      <c r="E73" s="23" t="s">
        <v>288</v>
      </c>
      <c r="F73" s="73">
        <f>'DOE25'!I124</f>
        <v>0</v>
      </c>
      <c r="G73" s="23" t="s">
        <v>288</v>
      </c>
      <c r="H73" s="13">
        <f t="shared" si="4"/>
        <v>0</v>
      </c>
      <c r="I73"/>
    </row>
    <row r="74" spans="1:9" x14ac:dyDescent="0.2">
      <c r="A74" s="1" t="s">
        <v>255</v>
      </c>
      <c r="B74" s="6">
        <v>3220</v>
      </c>
      <c r="C74" s="73">
        <f>'DOE25'!F125</f>
        <v>0</v>
      </c>
      <c r="D74" s="23"/>
      <c r="E74" s="23"/>
      <c r="F74" s="23"/>
      <c r="G74" s="23"/>
      <c r="H74" s="13">
        <f t="shared" si="4"/>
        <v>0</v>
      </c>
      <c r="I74"/>
    </row>
    <row r="75" spans="1:9" x14ac:dyDescent="0.2">
      <c r="A75" s="1" t="s">
        <v>256</v>
      </c>
      <c r="B75" s="6">
        <v>3230</v>
      </c>
      <c r="C75" s="73">
        <f>'DOE25'!F126</f>
        <v>312756.08</v>
      </c>
      <c r="D75" s="23" t="s">
        <v>288</v>
      </c>
      <c r="E75" s="23" t="s">
        <v>288</v>
      </c>
      <c r="F75" s="23" t="s">
        <v>288</v>
      </c>
      <c r="G75" s="23" t="s">
        <v>288</v>
      </c>
      <c r="H75" s="13">
        <f t="shared" si="4"/>
        <v>312756.08</v>
      </c>
      <c r="I75"/>
    </row>
    <row r="76" spans="1:9" x14ac:dyDescent="0.2">
      <c r="A76" s="1" t="s">
        <v>257</v>
      </c>
      <c r="B76" s="6" t="s">
        <v>179</v>
      </c>
      <c r="C76" s="73">
        <f>SUM('DOE25'!F127:F130)</f>
        <v>21946.799999999999</v>
      </c>
      <c r="D76" s="23" t="s">
        <v>288</v>
      </c>
      <c r="E76" s="73">
        <f>SUM('DOE25'!H127:H130)</f>
        <v>0</v>
      </c>
      <c r="F76" s="73">
        <f>SUM('DOE25'!I127:I130)</f>
        <v>0</v>
      </c>
      <c r="G76" s="23" t="s">
        <v>288</v>
      </c>
      <c r="H76" s="13">
        <f t="shared" si="4"/>
        <v>21946.799999999999</v>
      </c>
      <c r="I76"/>
    </row>
    <row r="77" spans="1:9" ht="12" thickBot="1" x14ac:dyDescent="0.25">
      <c r="A77" s="1" t="s">
        <v>258</v>
      </c>
      <c r="B77" s="6" t="s">
        <v>180</v>
      </c>
      <c r="C77" s="73">
        <f>SUM('DOE25'!F131:F135)</f>
        <v>0</v>
      </c>
      <c r="D77" s="73">
        <f>SUM('DOE25'!G131:G135)</f>
        <v>9686.0400000000009</v>
      </c>
      <c r="E77" s="73">
        <f>SUM('DOE25'!H131:H135)</f>
        <v>0</v>
      </c>
      <c r="F77" s="73">
        <f>SUM('DOE25'!I131:I135)</f>
        <v>0</v>
      </c>
      <c r="G77" s="73">
        <f>SUM('DOE25'!J131:J135)</f>
        <v>0</v>
      </c>
      <c r="H77" s="13">
        <f t="shared" si="4"/>
        <v>9686.0400000000009</v>
      </c>
      <c r="I77"/>
    </row>
    <row r="78" spans="1:9" ht="12.75" thickTop="1" thickBot="1" x14ac:dyDescent="0.25">
      <c r="A78" s="28" t="s">
        <v>259</v>
      </c>
      <c r="B78" s="6"/>
      <c r="C78" s="93">
        <f>SUM(C72:C77)</f>
        <v>450288.06</v>
      </c>
      <c r="D78" s="93">
        <f>SUM(D72:D77)</f>
        <v>9686.0400000000009</v>
      </c>
      <c r="E78" s="93">
        <f>SUM(E72:E77)</f>
        <v>0</v>
      </c>
      <c r="F78" s="93">
        <f>SUM(F72:F77)</f>
        <v>0</v>
      </c>
      <c r="G78" s="93">
        <f>SUM(G72:G77)</f>
        <v>0</v>
      </c>
      <c r="H78" s="13">
        <f t="shared" si="4"/>
        <v>459974.1</v>
      </c>
      <c r="I78"/>
    </row>
    <row r="79" spans="1:9" ht="12" thickTop="1" x14ac:dyDescent="0.2">
      <c r="A79" s="1" t="s">
        <v>260</v>
      </c>
      <c r="B79" s="6">
        <v>3700</v>
      </c>
      <c r="C79" s="73">
        <f>'DOE25'!F137</f>
        <v>0</v>
      </c>
      <c r="D79" s="73">
        <f>'DOE25'!G137</f>
        <v>0</v>
      </c>
      <c r="E79" s="73">
        <f>'DOE25'!H137</f>
        <v>0</v>
      </c>
      <c r="F79" s="23" t="s">
        <v>288</v>
      </c>
      <c r="G79" s="23" t="s">
        <v>288</v>
      </c>
      <c r="H79" s="13">
        <f t="shared" si="4"/>
        <v>0</v>
      </c>
      <c r="I79"/>
    </row>
    <row r="80" spans="1:9" ht="12" thickBot="1" x14ac:dyDescent="0.25">
      <c r="A80" s="1" t="s">
        <v>882</v>
      </c>
      <c r="B80" s="6">
        <v>3800</v>
      </c>
      <c r="C80" s="73">
        <f>'DOE25'!F138</f>
        <v>0</v>
      </c>
      <c r="D80" s="23" t="s">
        <v>288</v>
      </c>
      <c r="E80" s="73">
        <f>'DOE25'!H138</f>
        <v>0</v>
      </c>
      <c r="F80" s="23" t="s">
        <v>288</v>
      </c>
      <c r="G80" s="23" t="s">
        <v>288</v>
      </c>
      <c r="H80" s="13">
        <f t="shared" si="4"/>
        <v>0</v>
      </c>
      <c r="I80"/>
    </row>
    <row r="81" spans="1:9" ht="12.75" thickTop="1" thickBot="1" x14ac:dyDescent="0.25">
      <c r="A81" s="28" t="s">
        <v>741</v>
      </c>
      <c r="B81" s="2"/>
      <c r="C81" s="93">
        <f>SUM(C79:C80)+C78+C70</f>
        <v>7885534.9699999997</v>
      </c>
      <c r="D81" s="93">
        <f>SUM(D79:D80)+D78+D70</f>
        <v>9686.0400000000009</v>
      </c>
      <c r="E81" s="93">
        <f>SUM(E79:E80)+E78+E70</f>
        <v>14400</v>
      </c>
      <c r="F81" s="93">
        <f>SUM(F79:F80)+F78+F70</f>
        <v>0</v>
      </c>
      <c r="G81" s="93">
        <f>SUM(G79:G80)+G78+G70</f>
        <v>0</v>
      </c>
      <c r="H81" s="93">
        <f t="shared" si="4"/>
        <v>7909621.0099999998</v>
      </c>
      <c r="I81"/>
    </row>
    <row r="82" spans="1:9" ht="12" thickTop="1" x14ac:dyDescent="0.2">
      <c r="B82" s="3"/>
      <c r="C82" s="16" t="s">
        <v>280</v>
      </c>
      <c r="D82" s="16" t="s">
        <v>281</v>
      </c>
      <c r="E82" s="16" t="s">
        <v>282</v>
      </c>
      <c r="F82" s="16" t="s">
        <v>283</v>
      </c>
      <c r="G82" s="16" t="s">
        <v>306</v>
      </c>
      <c r="H82" s="16"/>
      <c r="I82"/>
    </row>
    <row r="83" spans="1:9" x14ac:dyDescent="0.2">
      <c r="A83" s="1" t="s">
        <v>319</v>
      </c>
      <c r="B83" s="3"/>
      <c r="C83" s="23" t="s">
        <v>288</v>
      </c>
      <c r="D83" s="23" t="s">
        <v>288</v>
      </c>
      <c r="E83" s="23" t="s">
        <v>288</v>
      </c>
      <c r="F83" s="23" t="s">
        <v>288</v>
      </c>
      <c r="G83" s="23" t="s">
        <v>288</v>
      </c>
      <c r="H83" s="23" t="s">
        <v>288</v>
      </c>
      <c r="I83"/>
    </row>
    <row r="84" spans="1:9" x14ac:dyDescent="0.2">
      <c r="A84" s="33" t="s">
        <v>181</v>
      </c>
      <c r="B84" s="3"/>
      <c r="C84" s="23" t="s">
        <v>288</v>
      </c>
      <c r="D84" s="23" t="s">
        <v>288</v>
      </c>
      <c r="E84" s="23" t="s">
        <v>288</v>
      </c>
      <c r="F84" s="23" t="s">
        <v>288</v>
      </c>
      <c r="G84" s="23" t="s">
        <v>288</v>
      </c>
      <c r="H84" s="23" t="s">
        <v>288</v>
      </c>
      <c r="I84"/>
    </row>
    <row r="85" spans="1:9" x14ac:dyDescent="0.2">
      <c r="A85" t="s">
        <v>742</v>
      </c>
      <c r="B85" s="31" t="s">
        <v>182</v>
      </c>
      <c r="C85" s="73">
        <f>'DOE25'!F147</f>
        <v>0</v>
      </c>
      <c r="D85" s="73">
        <f>'DOE25'!G147</f>
        <v>0</v>
      </c>
      <c r="E85" s="73">
        <f>'DOE25'!H147</f>
        <v>0</v>
      </c>
      <c r="F85" s="73">
        <f>'DOE25'!I147</f>
        <v>0</v>
      </c>
      <c r="G85" s="23" t="s">
        <v>288</v>
      </c>
      <c r="H85" s="13">
        <f t="shared" ref="H85:H104" si="5">SUM(C85:G85)</f>
        <v>0</v>
      </c>
      <c r="I85"/>
    </row>
    <row r="86" spans="1:9" x14ac:dyDescent="0.2">
      <c r="A86" s="32" t="s">
        <v>178</v>
      </c>
      <c r="B86" s="31"/>
      <c r="C86" s="23" t="s">
        <v>288</v>
      </c>
      <c r="D86" s="23" t="s">
        <v>288</v>
      </c>
      <c r="E86" s="23" t="s">
        <v>288</v>
      </c>
      <c r="F86" s="23" t="s">
        <v>288</v>
      </c>
      <c r="G86" s="23" t="s">
        <v>288</v>
      </c>
      <c r="H86" s="23" t="s">
        <v>288</v>
      </c>
    </row>
    <row r="87" spans="1:9" x14ac:dyDescent="0.2">
      <c r="A87" t="s">
        <v>743</v>
      </c>
      <c r="B87" s="31" t="s">
        <v>183</v>
      </c>
      <c r="C87" s="73">
        <f>SUM('DOE25'!F149:F152)</f>
        <v>0</v>
      </c>
      <c r="D87" s="23" t="s">
        <v>288</v>
      </c>
      <c r="E87" s="73">
        <f>SUM('DOE25'!H149:H152)</f>
        <v>0</v>
      </c>
      <c r="F87" s="73">
        <f>SUM('DOE25'!I149:I152)</f>
        <v>0</v>
      </c>
      <c r="G87" s="23" t="s">
        <v>288</v>
      </c>
      <c r="H87" s="13">
        <f t="shared" si="5"/>
        <v>0</v>
      </c>
    </row>
    <row r="88" spans="1:9" x14ac:dyDescent="0.2">
      <c r="A88" s="216" t="s">
        <v>744</v>
      </c>
      <c r="B88" s="230" t="s">
        <v>184</v>
      </c>
      <c r="C88" s="252">
        <f>SUM('DOE25'!F153:F162)</f>
        <v>49197.59</v>
      </c>
      <c r="D88" s="252">
        <f>SUM('DOE25'!G153:G162)</f>
        <v>340994.97</v>
      </c>
      <c r="E88" s="252">
        <f>SUM('DOE25'!H153:H162)</f>
        <v>1227031.47</v>
      </c>
      <c r="F88" s="252">
        <f>SUM('DOE25'!I153:I162)</f>
        <v>0</v>
      </c>
      <c r="G88" s="23" t="s">
        <v>288</v>
      </c>
      <c r="H88" s="13">
        <f t="shared" si="5"/>
        <v>1617224.0299999998</v>
      </c>
    </row>
    <row r="89" spans="1:9" x14ac:dyDescent="0.2">
      <c r="A89" t="s">
        <v>745</v>
      </c>
      <c r="B89" s="31" t="s">
        <v>185</v>
      </c>
      <c r="C89" s="73">
        <f>'DOE25'!F164+'DOE25'!F167+'DOE25'!F169</f>
        <v>0</v>
      </c>
      <c r="D89" s="73">
        <f>'DOE25'!G164+'DOE25'!G169</f>
        <v>0</v>
      </c>
      <c r="E89" s="73">
        <f>'DOE25'!H164+'DOE25'!H169</f>
        <v>0</v>
      </c>
      <c r="F89" s="73">
        <f>'DOE25'!I164</f>
        <v>0</v>
      </c>
      <c r="G89" s="23" t="s">
        <v>288</v>
      </c>
      <c r="H89" s="13">
        <f t="shared" si="5"/>
        <v>0</v>
      </c>
    </row>
    <row r="90" spans="1:9" ht="12" thickBot="1" x14ac:dyDescent="0.25">
      <c r="A90" t="s">
        <v>746</v>
      </c>
      <c r="B90" s="31">
        <v>4810</v>
      </c>
      <c r="C90" s="73">
        <f>'DOE25'!F166</f>
        <v>0</v>
      </c>
      <c r="D90" s="23" t="s">
        <v>288</v>
      </c>
      <c r="E90" s="23" t="s">
        <v>288</v>
      </c>
      <c r="F90" s="23" t="s">
        <v>288</v>
      </c>
      <c r="G90" s="23" t="s">
        <v>288</v>
      </c>
      <c r="H90" s="13">
        <f t="shared" si="5"/>
        <v>0</v>
      </c>
    </row>
    <row r="91" spans="1:9" ht="12.75" thickTop="1" thickBot="1" x14ac:dyDescent="0.25">
      <c r="A91" s="32" t="s">
        <v>747</v>
      </c>
      <c r="C91" s="94">
        <f>SUM(C85:C90)</f>
        <v>49197.59</v>
      </c>
      <c r="D91" s="94">
        <f>SUM(D85:D90)</f>
        <v>340994.97</v>
      </c>
      <c r="E91" s="94">
        <f>SUM(E85:E90)</f>
        <v>1227031.47</v>
      </c>
      <c r="F91" s="94">
        <f>SUM(F85:F90)</f>
        <v>0</v>
      </c>
      <c r="G91" s="23" t="s">
        <v>288</v>
      </c>
      <c r="H91" s="13">
        <f t="shared" si="5"/>
        <v>1617224.0299999998</v>
      </c>
    </row>
    <row r="92" spans="1:9" ht="12" thickTop="1" x14ac:dyDescent="0.2">
      <c r="A92" s="32" t="s">
        <v>186</v>
      </c>
      <c r="C92" s="23" t="s">
        <v>288</v>
      </c>
      <c r="D92" s="23" t="s">
        <v>288</v>
      </c>
      <c r="E92" s="23" t="s">
        <v>288</v>
      </c>
      <c r="F92" s="23" t="s">
        <v>288</v>
      </c>
      <c r="G92" s="23" t="s">
        <v>288</v>
      </c>
      <c r="H92" s="23" t="s">
        <v>288</v>
      </c>
    </row>
    <row r="93" spans="1:9" x14ac:dyDescent="0.2">
      <c r="A93" t="s">
        <v>748</v>
      </c>
      <c r="B93" s="31" t="s">
        <v>187</v>
      </c>
      <c r="C93" s="73">
        <f>SUM('DOE25'!F174:F176)</f>
        <v>0</v>
      </c>
      <c r="D93" s="23" t="s">
        <v>288</v>
      </c>
      <c r="E93" s="23" t="s">
        <v>288</v>
      </c>
      <c r="F93" s="73">
        <f>SUM('DOE25'!I174:I176)</f>
        <v>0</v>
      </c>
      <c r="G93" s="23" t="s">
        <v>288</v>
      </c>
      <c r="H93" s="13">
        <f t="shared" si="5"/>
        <v>0</v>
      </c>
    </row>
    <row r="94" spans="1:9" x14ac:dyDescent="0.2">
      <c r="A94" t="s">
        <v>749</v>
      </c>
      <c r="B94" s="31">
        <v>5140</v>
      </c>
      <c r="C94" s="73">
        <f>'DOE25'!F177</f>
        <v>0</v>
      </c>
      <c r="D94" s="23" t="s">
        <v>288</v>
      </c>
      <c r="E94" s="23" t="s">
        <v>288</v>
      </c>
      <c r="F94" s="73">
        <f>'DOE25'!I177</f>
        <v>0</v>
      </c>
      <c r="G94" s="23" t="s">
        <v>288</v>
      </c>
      <c r="H94" s="13">
        <f t="shared" si="5"/>
        <v>0</v>
      </c>
    </row>
    <row r="95" spans="1:9" x14ac:dyDescent="0.2">
      <c r="A95" s="32" t="s">
        <v>331</v>
      </c>
      <c r="B95" s="31"/>
      <c r="C95" s="23" t="s">
        <v>288</v>
      </c>
      <c r="D95" s="23" t="s">
        <v>288</v>
      </c>
      <c r="E95" s="23" t="s">
        <v>288</v>
      </c>
      <c r="F95" s="23" t="s">
        <v>288</v>
      </c>
      <c r="G95" s="23" t="s">
        <v>288</v>
      </c>
      <c r="H95" s="23" t="s">
        <v>288</v>
      </c>
    </row>
    <row r="96" spans="1:9" x14ac:dyDescent="0.2">
      <c r="A96" t="s">
        <v>750</v>
      </c>
      <c r="B96" s="31">
        <v>5210</v>
      </c>
      <c r="C96" s="23" t="s">
        <v>288</v>
      </c>
      <c r="D96" s="73">
        <f>'DOE25'!G180</f>
        <v>0</v>
      </c>
      <c r="E96" s="73">
        <f>'DOE25'!H180</f>
        <v>0</v>
      </c>
      <c r="F96" s="73">
        <f>'DOE25'!I180</f>
        <v>0</v>
      </c>
      <c r="G96" s="73">
        <f>'DOE25'!J180</f>
        <v>487000</v>
      </c>
      <c r="H96" s="13">
        <f t="shared" si="5"/>
        <v>487000</v>
      </c>
    </row>
    <row r="97" spans="1:8" x14ac:dyDescent="0.2">
      <c r="A97" t="s">
        <v>751</v>
      </c>
      <c r="B97" s="31" t="s">
        <v>188</v>
      </c>
      <c r="C97" s="73">
        <f>SUM('DOE25'!F181:F182)</f>
        <v>0</v>
      </c>
      <c r="D97" s="73">
        <f>SUM('DOE25'!G181:G182)</f>
        <v>0</v>
      </c>
      <c r="E97" s="73">
        <f>SUM('DOE25'!H181:H182)</f>
        <v>0</v>
      </c>
      <c r="F97" s="73">
        <f>SUM('DOE25'!I181:I182)</f>
        <v>0</v>
      </c>
      <c r="G97" s="73">
        <f>SUM('DOE25'!J181:J182)</f>
        <v>0</v>
      </c>
      <c r="H97" s="13">
        <f t="shared" si="5"/>
        <v>0</v>
      </c>
    </row>
    <row r="98" spans="1:8" x14ac:dyDescent="0.2">
      <c r="A98" t="s">
        <v>752</v>
      </c>
      <c r="B98" s="31" t="s">
        <v>189</v>
      </c>
      <c r="C98" s="73">
        <f>'DOE25'!F183</f>
        <v>26100.71</v>
      </c>
      <c r="D98" s="73">
        <f>'DOE25'!G183</f>
        <v>0</v>
      </c>
      <c r="E98" s="73">
        <f>'DOE25'!H183</f>
        <v>0</v>
      </c>
      <c r="F98" s="23" t="s">
        <v>288</v>
      </c>
      <c r="G98" s="73">
        <f>'DOE25'!J183</f>
        <v>0</v>
      </c>
      <c r="H98" s="13">
        <f t="shared" si="5"/>
        <v>26100.71</v>
      </c>
    </row>
    <row r="99" spans="1:8" x14ac:dyDescent="0.2">
      <c r="A99" t="s">
        <v>753</v>
      </c>
      <c r="B99" s="31">
        <v>5251</v>
      </c>
      <c r="C99" s="73">
        <f>'DOE25'!F186</f>
        <v>77639.490000000005</v>
      </c>
      <c r="D99" s="73">
        <f>'DOE25'!G186</f>
        <v>0</v>
      </c>
      <c r="E99" s="73">
        <f>'DOE25'!H186</f>
        <v>0</v>
      </c>
      <c r="F99" s="73">
        <f>'DOE25'!I186</f>
        <v>0</v>
      </c>
      <c r="G99" s="23" t="s">
        <v>288</v>
      </c>
      <c r="H99" s="13">
        <f t="shared" si="5"/>
        <v>77639.490000000005</v>
      </c>
    </row>
    <row r="100" spans="1:8" x14ac:dyDescent="0.2">
      <c r="A100" t="s">
        <v>754</v>
      </c>
      <c r="B100" s="31" t="s">
        <v>190</v>
      </c>
      <c r="C100" s="73">
        <f>SUM('DOE25'!F187:F188)</f>
        <v>0</v>
      </c>
      <c r="D100" s="73">
        <f>SUM('DOE25'!G187:G188)</f>
        <v>0</v>
      </c>
      <c r="E100" s="73">
        <f>SUM('DOE25'!H187:H188)</f>
        <v>0</v>
      </c>
      <c r="F100" s="73">
        <f>SUM('DOE25'!I187:I188)</f>
        <v>0</v>
      </c>
      <c r="G100" s="23" t="s">
        <v>288</v>
      </c>
      <c r="H100" s="13">
        <f t="shared" si="5"/>
        <v>0</v>
      </c>
    </row>
    <row r="101" spans="1:8" x14ac:dyDescent="0.2">
      <c r="A101" t="s">
        <v>755</v>
      </c>
      <c r="B101" s="31" t="s">
        <v>191</v>
      </c>
      <c r="C101" s="73">
        <f>'DOE25'!F190</f>
        <v>0</v>
      </c>
      <c r="D101" s="73">
        <f>'DOE25'!G190</f>
        <v>0</v>
      </c>
      <c r="E101" s="73">
        <f>'DOE25'!H190</f>
        <v>0</v>
      </c>
      <c r="F101" s="73">
        <f>'DOE25'!I190</f>
        <v>0</v>
      </c>
      <c r="G101" s="23" t="s">
        <v>288</v>
      </c>
      <c r="H101" s="13">
        <f t="shared" si="5"/>
        <v>0</v>
      </c>
    </row>
    <row r="102" spans="1:8" ht="12" thickBot="1" x14ac:dyDescent="0.25">
      <c r="A102" t="s">
        <v>756</v>
      </c>
      <c r="B102" s="31" t="s">
        <v>192</v>
      </c>
      <c r="C102" s="73">
        <f>SUM('DOE25'!F191:F192)</f>
        <v>0</v>
      </c>
      <c r="D102" s="73">
        <f>SUM('DOE25'!G191:G192)</f>
        <v>0</v>
      </c>
      <c r="E102" s="73">
        <f>SUM('DOE25'!H191:H192)</f>
        <v>0</v>
      </c>
      <c r="F102" s="73">
        <f>SUM('DOE25'!I191:I192)</f>
        <v>0</v>
      </c>
      <c r="G102" s="23" t="s">
        <v>288</v>
      </c>
      <c r="H102" s="13">
        <f t="shared" si="5"/>
        <v>0</v>
      </c>
    </row>
    <row r="103" spans="1:8" ht="12.75" thickTop="1" thickBot="1" x14ac:dyDescent="0.25">
      <c r="A103" s="32" t="s">
        <v>757</v>
      </c>
      <c r="C103" s="68">
        <f>SUM(C93:C102)</f>
        <v>103740.20000000001</v>
      </c>
      <c r="D103" s="68">
        <f>SUM(D93:D102)</f>
        <v>0</v>
      </c>
      <c r="E103" s="68">
        <f>SUM(E93:E102)</f>
        <v>0</v>
      </c>
      <c r="F103" s="68">
        <f>SUM(F93:F102)</f>
        <v>0</v>
      </c>
      <c r="G103" s="68">
        <f>SUM(G93:G102)</f>
        <v>487000</v>
      </c>
      <c r="H103" s="68">
        <f t="shared" si="5"/>
        <v>590740.19999999995</v>
      </c>
    </row>
    <row r="104" spans="1:8" ht="12.75" thickTop="1" thickBot="1" x14ac:dyDescent="0.25">
      <c r="A104" s="32" t="s">
        <v>758</v>
      </c>
      <c r="C104" s="68">
        <f>C63+C81+C91+C103</f>
        <v>28854546.259999998</v>
      </c>
      <c r="D104" s="68">
        <f>D63+D81+D91+D103</f>
        <v>774293.41999999993</v>
      </c>
      <c r="E104" s="68">
        <f>E63+E81+E91+E103</f>
        <v>1255984.5900000001</v>
      </c>
      <c r="F104" s="68">
        <f>F63+F81+F91+F103</f>
        <v>0</v>
      </c>
      <c r="G104" s="68">
        <f>G63+G81+G103</f>
        <v>585992.38</v>
      </c>
      <c r="H104" s="68">
        <f t="shared" si="5"/>
        <v>31470816.649999999</v>
      </c>
    </row>
    <row r="105" spans="1:8" ht="12" thickTop="1" x14ac:dyDescent="0.2">
      <c r="H105"/>
    </row>
    <row r="106" spans="1:8" x14ac:dyDescent="0.2">
      <c r="B106" s="3"/>
      <c r="C106" s="16" t="s">
        <v>280</v>
      </c>
      <c r="D106" s="16" t="s">
        <v>281</v>
      </c>
      <c r="E106" s="16" t="s">
        <v>193</v>
      </c>
      <c r="F106" s="16" t="s">
        <v>283</v>
      </c>
      <c r="G106" s="16" t="s">
        <v>284</v>
      </c>
      <c r="H106"/>
    </row>
    <row r="107" spans="1:8" x14ac:dyDescent="0.2">
      <c r="A107" s="28" t="s">
        <v>194</v>
      </c>
      <c r="B107" s="3"/>
      <c r="C107" s="23" t="s">
        <v>288</v>
      </c>
      <c r="D107" s="23" t="s">
        <v>288</v>
      </c>
      <c r="E107" s="23" t="s">
        <v>288</v>
      </c>
      <c r="F107" s="23" t="s">
        <v>288</v>
      </c>
      <c r="G107" s="23" t="s">
        <v>288</v>
      </c>
      <c r="H107" s="23" t="s">
        <v>288</v>
      </c>
    </row>
    <row r="108" spans="1:8" x14ac:dyDescent="0.2">
      <c r="A108" s="33" t="s">
        <v>195</v>
      </c>
      <c r="B108" s="3"/>
      <c r="C108" s="23" t="s">
        <v>288</v>
      </c>
      <c r="D108" s="23" t="s">
        <v>288</v>
      </c>
      <c r="E108" s="23" t="s">
        <v>288</v>
      </c>
      <c r="F108" s="23" t="s">
        <v>288</v>
      </c>
      <c r="G108" s="23" t="s">
        <v>288</v>
      </c>
      <c r="H108" s="23" t="s">
        <v>288</v>
      </c>
    </row>
    <row r="109" spans="1:8" x14ac:dyDescent="0.2">
      <c r="A109" t="s">
        <v>196</v>
      </c>
      <c r="B109" s="31" t="s">
        <v>197</v>
      </c>
      <c r="C109" s="73">
        <f>('DOE25'!L198)+('DOE25'!L216)+('DOE25'!L234)</f>
        <v>12064128.02</v>
      </c>
      <c r="D109" s="23" t="s">
        <v>288</v>
      </c>
      <c r="E109" s="73">
        <f>('DOE25'!L277)+('DOE25'!L296)+('DOE25'!L315)</f>
        <v>496240.33</v>
      </c>
      <c r="F109" s="23" t="s">
        <v>288</v>
      </c>
      <c r="G109" s="23" t="s">
        <v>288</v>
      </c>
      <c r="H109" s="13">
        <f t="shared" ref="H109:H115" si="6">SUM(C109:G109)</f>
        <v>12560368.35</v>
      </c>
    </row>
    <row r="110" spans="1:8" x14ac:dyDescent="0.2">
      <c r="A110" t="s">
        <v>198</v>
      </c>
      <c r="B110" s="31" t="s">
        <v>199</v>
      </c>
      <c r="C110" s="73">
        <f>('DOE25'!L199)+('DOE25'!L217)+('DOE25'!L235)</f>
        <v>5755979.1500000004</v>
      </c>
      <c r="D110" s="23" t="s">
        <v>288</v>
      </c>
      <c r="E110" s="73">
        <f>('DOE25'!L278)+('DOE25'!L297)+('DOE25'!L316)</f>
        <v>400618.61</v>
      </c>
      <c r="F110" s="23" t="s">
        <v>288</v>
      </c>
      <c r="G110" s="23" t="s">
        <v>288</v>
      </c>
      <c r="H110" s="13">
        <f t="shared" si="6"/>
        <v>6156597.7600000007</v>
      </c>
    </row>
    <row r="111" spans="1:8" x14ac:dyDescent="0.2">
      <c r="A111" t="s">
        <v>200</v>
      </c>
      <c r="B111" s="31" t="s">
        <v>165</v>
      </c>
      <c r="C111" s="73">
        <f>('DOE25'!L200)+('DOE25'!L218)+('DOE25'!L236)</f>
        <v>1087127.9400000002</v>
      </c>
      <c r="D111" s="23" t="s">
        <v>288</v>
      </c>
      <c r="E111" s="73">
        <f>('DOE25'!L279)+('DOE25'!L298)+('DOE25'!L317)</f>
        <v>1355.49</v>
      </c>
      <c r="F111" s="23" t="s">
        <v>288</v>
      </c>
      <c r="G111" s="23" t="s">
        <v>288</v>
      </c>
      <c r="H111" s="13">
        <f t="shared" si="6"/>
        <v>1088483.4300000002</v>
      </c>
    </row>
    <row r="112" spans="1:8" x14ac:dyDescent="0.2">
      <c r="A112" t="s">
        <v>201</v>
      </c>
      <c r="B112" s="31" t="s">
        <v>167</v>
      </c>
      <c r="C112" s="73">
        <f>('DOE25'!L201)+('DOE25'!L219)+('DOE25'!L237)</f>
        <v>623830.1</v>
      </c>
      <c r="D112" s="23" t="s">
        <v>288</v>
      </c>
      <c r="E112" s="73">
        <f>+('DOE25'!L280)+('DOE25'!L299)+('DOE25'!L318)</f>
        <v>80707.939999999988</v>
      </c>
      <c r="F112" s="23" t="s">
        <v>288</v>
      </c>
      <c r="G112" s="23" t="s">
        <v>288</v>
      </c>
      <c r="H112" s="13">
        <f t="shared" si="6"/>
        <v>704538.03999999992</v>
      </c>
    </row>
    <row r="113" spans="1:8" x14ac:dyDescent="0.2">
      <c r="A113" t="s">
        <v>202</v>
      </c>
      <c r="B113" s="31" t="s">
        <v>169</v>
      </c>
      <c r="C113" s="73">
        <f>'DOE25'!L251</f>
        <v>0</v>
      </c>
      <c r="D113" s="23" t="s">
        <v>288</v>
      </c>
      <c r="E113" s="73">
        <f>+'DOE25'!L333</f>
        <v>0</v>
      </c>
      <c r="F113" s="23" t="s">
        <v>288</v>
      </c>
      <c r="G113" s="23" t="s">
        <v>288</v>
      </c>
      <c r="H113" s="13">
        <f t="shared" si="6"/>
        <v>0</v>
      </c>
    </row>
    <row r="114" spans="1:8" ht="12" thickBot="1" x14ac:dyDescent="0.25">
      <c r="A114" t="s">
        <v>203</v>
      </c>
      <c r="B114" s="31" t="s">
        <v>204</v>
      </c>
      <c r="C114" s="73">
        <f>SUM('DOE25'!L252:L254)</f>
        <v>0</v>
      </c>
      <c r="D114" s="23" t="s">
        <v>288</v>
      </c>
      <c r="E114" s="73">
        <f>+ SUM('DOE25'!L334:L336)</f>
        <v>0</v>
      </c>
      <c r="F114" s="23" t="s">
        <v>288</v>
      </c>
      <c r="G114" s="23" t="s">
        <v>288</v>
      </c>
      <c r="H114" s="13">
        <f t="shared" si="6"/>
        <v>0</v>
      </c>
    </row>
    <row r="115" spans="1:8" ht="12.75" thickTop="1" thickBot="1" x14ac:dyDescent="0.25">
      <c r="A115" s="32" t="s">
        <v>205</v>
      </c>
      <c r="C115" s="68">
        <f>SUM(C109:C114)</f>
        <v>19531065.210000005</v>
      </c>
      <c r="D115" s="68">
        <f>SUM(D109:D114)</f>
        <v>0</v>
      </c>
      <c r="E115" s="68">
        <f>SUM(E109:E114)</f>
        <v>978922.36999999988</v>
      </c>
      <c r="F115" s="68">
        <f>SUM(F109:F114)</f>
        <v>0</v>
      </c>
      <c r="G115" s="68">
        <f>SUM(G109:G114)</f>
        <v>0</v>
      </c>
      <c r="H115" s="68">
        <f t="shared" si="6"/>
        <v>20509987.580000006</v>
      </c>
    </row>
    <row r="116" spans="1:8" ht="12" thickTop="1" x14ac:dyDescent="0.2">
      <c r="C116" s="23" t="s">
        <v>288</v>
      </c>
      <c r="D116" s="23" t="s">
        <v>288</v>
      </c>
      <c r="E116" s="23" t="s">
        <v>288</v>
      </c>
      <c r="F116" s="23" t="s">
        <v>288</v>
      </c>
      <c r="G116" s="23" t="s">
        <v>288</v>
      </c>
      <c r="H116" s="23" t="s">
        <v>288</v>
      </c>
    </row>
    <row r="117" spans="1:8" x14ac:dyDescent="0.2">
      <c r="A117" s="32" t="s">
        <v>342</v>
      </c>
      <c r="C117" s="23" t="s">
        <v>288</v>
      </c>
      <c r="D117" s="23" t="s">
        <v>288</v>
      </c>
      <c r="E117" s="23" t="s">
        <v>288</v>
      </c>
      <c r="F117" s="23" t="s">
        <v>288</v>
      </c>
      <c r="G117" s="23" t="s">
        <v>288</v>
      </c>
      <c r="H117" s="23" t="s">
        <v>288</v>
      </c>
    </row>
    <row r="118" spans="1:8" x14ac:dyDescent="0.2">
      <c r="A118" t="s">
        <v>206</v>
      </c>
      <c r="B118" s="31" t="s">
        <v>207</v>
      </c>
      <c r="C118" s="73">
        <f>('DOE25'!L203)+('DOE25'!L221)+('DOE25'!L239)</f>
        <v>1761018.07</v>
      </c>
      <c r="D118" s="23" t="s">
        <v>288</v>
      </c>
      <c r="E118" s="73">
        <f>+('DOE25'!L282)+('DOE25'!L301)+('DOE25'!L320)</f>
        <v>80429.62</v>
      </c>
      <c r="F118" s="23" t="s">
        <v>288</v>
      </c>
      <c r="G118" s="23" t="s">
        <v>288</v>
      </c>
      <c r="H118" s="13">
        <f t="shared" ref="H118:H145" si="7">SUM(C118:G118)</f>
        <v>1841447.69</v>
      </c>
    </row>
    <row r="119" spans="1:8" x14ac:dyDescent="0.2">
      <c r="A119" t="s">
        <v>208</v>
      </c>
      <c r="B119" s="31" t="s">
        <v>209</v>
      </c>
      <c r="C119" s="73">
        <f>('DOE25'!L204)+('DOE25'!L222)+('DOE25'!L240)</f>
        <v>474384.19999999995</v>
      </c>
      <c r="D119" s="23" t="s">
        <v>288</v>
      </c>
      <c r="E119" s="73">
        <f>+('DOE25'!L283)+('DOE25'!L302)+('DOE25'!L321)</f>
        <v>831.52</v>
      </c>
      <c r="F119" s="23" t="s">
        <v>288</v>
      </c>
      <c r="G119" s="23" t="s">
        <v>288</v>
      </c>
      <c r="H119" s="13">
        <f t="shared" si="7"/>
        <v>475215.72</v>
      </c>
    </row>
    <row r="120" spans="1:8" x14ac:dyDescent="0.2">
      <c r="A120" t="s">
        <v>210</v>
      </c>
      <c r="B120" s="31" t="s">
        <v>211</v>
      </c>
      <c r="C120" s="73">
        <f>('DOE25'!L205)+('DOE25'!L223)+('DOE25'!L241)</f>
        <v>877437.27</v>
      </c>
      <c r="D120" s="23" t="s">
        <v>288</v>
      </c>
      <c r="E120" s="73">
        <f>+('DOE25'!L284)+('DOE25'!L303)+('DOE25'!L322)</f>
        <v>18250.919999999998</v>
      </c>
      <c r="F120" s="23" t="s">
        <v>288</v>
      </c>
      <c r="G120" s="23" t="s">
        <v>288</v>
      </c>
      <c r="H120" s="13">
        <f t="shared" si="7"/>
        <v>895688.19000000006</v>
      </c>
    </row>
    <row r="121" spans="1:8" x14ac:dyDescent="0.2">
      <c r="A121" t="s">
        <v>212</v>
      </c>
      <c r="B121" s="31" t="s">
        <v>213</v>
      </c>
      <c r="C121" s="73">
        <f>('DOE25'!L206)+('DOE25'!L224)+('DOE25'!L242)</f>
        <v>2430174.64</v>
      </c>
      <c r="D121" s="23" t="s">
        <v>288</v>
      </c>
      <c r="E121" s="73">
        <f>+('DOE25'!L285)+('DOE25'!L304)+('DOE25'!L323)</f>
        <v>0</v>
      </c>
      <c r="F121" s="23" t="s">
        <v>288</v>
      </c>
      <c r="G121" s="23" t="s">
        <v>288</v>
      </c>
      <c r="H121" s="13">
        <f t="shared" si="7"/>
        <v>2430174.64</v>
      </c>
    </row>
    <row r="122" spans="1:8" x14ac:dyDescent="0.2">
      <c r="A122" t="s">
        <v>214</v>
      </c>
      <c r="B122" s="31" t="s">
        <v>215</v>
      </c>
      <c r="C122" s="73">
        <f>('DOE25'!L207)+('DOE25'!L225)+('DOE25'!L243)</f>
        <v>0</v>
      </c>
      <c r="D122" s="23" t="s">
        <v>288</v>
      </c>
      <c r="E122" s="73">
        <f>+('DOE25'!L286)+('DOE25'!L305)+('DOE25'!L324)</f>
        <v>0</v>
      </c>
      <c r="F122" s="23" t="s">
        <v>288</v>
      </c>
      <c r="G122" s="23" t="s">
        <v>288</v>
      </c>
      <c r="H122" s="13">
        <f t="shared" si="7"/>
        <v>0</v>
      </c>
    </row>
    <row r="123" spans="1:8" x14ac:dyDescent="0.2">
      <c r="A123" t="s">
        <v>216</v>
      </c>
      <c r="B123" s="31" t="s">
        <v>217</v>
      </c>
      <c r="C123" s="73">
        <f>('DOE25'!L208)+('DOE25'!L226)+('DOE25'!L244)</f>
        <v>1875506.4500000002</v>
      </c>
      <c r="D123" s="23" t="s">
        <v>288</v>
      </c>
      <c r="E123" s="73">
        <f>+('DOE25'!L287)+('DOE25'!L306)+('DOE25'!L325)</f>
        <v>31970.959999999999</v>
      </c>
      <c r="F123" s="23" t="s">
        <v>288</v>
      </c>
      <c r="G123" s="23" t="s">
        <v>288</v>
      </c>
      <c r="H123" s="13">
        <f t="shared" si="7"/>
        <v>1907477.4100000001</v>
      </c>
    </row>
    <row r="124" spans="1:8" x14ac:dyDescent="0.2">
      <c r="A124" t="s">
        <v>218</v>
      </c>
      <c r="B124" s="31" t="s">
        <v>219</v>
      </c>
      <c r="C124" s="73">
        <f>('DOE25'!L209)+('DOE25'!L227)+('DOE25'!L245+'DOE25'!L255)</f>
        <v>1341743.99</v>
      </c>
      <c r="D124" s="23" t="s">
        <v>288</v>
      </c>
      <c r="E124" s="73">
        <f>+('DOE25'!L288)+('DOE25'!L307)+('DOE25'!L326)</f>
        <v>81775.44</v>
      </c>
      <c r="F124" s="23" t="s">
        <v>288</v>
      </c>
      <c r="G124" s="23" t="s">
        <v>288</v>
      </c>
      <c r="H124" s="13">
        <f t="shared" si="7"/>
        <v>1423519.43</v>
      </c>
    </row>
    <row r="125" spans="1:8" x14ac:dyDescent="0.2">
      <c r="A125" t="s">
        <v>220</v>
      </c>
      <c r="B125" s="31" t="s">
        <v>221</v>
      </c>
      <c r="C125" s="73">
        <f>('DOE25'!L210)+('DOE25'!L228)+('DOE25'!L246)</f>
        <v>0</v>
      </c>
      <c r="D125" s="23" t="s">
        <v>288</v>
      </c>
      <c r="E125" s="73">
        <f>+('DOE25'!L289)+('DOE25'!L308)+('DOE25'!L327)</f>
        <v>0</v>
      </c>
      <c r="F125" s="23" t="s">
        <v>288</v>
      </c>
      <c r="G125" s="23" t="s">
        <v>288</v>
      </c>
      <c r="H125" s="13">
        <f t="shared" si="7"/>
        <v>0</v>
      </c>
    </row>
    <row r="126" spans="1:8" x14ac:dyDescent="0.2">
      <c r="A126" t="s">
        <v>222</v>
      </c>
      <c r="B126" s="31" t="s">
        <v>223</v>
      </c>
      <c r="C126" s="23" t="s">
        <v>288</v>
      </c>
      <c r="D126" s="23" t="s">
        <v>288</v>
      </c>
      <c r="E126" s="23" t="s">
        <v>288</v>
      </c>
      <c r="F126" s="23" t="s">
        <v>288</v>
      </c>
      <c r="G126" s="23" t="s">
        <v>288</v>
      </c>
      <c r="H126" s="23" t="s">
        <v>288</v>
      </c>
    </row>
    <row r="127" spans="1:8" ht="12" thickBot="1" x14ac:dyDescent="0.25">
      <c r="A127" t="s">
        <v>224</v>
      </c>
      <c r="B127" s="31" t="s">
        <v>225</v>
      </c>
      <c r="C127" s="23" t="s">
        <v>288</v>
      </c>
      <c r="D127" s="73">
        <f>('DOE25'!L359)+('DOE25'!L360)+('DOE25'!L361)</f>
        <v>791748.58999999985</v>
      </c>
      <c r="E127" s="23" t="s">
        <v>288</v>
      </c>
      <c r="F127" s="23" t="s">
        <v>288</v>
      </c>
      <c r="G127" s="23" t="s">
        <v>288</v>
      </c>
      <c r="H127" s="13">
        <f t="shared" si="7"/>
        <v>791748.58999999985</v>
      </c>
    </row>
    <row r="128" spans="1:8" ht="12.75" thickTop="1" thickBot="1" x14ac:dyDescent="0.25">
      <c r="A128" s="32" t="s">
        <v>226</v>
      </c>
      <c r="C128" s="68">
        <f>SUM(C118:C127)</f>
        <v>8760264.6199999992</v>
      </c>
      <c r="D128" s="68">
        <f>SUM(D118:D127)</f>
        <v>791748.58999999985</v>
      </c>
      <c r="E128" s="68">
        <f>SUM(E118:E127)</f>
        <v>213258.46</v>
      </c>
      <c r="F128" s="68">
        <f>SUM(F118:F127)</f>
        <v>0</v>
      </c>
      <c r="G128" s="68">
        <f>SUM(G118:G127)</f>
        <v>0</v>
      </c>
      <c r="H128" s="68">
        <f t="shared" si="7"/>
        <v>9765271.6699999999</v>
      </c>
    </row>
    <row r="129" spans="1:8" ht="12" thickTop="1" x14ac:dyDescent="0.2">
      <c r="A129" s="32" t="s">
        <v>362</v>
      </c>
      <c r="C129" s="23" t="s">
        <v>288</v>
      </c>
      <c r="D129" s="23" t="s">
        <v>288</v>
      </c>
      <c r="E129" s="23" t="s">
        <v>288</v>
      </c>
      <c r="F129" s="23" t="s">
        <v>288</v>
      </c>
      <c r="G129" s="23" t="s">
        <v>288</v>
      </c>
      <c r="H129" s="23" t="s">
        <v>288</v>
      </c>
    </row>
    <row r="130" spans="1:8" x14ac:dyDescent="0.2">
      <c r="A130" t="s">
        <v>227</v>
      </c>
      <c r="B130" s="31" t="s">
        <v>228</v>
      </c>
      <c r="C130" s="73">
        <f>'DOE25'!L256</f>
        <v>553833.02</v>
      </c>
      <c r="D130" s="23" t="s">
        <v>288</v>
      </c>
      <c r="E130" s="92">
        <f>'DOE25'!L337</f>
        <v>49585.29</v>
      </c>
      <c r="F130" s="92">
        <f>SUM('DOE25'!L375:'DOE25'!L381)</f>
        <v>0</v>
      </c>
      <c r="G130" s="23" t="s">
        <v>288</v>
      </c>
      <c r="H130" s="13">
        <f t="shared" si="7"/>
        <v>603418.31000000006</v>
      </c>
    </row>
    <row r="131" spans="1:8" x14ac:dyDescent="0.2">
      <c r="A131" t="s">
        <v>229</v>
      </c>
      <c r="B131" s="31">
        <v>5110</v>
      </c>
      <c r="C131" s="73">
        <f>'DOE25'!L261</f>
        <v>0</v>
      </c>
      <c r="D131" s="23" t="s">
        <v>288</v>
      </c>
      <c r="E131" s="92">
        <f>'DOE25'!L342</f>
        <v>0</v>
      </c>
      <c r="F131" s="23" t="s">
        <v>288</v>
      </c>
      <c r="G131" s="23" t="s">
        <v>288</v>
      </c>
      <c r="H131" s="13">
        <f t="shared" si="7"/>
        <v>0</v>
      </c>
    </row>
    <row r="132" spans="1:8" x14ac:dyDescent="0.2">
      <c r="A132" t="s">
        <v>230</v>
      </c>
      <c r="B132" s="31">
        <v>5120</v>
      </c>
      <c r="C132" s="73">
        <f>'DOE25'!L262</f>
        <v>0</v>
      </c>
      <c r="D132" s="23" t="s">
        <v>288</v>
      </c>
      <c r="E132" s="92">
        <f>'DOE25'!L343</f>
        <v>0</v>
      </c>
      <c r="F132" s="23" t="s">
        <v>288</v>
      </c>
      <c r="G132" s="23" t="s">
        <v>288</v>
      </c>
      <c r="H132" s="13">
        <f t="shared" si="7"/>
        <v>0</v>
      </c>
    </row>
    <row r="133" spans="1:8" x14ac:dyDescent="0.2">
      <c r="A133" s="32" t="s">
        <v>231</v>
      </c>
      <c r="C133" s="23" t="s">
        <v>288</v>
      </c>
      <c r="D133" s="23" t="s">
        <v>288</v>
      </c>
      <c r="E133" s="23" t="s">
        <v>288</v>
      </c>
      <c r="F133" s="23" t="s">
        <v>288</v>
      </c>
      <c r="G133" s="23" t="s">
        <v>288</v>
      </c>
      <c r="H133" s="23" t="s">
        <v>288</v>
      </c>
    </row>
    <row r="134" spans="1:8" x14ac:dyDescent="0.2">
      <c r="A134" t="s">
        <v>232</v>
      </c>
      <c r="B134" s="31">
        <v>5210</v>
      </c>
      <c r="C134" s="23" t="s">
        <v>288</v>
      </c>
      <c r="D134" s="73">
        <f>'DOE25'!K362</f>
        <v>0</v>
      </c>
      <c r="E134" s="73">
        <f>'DOE25'!L345</f>
        <v>0</v>
      </c>
      <c r="F134" s="73">
        <f>'DOE25'!K382</f>
        <v>0</v>
      </c>
      <c r="G134" s="73">
        <f>'DOE25'!K435</f>
        <v>0</v>
      </c>
      <c r="H134" s="13">
        <f t="shared" si="7"/>
        <v>0</v>
      </c>
    </row>
    <row r="135" spans="1:8" x14ac:dyDescent="0.2">
      <c r="A135" t="s">
        <v>233</v>
      </c>
      <c r="B135" s="31" t="s">
        <v>234</v>
      </c>
      <c r="C135" s="73">
        <f>'DOE25'!L264</f>
        <v>0</v>
      </c>
      <c r="D135" s="23" t="s">
        <v>288</v>
      </c>
      <c r="E135" s="92">
        <f>'DOE25'!L346</f>
        <v>0</v>
      </c>
      <c r="F135" s="23" t="s">
        <v>288</v>
      </c>
      <c r="G135" s="23" t="s">
        <v>288</v>
      </c>
      <c r="H135" s="13">
        <f t="shared" si="7"/>
        <v>0</v>
      </c>
    </row>
    <row r="136" spans="1:8" x14ac:dyDescent="0.2">
      <c r="A136" t="s">
        <v>235</v>
      </c>
      <c r="B136" s="31" t="s">
        <v>236</v>
      </c>
      <c r="C136" s="73">
        <f>'DOE25'!L265</f>
        <v>0</v>
      </c>
      <c r="D136" s="23" t="s">
        <v>288</v>
      </c>
      <c r="E136" s="23" t="s">
        <v>288</v>
      </c>
      <c r="F136" s="23" t="s">
        <v>288</v>
      </c>
      <c r="G136" s="23" t="s">
        <v>288</v>
      </c>
      <c r="H136" s="13">
        <f t="shared" si="7"/>
        <v>0</v>
      </c>
    </row>
    <row r="137" spans="1:8" x14ac:dyDescent="0.2">
      <c r="A137" t="s">
        <v>237</v>
      </c>
      <c r="B137" s="31" t="s">
        <v>189</v>
      </c>
      <c r="C137" s="73">
        <f>'DOE25'!L266</f>
        <v>0</v>
      </c>
      <c r="D137" s="23" t="s">
        <v>288</v>
      </c>
      <c r="E137" s="92">
        <f>'DOE25'!L347</f>
        <v>0</v>
      </c>
      <c r="F137" s="23" t="s">
        <v>288</v>
      </c>
      <c r="G137" s="23" t="s">
        <v>288</v>
      </c>
      <c r="H137" s="13">
        <f t="shared" si="7"/>
        <v>0</v>
      </c>
    </row>
    <row r="138" spans="1:8" x14ac:dyDescent="0.2">
      <c r="A138" t="s">
        <v>238</v>
      </c>
      <c r="B138" s="31">
        <v>5251</v>
      </c>
      <c r="C138" s="73">
        <f>'DOE25'!L394</f>
        <v>240867.61</v>
      </c>
      <c r="D138" s="23" t="s">
        <v>288</v>
      </c>
      <c r="E138" s="23" t="s">
        <v>288</v>
      </c>
      <c r="F138" s="23" t="s">
        <v>288</v>
      </c>
      <c r="G138" s="23" t="s">
        <v>288</v>
      </c>
      <c r="H138" s="13">
        <f t="shared" si="7"/>
        <v>240867.61</v>
      </c>
    </row>
    <row r="139" spans="1:8" x14ac:dyDescent="0.2">
      <c r="A139" t="s">
        <v>239</v>
      </c>
      <c r="B139" s="31">
        <v>5252</v>
      </c>
      <c r="C139" s="73">
        <f>'DOE25'!L402</f>
        <v>345124.77</v>
      </c>
      <c r="D139" s="23" t="s">
        <v>288</v>
      </c>
      <c r="E139" s="23" t="s">
        <v>288</v>
      </c>
      <c r="F139" s="23" t="s">
        <v>288</v>
      </c>
      <c r="G139" s="23" t="s">
        <v>288</v>
      </c>
      <c r="H139" s="13">
        <f t="shared" si="7"/>
        <v>345124.77</v>
      </c>
    </row>
    <row r="140" spans="1:8" x14ac:dyDescent="0.2">
      <c r="A140" t="s">
        <v>240</v>
      </c>
      <c r="B140" s="31">
        <v>5253</v>
      </c>
      <c r="C140" s="73">
        <f>'DOE25'!L408</f>
        <v>0</v>
      </c>
      <c r="D140" s="23" t="s">
        <v>288</v>
      </c>
      <c r="E140" s="23" t="s">
        <v>288</v>
      </c>
      <c r="F140" s="23" t="s">
        <v>288</v>
      </c>
      <c r="G140" s="23" t="s">
        <v>288</v>
      </c>
      <c r="H140" s="13">
        <f t="shared" si="7"/>
        <v>0</v>
      </c>
    </row>
    <row r="141" spans="1:8" x14ac:dyDescent="0.2">
      <c r="A141" t="s">
        <v>759</v>
      </c>
      <c r="B141" s="31">
        <v>5254</v>
      </c>
      <c r="C141" s="73">
        <f>('DOE25'!L267+'DOE25'!K348) - (C138+C139+C140)</f>
        <v>-98992.38</v>
      </c>
      <c r="D141" s="23" t="s">
        <v>288</v>
      </c>
      <c r="E141" s="23" t="s">
        <v>288</v>
      </c>
      <c r="F141" s="23" t="s">
        <v>288</v>
      </c>
      <c r="G141" s="23" t="s">
        <v>288</v>
      </c>
      <c r="H141" s="13">
        <f t="shared" si="7"/>
        <v>-98992.38</v>
      </c>
    </row>
    <row r="142" spans="1:8" x14ac:dyDescent="0.2">
      <c r="A142" t="s">
        <v>241</v>
      </c>
      <c r="B142" s="31">
        <v>5310</v>
      </c>
      <c r="C142" s="92">
        <f>'DOE25'!L269</f>
        <v>0</v>
      </c>
      <c r="D142" s="23" t="s">
        <v>288</v>
      </c>
      <c r="E142" s="92">
        <f>'DOE25'!L350</f>
        <v>0</v>
      </c>
      <c r="F142" s="23" t="s">
        <v>288</v>
      </c>
      <c r="G142" s="23" t="s">
        <v>288</v>
      </c>
      <c r="H142" s="13">
        <f t="shared" si="7"/>
        <v>0</v>
      </c>
    </row>
    <row r="143" spans="1:8" ht="12" thickBot="1" x14ac:dyDescent="0.25">
      <c r="A143" t="s">
        <v>242</v>
      </c>
      <c r="B143" s="31">
        <v>5390</v>
      </c>
      <c r="C143" s="92">
        <f>'DOE25'!L270</f>
        <v>0</v>
      </c>
      <c r="D143" s="23" t="s">
        <v>288</v>
      </c>
      <c r="E143" s="92">
        <f>'DOE25'!L351</f>
        <v>0</v>
      </c>
      <c r="F143" s="23" t="s">
        <v>288</v>
      </c>
      <c r="G143" s="23" t="s">
        <v>288</v>
      </c>
      <c r="H143" s="13">
        <f t="shared" si="7"/>
        <v>0</v>
      </c>
    </row>
    <row r="144" spans="1:8" ht="12" thickBot="1" x14ac:dyDescent="0.25">
      <c r="A144" s="32" t="s">
        <v>243</v>
      </c>
      <c r="C144" s="98">
        <f>SUM(C130:C143)</f>
        <v>1040833.0199999999</v>
      </c>
      <c r="D144" s="98">
        <f>SUM(D130:D143)</f>
        <v>0</v>
      </c>
      <c r="E144" s="98">
        <f>SUM(E130:E143)</f>
        <v>49585.29</v>
      </c>
      <c r="F144" s="98">
        <f>SUM(F130:F143)</f>
        <v>0</v>
      </c>
      <c r="G144" s="98">
        <f>SUM(G130:G143)</f>
        <v>0</v>
      </c>
      <c r="H144" s="98">
        <f t="shared" si="7"/>
        <v>1090418.3099999998</v>
      </c>
    </row>
    <row r="145" spans="1:9" ht="12.75" thickTop="1" thickBot="1" x14ac:dyDescent="0.25">
      <c r="A145" s="32" t="s">
        <v>244</v>
      </c>
      <c r="C145" s="68">
        <f>(C115+C128+C144)</f>
        <v>29332162.850000005</v>
      </c>
      <c r="D145" s="68">
        <f>(D115+D128+D144)</f>
        <v>791748.58999999985</v>
      </c>
      <c r="E145" s="68">
        <f>(E115+E128+E144)</f>
        <v>1241766.1199999999</v>
      </c>
      <c r="F145" s="68">
        <f>(F115+F128+F144)</f>
        <v>0</v>
      </c>
      <c r="G145" s="68">
        <f>(G115+G128+G144)</f>
        <v>0</v>
      </c>
      <c r="H145" s="68">
        <f t="shared" si="7"/>
        <v>31365677.560000006</v>
      </c>
    </row>
    <row r="146" spans="1:9" ht="12" thickTop="1" x14ac:dyDescent="0.2">
      <c r="A146" s="32"/>
    </row>
    <row r="148" spans="1:9" x14ac:dyDescent="0.2">
      <c r="A148" s="74" t="s">
        <v>245</v>
      </c>
      <c r="C148" s="22"/>
      <c r="D148" s="19"/>
      <c r="E148" s="19"/>
      <c r="F148" s="19"/>
      <c r="G148" s="19"/>
    </row>
    <row r="149" spans="1:9" x14ac:dyDescent="0.2">
      <c r="A149" s="21" t="s">
        <v>20</v>
      </c>
      <c r="B149" s="31" t="s">
        <v>264</v>
      </c>
      <c r="C149" s="31" t="s">
        <v>265</v>
      </c>
      <c r="D149" s="31" t="s">
        <v>266</v>
      </c>
      <c r="E149" s="31" t="s">
        <v>267</v>
      </c>
      <c r="F149" s="31" t="s">
        <v>268</v>
      </c>
      <c r="G149" s="31" t="s">
        <v>269</v>
      </c>
      <c r="H149" s="19"/>
      <c r="I149" s="19"/>
    </row>
    <row r="150" spans="1:9" x14ac:dyDescent="0.2">
      <c r="A150" s="74" t="s">
        <v>21</v>
      </c>
      <c r="B150" s="31" t="s">
        <v>22</v>
      </c>
      <c r="C150" s="31" t="s">
        <v>23</v>
      </c>
      <c r="D150" s="31" t="s">
        <v>24</v>
      </c>
      <c r="E150" s="31" t="s">
        <v>25</v>
      </c>
      <c r="F150" s="31" t="s">
        <v>26</v>
      </c>
      <c r="G150" s="31" t="s">
        <v>340</v>
      </c>
    </row>
    <row r="151" spans="1:9" x14ac:dyDescent="0.2">
      <c r="A151" s="21" t="s">
        <v>27</v>
      </c>
      <c r="B151" s="110">
        <f>'DOE25'!F491</f>
        <v>0</v>
      </c>
      <c r="C151" s="110">
        <f>'DOE25'!G491</f>
        <v>0</v>
      </c>
      <c r="D151" s="110">
        <f>'DOE25'!H491</f>
        <v>0</v>
      </c>
      <c r="E151" s="110">
        <f>'DOE25'!I491</f>
        <v>0</v>
      </c>
      <c r="F151" s="110">
        <f>'DOE25'!J491</f>
        <v>0</v>
      </c>
      <c r="G151" s="23" t="s">
        <v>288</v>
      </c>
    </row>
    <row r="152" spans="1:9" x14ac:dyDescent="0.2">
      <c r="A152" s="21" t="s">
        <v>28</v>
      </c>
      <c r="B152" s="109">
        <f>'DOE25'!F492</f>
        <v>0</v>
      </c>
      <c r="C152" s="109">
        <f>'DOE25'!G492</f>
        <v>0</v>
      </c>
      <c r="D152" s="109">
        <f>'DOE25'!H492</f>
        <v>0</v>
      </c>
      <c r="E152" s="109">
        <f>'DOE25'!I492</f>
        <v>0</v>
      </c>
      <c r="F152" s="109">
        <f>'DOE25'!J492</f>
        <v>0</v>
      </c>
      <c r="G152" s="23" t="s">
        <v>288</v>
      </c>
    </row>
    <row r="153" spans="1:9" x14ac:dyDescent="0.2">
      <c r="A153" s="21" t="s">
        <v>29</v>
      </c>
      <c r="B153" s="109">
        <f>'DOE25'!F493</f>
        <v>0</v>
      </c>
      <c r="C153" s="109">
        <f>'DOE25'!G493</f>
        <v>0</v>
      </c>
      <c r="D153" s="109">
        <f>'DOE25'!H493</f>
        <v>0</v>
      </c>
      <c r="E153" s="109">
        <f>'DOE25'!I493</f>
        <v>0</v>
      </c>
      <c r="F153" s="109">
        <f>'DOE25'!J493</f>
        <v>0</v>
      </c>
      <c r="G153" s="23" t="s">
        <v>288</v>
      </c>
    </row>
    <row r="154" spans="1:9" x14ac:dyDescent="0.2">
      <c r="A154" s="21" t="s">
        <v>30</v>
      </c>
      <c r="B154" s="19">
        <f>'DOE25'!F494</f>
        <v>0</v>
      </c>
      <c r="C154" s="19">
        <f>'DOE25'!G494</f>
        <v>0</v>
      </c>
      <c r="D154" s="19">
        <f>'DOE25'!H494</f>
        <v>0</v>
      </c>
      <c r="E154" s="19">
        <f>'DOE25'!I494</f>
        <v>0</v>
      </c>
      <c r="F154" s="19">
        <f>'DOE25'!J494</f>
        <v>0</v>
      </c>
      <c r="G154" s="23" t="s">
        <v>288</v>
      </c>
    </row>
    <row r="155" spans="1:9" x14ac:dyDescent="0.2">
      <c r="A155" s="21" t="s">
        <v>31</v>
      </c>
      <c r="B155" s="19">
        <f>'DOE25'!F495</f>
        <v>0</v>
      </c>
      <c r="C155" s="19">
        <f>'DOE25'!G495</f>
        <v>0</v>
      </c>
      <c r="D155" s="19">
        <f>'DOE25'!H495</f>
        <v>0</v>
      </c>
      <c r="E155" s="19">
        <f>'DOE25'!I495</f>
        <v>0</v>
      </c>
      <c r="F155" s="19">
        <f>'DOE25'!J495</f>
        <v>0</v>
      </c>
      <c r="G155" s="23" t="s">
        <v>288</v>
      </c>
    </row>
    <row r="156" spans="1:9" x14ac:dyDescent="0.2">
      <c r="A156" s="21" t="s">
        <v>32</v>
      </c>
      <c r="B156" s="19">
        <f>'DOE25'!F496</f>
        <v>0</v>
      </c>
      <c r="C156" s="19">
        <f>'DOE25'!G496</f>
        <v>0</v>
      </c>
      <c r="D156" s="19">
        <f>'DOE25'!H496</f>
        <v>0</v>
      </c>
      <c r="E156" s="19">
        <f>'DOE25'!I496</f>
        <v>0</v>
      </c>
      <c r="F156" s="19">
        <f>'DOE25'!J496</f>
        <v>0</v>
      </c>
      <c r="G156" s="96">
        <f>SUM(B156:F156)</f>
        <v>0</v>
      </c>
    </row>
    <row r="157" spans="1:9" x14ac:dyDescent="0.2">
      <c r="A157" s="21" t="s">
        <v>33</v>
      </c>
      <c r="B157" s="19">
        <f>'DOE25'!F497</f>
        <v>0</v>
      </c>
      <c r="C157" s="19">
        <f>'DOE25'!G497</f>
        <v>0</v>
      </c>
      <c r="D157" s="19">
        <f>'DOE25'!H497</f>
        <v>0</v>
      </c>
      <c r="E157" s="19">
        <f>'DOE25'!I497</f>
        <v>0</v>
      </c>
      <c r="F157" s="19">
        <f>'DOE25'!J497</f>
        <v>0</v>
      </c>
      <c r="G157" s="96">
        <f t="shared" ref="G157:G164" si="8">SUM(B157:F157)</f>
        <v>0</v>
      </c>
    </row>
    <row r="158" spans="1:9" x14ac:dyDescent="0.2">
      <c r="A158" s="21" t="s">
        <v>34</v>
      </c>
      <c r="B158" s="19">
        <f>'DOE25'!F498</f>
        <v>0</v>
      </c>
      <c r="C158" s="19">
        <f>'DOE25'!G498</f>
        <v>0</v>
      </c>
      <c r="D158" s="19">
        <f>'DOE25'!H498</f>
        <v>0</v>
      </c>
      <c r="E158" s="19">
        <f>'DOE25'!I498</f>
        <v>0</v>
      </c>
      <c r="F158" s="19">
        <f>'DOE25'!J498</f>
        <v>0</v>
      </c>
      <c r="G158" s="96">
        <f t="shared" si="8"/>
        <v>0</v>
      </c>
    </row>
    <row r="159" spans="1:9" x14ac:dyDescent="0.2">
      <c r="A159" s="21" t="s">
        <v>35</v>
      </c>
      <c r="B159" s="19">
        <f>'DOE25'!F499</f>
        <v>0</v>
      </c>
      <c r="C159" s="19">
        <f>'DOE25'!G499</f>
        <v>0</v>
      </c>
      <c r="D159" s="19">
        <f>'DOE25'!H499</f>
        <v>0</v>
      </c>
      <c r="E159" s="19">
        <f>'DOE25'!I499</f>
        <v>0</v>
      </c>
      <c r="F159" s="19">
        <f>'DOE25'!J499</f>
        <v>0</v>
      </c>
      <c r="G159" s="96">
        <f t="shared" si="8"/>
        <v>0</v>
      </c>
    </row>
    <row r="160" spans="1:9" x14ac:dyDescent="0.2">
      <c r="A160" s="21" t="s">
        <v>36</v>
      </c>
      <c r="B160" s="19">
        <f>'DOE25'!F500</f>
        <v>0</v>
      </c>
      <c r="C160" s="19">
        <f>'DOE25'!G500</f>
        <v>0</v>
      </c>
      <c r="D160" s="19">
        <f>'DOE25'!H500</f>
        <v>0</v>
      </c>
      <c r="E160" s="19">
        <f>'DOE25'!I500</f>
        <v>0</v>
      </c>
      <c r="F160" s="19">
        <f>'DOE25'!J500</f>
        <v>0</v>
      </c>
      <c r="G160" s="96">
        <f t="shared" si="8"/>
        <v>0</v>
      </c>
    </row>
    <row r="161" spans="1:7" x14ac:dyDescent="0.2">
      <c r="A161" s="21" t="s">
        <v>37</v>
      </c>
      <c r="B161" s="19">
        <f>'DOE25'!F501</f>
        <v>0</v>
      </c>
      <c r="C161" s="19">
        <f>'DOE25'!G501</f>
        <v>0</v>
      </c>
      <c r="D161" s="19">
        <f>'DOE25'!H501</f>
        <v>0</v>
      </c>
      <c r="E161" s="19">
        <f>'DOE25'!I501</f>
        <v>0</v>
      </c>
      <c r="F161" s="19">
        <f>'DOE25'!J501</f>
        <v>0</v>
      </c>
      <c r="G161" s="96">
        <f t="shared" si="8"/>
        <v>0</v>
      </c>
    </row>
    <row r="162" spans="1:7" x14ac:dyDescent="0.2">
      <c r="A162" s="21" t="s">
        <v>38</v>
      </c>
      <c r="B162" s="19">
        <f>'DOE25'!F502</f>
        <v>0</v>
      </c>
      <c r="C162" s="19">
        <f>'DOE25'!G502</f>
        <v>0</v>
      </c>
      <c r="D162" s="19">
        <f>'DOE25'!H502</f>
        <v>0</v>
      </c>
      <c r="E162" s="19">
        <f>'DOE25'!I502</f>
        <v>0</v>
      </c>
      <c r="F162" s="19">
        <f>'DOE25'!J502</f>
        <v>0</v>
      </c>
      <c r="G162" s="96">
        <f t="shared" si="8"/>
        <v>0</v>
      </c>
    </row>
    <row r="163" spans="1:7" x14ac:dyDescent="0.2">
      <c r="A163" s="21" t="s">
        <v>39</v>
      </c>
      <c r="B163" s="19">
        <f>'DOE25'!F503</f>
        <v>0</v>
      </c>
      <c r="C163" s="19">
        <f>'DOE25'!G503</f>
        <v>0</v>
      </c>
      <c r="D163" s="19">
        <f>'DOE25'!H503</f>
        <v>0</v>
      </c>
      <c r="E163" s="19">
        <f>'DOE25'!I503</f>
        <v>0</v>
      </c>
      <c r="F163" s="19">
        <f>'DOE25'!J503</f>
        <v>0</v>
      </c>
      <c r="G163" s="96">
        <f t="shared" si="8"/>
        <v>0</v>
      </c>
    </row>
    <row r="164" spans="1:7" x14ac:dyDescent="0.2">
      <c r="A164" s="21" t="s">
        <v>246</v>
      </c>
      <c r="B164" s="19">
        <f>'DOE25'!F504</f>
        <v>0</v>
      </c>
      <c r="C164" s="19">
        <f>'DOE25'!G504</f>
        <v>0</v>
      </c>
      <c r="D164" s="19">
        <f>'DOE25'!H504</f>
        <v>0</v>
      </c>
      <c r="E164" s="19">
        <f>'DOE25'!I504</f>
        <v>0</v>
      </c>
      <c r="F164" s="19">
        <f>'DOE25'!J504</f>
        <v>0</v>
      </c>
      <c r="G164" s="96">
        <f t="shared" si="8"/>
        <v>0</v>
      </c>
    </row>
  </sheetData>
  <sheetProtection algorithmName="SHA-512" hashValue="qcDfB3Y3eZgqb/pHZVEdhoSjMdX32LubeOejASr1cenRLF+tMy/Ee/pvI5ERSxEw7yAp8VYdP/GDQBYJahhCLQ==" saltValue="x2Zflx7raokaJj1/FsJ+9Q==" spinCount="100000" sheet="1" objects="1" scenarios="1"/>
  <phoneticPr fontId="0" type="noConversion"/>
  <printOptions gridLines="1" gridLinesSet="0"/>
  <pageMargins left="0.75" right="0.75" top="1" bottom="1" header="0.5" footer="0.5"/>
  <pageSetup scale="84" orientation="landscape" r:id="rId1"/>
  <headerFooter alignWithMargins="0">
    <oddHeader>&amp;C&amp;A
2023-2024</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D7" sqref="D7"/>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31" t="s">
        <v>736</v>
      </c>
      <c r="B1" s="331"/>
      <c r="C1" s="331"/>
      <c r="D1" s="331"/>
    </row>
    <row r="2" spans="1:4" x14ac:dyDescent="0.2">
      <c r="A2" s="135" t="s">
        <v>713</v>
      </c>
      <c r="B2" s="134" t="str">
        <f>'DOE25'!A2</f>
        <v>Pembroke</v>
      </c>
    </row>
    <row r="3" spans="1:4" x14ac:dyDescent="0.2">
      <c r="B3" s="136" t="s">
        <v>1792</v>
      </c>
    </row>
    <row r="4" spans="1:4" x14ac:dyDescent="0.2">
      <c r="B4" t="s">
        <v>61</v>
      </c>
      <c r="C4" s="128">
        <f>IF('DOE25'!F666+'DOE25'!F671=0,0,ROUND('DOE25'!F673,0))</f>
        <v>21471</v>
      </c>
    </row>
    <row r="5" spans="1:4" x14ac:dyDescent="0.2">
      <c r="B5" t="s">
        <v>700</v>
      </c>
      <c r="C5" s="128">
        <f>IF('DOE25'!G666+'DOE25'!G671=0,0,ROUND('DOE25'!G673,0))</f>
        <v>0</v>
      </c>
    </row>
    <row r="6" spans="1:4" x14ac:dyDescent="0.2">
      <c r="B6" t="s">
        <v>62</v>
      </c>
      <c r="C6" s="128">
        <f>IF('DOE25'!H666+'DOE25'!H671=0,0,ROUND('DOE25'!H673,0))</f>
        <v>17463</v>
      </c>
    </row>
    <row r="7" spans="1:4" x14ac:dyDescent="0.2">
      <c r="B7" t="s">
        <v>701</v>
      </c>
      <c r="C7" s="128">
        <f>IF('DOE25'!I666+'DOE25'!I671=0,0,ROUND('DOE25'!I673,0))</f>
        <v>19355</v>
      </c>
    </row>
    <row r="9" spans="1:4" x14ac:dyDescent="0.2">
      <c r="A9" s="135" t="s">
        <v>94</v>
      </c>
      <c r="B9" s="136" t="s">
        <v>1793</v>
      </c>
      <c r="C9" s="130" t="s">
        <v>720</v>
      </c>
      <c r="D9" s="130" t="s">
        <v>721</v>
      </c>
    </row>
    <row r="10" spans="1:4" x14ac:dyDescent="0.2">
      <c r="A10">
        <v>1100</v>
      </c>
      <c r="B10" t="s">
        <v>702</v>
      </c>
      <c r="C10" s="128">
        <f>ROUND('DOE25'!L198+'DOE25'!L216+'DOE25'!L234+'DOE25'!L277+'DOE25'!L296+'DOE25'!L315,0)</f>
        <v>12560368</v>
      </c>
      <c r="D10" s="131">
        <f>ROUND((C10/$C$28)*100,1)</f>
        <v>42.1</v>
      </c>
    </row>
    <row r="11" spans="1:4" x14ac:dyDescent="0.2">
      <c r="A11">
        <v>1200</v>
      </c>
      <c r="B11" t="s">
        <v>703</v>
      </c>
      <c r="C11" s="128">
        <f>ROUND('DOE25'!L199+'DOE25'!L217+'DOE25'!L235+'DOE25'!L278+'DOE25'!L297+'DOE25'!L316,0)</f>
        <v>6156598</v>
      </c>
      <c r="D11" s="131">
        <f>ROUND((C11/$C$28)*100,1)</f>
        <v>20.6</v>
      </c>
    </row>
    <row r="12" spans="1:4" x14ac:dyDescent="0.2">
      <c r="A12">
        <v>1300</v>
      </c>
      <c r="B12" t="s">
        <v>704</v>
      </c>
      <c r="C12" s="128">
        <f>ROUND('DOE25'!L200+'DOE25'!L218+'DOE25'!L236+'DOE25'!L279+'DOE25'!L298+'DOE25'!L317,0)</f>
        <v>1088483</v>
      </c>
      <c r="D12" s="131">
        <f>ROUND((C12/$C$28)*100,1)</f>
        <v>3.6</v>
      </c>
    </row>
    <row r="13" spans="1:4" x14ac:dyDescent="0.2">
      <c r="A13">
        <v>1400</v>
      </c>
      <c r="B13" t="s">
        <v>705</v>
      </c>
      <c r="C13" s="128">
        <f>ROUND('DOE25'!L201+'DOE25'!L219+'DOE25'!L237+'DOE25'!L280+'DOE25'!L299+'DOE25'!L318,0)</f>
        <v>704538</v>
      </c>
      <c r="D13" s="131">
        <f>ROUND((C13/$C$28)*100,1)</f>
        <v>2.4</v>
      </c>
    </row>
    <row r="14" spans="1:4" x14ac:dyDescent="0.2">
      <c r="D14" s="131"/>
    </row>
    <row r="15" spans="1:4" x14ac:dyDescent="0.2">
      <c r="A15">
        <v>2100</v>
      </c>
      <c r="B15" t="s">
        <v>706</v>
      </c>
      <c r="C15" s="128">
        <f>ROUND('DOE25'!L203+'DOE25'!L221+'DOE25'!L239+'DOE25'!L282+'DOE25'!L301+'DOE25'!L320,0)</f>
        <v>1841448</v>
      </c>
      <c r="D15" s="131">
        <f t="shared" ref="D15:D27" si="0">ROUND((C15/$C$28)*100,1)</f>
        <v>6.2</v>
      </c>
    </row>
    <row r="16" spans="1:4" x14ac:dyDescent="0.2">
      <c r="A16">
        <v>2200</v>
      </c>
      <c r="B16" t="s">
        <v>707</v>
      </c>
      <c r="C16" s="128">
        <f>ROUND('DOE25'!L204+'DOE25'!L222+'DOE25'!L240+'DOE25'!L283+'DOE25'!L302+'DOE25'!L321,0)</f>
        <v>475216</v>
      </c>
      <c r="D16" s="131">
        <f t="shared" si="0"/>
        <v>1.6</v>
      </c>
    </row>
    <row r="17" spans="1:4" x14ac:dyDescent="0.2">
      <c r="A17" s="132" t="s">
        <v>723</v>
      </c>
      <c r="B17" t="s">
        <v>738</v>
      </c>
      <c r="C17" s="128">
        <f>ROUND('DOE25'!L205+'DOE25'!L210+'DOE25'!L223+'DOE25'!L228+'DOE25'!L241+'DOE25'!L246+'DOE25'!L284+'DOE25'!L289+'DOE25'!L303+'DOE25'!L308+'DOE25'!L322+'DOE25'!L327,0)</f>
        <v>895688</v>
      </c>
      <c r="D17" s="131">
        <f t="shared" si="0"/>
        <v>3</v>
      </c>
    </row>
    <row r="18" spans="1:4" x14ac:dyDescent="0.2">
      <c r="A18">
        <v>2400</v>
      </c>
      <c r="B18" t="s">
        <v>711</v>
      </c>
      <c r="C18" s="128">
        <f>ROUND('DOE25'!L206+'DOE25'!L224+'DOE25'!L242+'DOE25'!L285+'DOE25'!L304+'DOE25'!L323,0)</f>
        <v>2430175</v>
      </c>
      <c r="D18" s="131">
        <f t="shared" si="0"/>
        <v>8.1</v>
      </c>
    </row>
    <row r="19" spans="1:4" x14ac:dyDescent="0.2">
      <c r="A19">
        <v>2500</v>
      </c>
      <c r="B19" t="s">
        <v>708</v>
      </c>
      <c r="C19" s="128">
        <f>ROUND('DOE25'!L207+'DOE25'!L225+'DOE25'!L243+'DOE25'!L286+'DOE25'!L305+'DOE25'!L324,0)</f>
        <v>0</v>
      </c>
      <c r="D19" s="131">
        <f t="shared" si="0"/>
        <v>0</v>
      </c>
    </row>
    <row r="20" spans="1:4" x14ac:dyDescent="0.2">
      <c r="A20">
        <v>2600</v>
      </c>
      <c r="B20" t="s">
        <v>709</v>
      </c>
      <c r="C20" s="128">
        <f>ROUND('DOE25'!L208+'DOE25'!L226+'DOE25'!L244+'DOE25'!L287+'DOE25'!L306+'DOE25'!L325,0)</f>
        <v>1907477</v>
      </c>
      <c r="D20" s="131">
        <f t="shared" si="0"/>
        <v>6.4</v>
      </c>
    </row>
    <row r="21" spans="1:4" x14ac:dyDescent="0.2">
      <c r="A21">
        <v>2700</v>
      </c>
      <c r="B21" t="s">
        <v>710</v>
      </c>
      <c r="C21" s="128">
        <f>ROUND('DOE25'!L209+'DOE25'!L227+'DOE25'!L245+'DOE25'!L288+'DOE25'!L307+'DOE25'!L326,0)</f>
        <v>1423519</v>
      </c>
      <c r="D21" s="131">
        <f t="shared" si="0"/>
        <v>4.8</v>
      </c>
    </row>
    <row r="22" spans="1:4" x14ac:dyDescent="0.2">
      <c r="A22">
        <v>2900</v>
      </c>
      <c r="B22" t="s">
        <v>712</v>
      </c>
      <c r="C22" s="128">
        <v>0</v>
      </c>
      <c r="D22" s="131">
        <f t="shared" si="0"/>
        <v>0</v>
      </c>
    </row>
    <row r="23" spans="1:4" x14ac:dyDescent="0.2">
      <c r="A23">
        <v>1500</v>
      </c>
      <c r="B23" t="s">
        <v>714</v>
      </c>
      <c r="C23" s="128">
        <f>ROUND('DOE25'!L251+'DOE25'!L333,0)</f>
        <v>0</v>
      </c>
      <c r="D23" s="131">
        <f t="shared" si="0"/>
        <v>0</v>
      </c>
    </row>
    <row r="24" spans="1:4" x14ac:dyDescent="0.2">
      <c r="A24" s="132" t="s">
        <v>722</v>
      </c>
      <c r="B24" t="s">
        <v>715</v>
      </c>
      <c r="C24" s="128">
        <f>ROUND('DOE25'!L252+'DOE25'!L253+'DOE25'!L254+'DOE25'!L255+'DOE25'!L334+'DOE25'!L335+'DOE25'!L336,0)</f>
        <v>0</v>
      </c>
      <c r="D24" s="131">
        <f t="shared" si="0"/>
        <v>0</v>
      </c>
    </row>
    <row r="25" spans="1:4" x14ac:dyDescent="0.2">
      <c r="A25">
        <v>5120</v>
      </c>
      <c r="B25" t="s">
        <v>716</v>
      </c>
      <c r="C25" s="128">
        <f>ROUND('DOE25'!L262+'DOE25'!L343,0)</f>
        <v>0</v>
      </c>
      <c r="D25" s="131">
        <f t="shared" si="0"/>
        <v>0</v>
      </c>
    </row>
    <row r="26" spans="1:4" x14ac:dyDescent="0.2">
      <c r="A26" s="132" t="s">
        <v>717</v>
      </c>
      <c r="B26" t="s">
        <v>718</v>
      </c>
      <c r="C26" s="128">
        <f>'DOE25'!L269+'DOE25'!L270+'DOE25'!L350+'DOE25'!L351</f>
        <v>0</v>
      </c>
      <c r="D26" s="131">
        <f t="shared" si="0"/>
        <v>0</v>
      </c>
    </row>
    <row r="27" spans="1:4" x14ac:dyDescent="0.2">
      <c r="A27">
        <v>3100</v>
      </c>
      <c r="B27" t="s">
        <v>11</v>
      </c>
      <c r="C27" s="128">
        <f>ROUND('DOE25'!L363-'DOE25'!L362,0)-SUM('DOE25'!G97:G110)</f>
        <v>368151.38</v>
      </c>
      <c r="D27" s="131">
        <f t="shared" si="0"/>
        <v>1.2</v>
      </c>
    </row>
    <row r="28" spans="1:4" x14ac:dyDescent="0.2">
      <c r="B28" s="135" t="s">
        <v>719</v>
      </c>
      <c r="C28" s="129">
        <f>SUM(C10:C27)</f>
        <v>29851661.379999999</v>
      </c>
      <c r="D28" s="133">
        <f>ROUND(SUM(D10:D27),0)</f>
        <v>100</v>
      </c>
    </row>
    <row r="29" spans="1:4" x14ac:dyDescent="0.2">
      <c r="A29">
        <v>4000</v>
      </c>
      <c r="B29" t="s">
        <v>724</v>
      </c>
      <c r="C29" s="128">
        <f>ROUND('DOE25'!L256+'DOE25'!L337+'DOE25'!L375+'DOE25'!L376+'DOE25'!L377+'DOE25'!L378+'DOE25'!L379+'DOE25'!L380+'DOE25'!L381,0)</f>
        <v>603418</v>
      </c>
    </row>
    <row r="30" spans="1:4" x14ac:dyDescent="0.2">
      <c r="B30" s="135" t="s">
        <v>725</v>
      </c>
      <c r="C30" s="129">
        <f>SUM(C28:C29)</f>
        <v>30455079.379999999</v>
      </c>
    </row>
    <row r="31" spans="1:4" x14ac:dyDescent="0.2">
      <c r="B31" s="32"/>
      <c r="C31" s="129"/>
    </row>
    <row r="32" spans="1:4" x14ac:dyDescent="0.2">
      <c r="A32">
        <v>5100</v>
      </c>
      <c r="B32" s="32" t="s">
        <v>726</v>
      </c>
      <c r="C32" s="129">
        <f>ROUND('DOE25'!L261+'DOE25'!L342,0)</f>
        <v>0</v>
      </c>
    </row>
    <row r="34" spans="1:4" x14ac:dyDescent="0.2">
      <c r="A34" s="135" t="s">
        <v>94</v>
      </c>
      <c r="B34" s="136" t="s">
        <v>1794</v>
      </c>
      <c r="C34" s="130" t="s">
        <v>720</v>
      </c>
      <c r="D34" s="130" t="s">
        <v>721</v>
      </c>
    </row>
    <row r="35" spans="1:4" x14ac:dyDescent="0.2">
      <c r="A35">
        <v>1100</v>
      </c>
      <c r="B35" s="71" t="s">
        <v>727</v>
      </c>
      <c r="C35" s="128">
        <f>ROUND('DOE25'!F60+'DOE25'!G60+'DOE25'!H60+'DOE25'!I60+'DOE25'!J60,0)</f>
        <v>13963592</v>
      </c>
      <c r="D35" s="131">
        <f t="shared" ref="D35:D40" si="1">ROUND((C35/$C$41)*100,1)</f>
        <v>45.8</v>
      </c>
    </row>
    <row r="36" spans="1:4" x14ac:dyDescent="0.2">
      <c r="B36" s="71" t="s">
        <v>739</v>
      </c>
      <c r="C36" s="128">
        <f>SUM('DOE25'!F112:J112)-SUM('DOE25'!G97:G110)+('DOE25'!F175+'DOE25'!F176+'DOE25'!I175+'DOE25'!I176)-C35</f>
        <v>6966041.7899999991</v>
      </c>
      <c r="D36" s="131">
        <f t="shared" si="1"/>
        <v>22.9</v>
      </c>
    </row>
    <row r="37" spans="1:4" x14ac:dyDescent="0.2">
      <c r="A37" s="132" t="s">
        <v>831</v>
      </c>
      <c r="B37" s="71" t="s">
        <v>728</v>
      </c>
      <c r="C37" s="128">
        <f>ROUND('DOE25'!F117+'DOE25'!F118,0)</f>
        <v>7409674</v>
      </c>
      <c r="D37" s="131">
        <f t="shared" si="1"/>
        <v>24.3</v>
      </c>
    </row>
    <row r="38" spans="1:4" x14ac:dyDescent="0.2">
      <c r="A38" s="132" t="s">
        <v>734</v>
      </c>
      <c r="B38" s="71" t="s">
        <v>729</v>
      </c>
      <c r="C38" s="128">
        <f>ROUND(SUM('DOE25'!F140:J140)-SUM('DOE25'!F117:F119),0)</f>
        <v>499947</v>
      </c>
      <c r="D38" s="131">
        <f t="shared" si="1"/>
        <v>1.6</v>
      </c>
    </row>
    <row r="39" spans="1:4" x14ac:dyDescent="0.2">
      <c r="A39">
        <v>4000</v>
      </c>
      <c r="B39" s="71" t="s">
        <v>730</v>
      </c>
      <c r="C39" s="128">
        <f>ROUND('DOE25'!F170+'DOE25'!G170+'DOE25'!H170+'DOE25'!I170,0)</f>
        <v>1617224</v>
      </c>
      <c r="D39" s="131">
        <f t="shared" si="1"/>
        <v>5.3</v>
      </c>
    </row>
    <row r="40" spans="1:4" x14ac:dyDescent="0.2">
      <c r="A40" s="132" t="s">
        <v>735</v>
      </c>
      <c r="B40" s="71" t="s">
        <v>731</v>
      </c>
      <c r="C40" s="128">
        <f>ROUND(SUM('DOE25'!F190:F192)+SUM('DOE25'!G190:G192)+SUM('DOE25'!H190:H192)+SUM('DOE25'!I190:I192),0)</f>
        <v>0</v>
      </c>
      <c r="D40" s="131">
        <f t="shared" si="1"/>
        <v>0</v>
      </c>
    </row>
    <row r="41" spans="1:4" x14ac:dyDescent="0.2">
      <c r="B41" s="135" t="s">
        <v>732</v>
      </c>
      <c r="C41" s="129">
        <f>SUM(C35:C40)</f>
        <v>30456478.789999999</v>
      </c>
      <c r="D41" s="133">
        <f>SUM(D35:D40)</f>
        <v>99.899999999999977</v>
      </c>
    </row>
    <row r="42" spans="1:4" x14ac:dyDescent="0.2">
      <c r="A42" s="132" t="s">
        <v>737</v>
      </c>
      <c r="B42" s="71" t="s">
        <v>733</v>
      </c>
      <c r="C42" s="128">
        <f>ROUND('DOE25'!F174+'DOE25'!I174+'DOE25'!F177+'DOE25'!I177,0)</f>
        <v>0</v>
      </c>
    </row>
  </sheetData>
  <sheetProtection algorithmName="SHA-512" hashValue="bcqgyUfYo8DabN4uKlhDzEb91E9RMNWL3bCVgmePkTpEGq/geNCXg4lJTYp0nM+7p2JG7tYGVZY/Ro53A9CCeA==" saltValue="kapItFNTqoYCFoqjDIlHmQ=="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14" sqref="C14:M14"/>
    </sheetView>
  </sheetViews>
  <sheetFormatPr defaultRowHeight="11.25" x14ac:dyDescent="0.2"/>
  <cols>
    <col min="1" max="1" width="10.33203125" customWidth="1"/>
    <col min="14" max="14" width="6.1640625" customWidth="1"/>
  </cols>
  <sheetData>
    <row r="1" spans="1:13" ht="16.5" thickTop="1" x14ac:dyDescent="0.25">
      <c r="A1" s="339" t="s">
        <v>763</v>
      </c>
      <c r="B1" s="340"/>
      <c r="C1" s="340"/>
      <c r="D1" s="340"/>
      <c r="E1" s="340"/>
      <c r="F1" s="340"/>
      <c r="G1" s="340"/>
      <c r="H1" s="340"/>
      <c r="I1" s="340"/>
      <c r="J1" s="154"/>
      <c r="K1" s="154"/>
      <c r="L1" s="154"/>
      <c r="M1" s="155"/>
    </row>
    <row r="2" spans="1:13" ht="12.75" x14ac:dyDescent="0.2">
      <c r="A2" s="344" t="s">
        <v>760</v>
      </c>
      <c r="B2" s="345"/>
      <c r="C2" s="345"/>
      <c r="D2" s="345"/>
      <c r="E2" s="345"/>
      <c r="F2" s="342" t="str">
        <f>'DOE25'!A2</f>
        <v>Pembroke</v>
      </c>
      <c r="G2" s="343"/>
      <c r="H2" s="343"/>
      <c r="I2" s="343"/>
      <c r="M2" s="156"/>
    </row>
    <row r="3" spans="1:13" x14ac:dyDescent="0.2">
      <c r="A3" s="157" t="s">
        <v>761</v>
      </c>
      <c r="B3" s="130" t="s">
        <v>762</v>
      </c>
      <c r="C3" s="324" t="s">
        <v>764</v>
      </c>
      <c r="D3" s="324"/>
      <c r="E3" s="324"/>
      <c r="F3" s="324"/>
      <c r="G3" s="324"/>
      <c r="H3" s="324"/>
      <c r="I3" s="324"/>
      <c r="J3" s="324"/>
      <c r="K3" s="324"/>
      <c r="L3" s="324"/>
      <c r="M3" s="341"/>
    </row>
    <row r="4" spans="1:13" x14ac:dyDescent="0.2">
      <c r="A4" s="158">
        <v>5</v>
      </c>
      <c r="B4" s="149">
        <v>19</v>
      </c>
      <c r="C4" s="332" t="s">
        <v>1840</v>
      </c>
      <c r="D4" s="332"/>
      <c r="E4" s="332"/>
      <c r="F4" s="332"/>
      <c r="G4" s="332"/>
      <c r="H4" s="332"/>
      <c r="I4" s="332"/>
      <c r="J4" s="332"/>
      <c r="K4" s="332"/>
      <c r="L4" s="332"/>
      <c r="M4" s="333"/>
    </row>
    <row r="5" spans="1:13" x14ac:dyDescent="0.2">
      <c r="A5" s="158">
        <v>19</v>
      </c>
      <c r="B5" s="149">
        <v>3</v>
      </c>
      <c r="C5" s="332" t="s">
        <v>1841</v>
      </c>
      <c r="D5" s="332"/>
      <c r="E5" s="332"/>
      <c r="F5" s="332"/>
      <c r="G5" s="332"/>
      <c r="H5" s="332"/>
      <c r="I5" s="332"/>
      <c r="J5" s="332"/>
      <c r="K5" s="332"/>
      <c r="L5" s="332"/>
      <c r="M5" s="333"/>
    </row>
    <row r="6" spans="1:13" x14ac:dyDescent="0.2">
      <c r="A6" s="158">
        <v>19</v>
      </c>
      <c r="B6" s="149">
        <v>6</v>
      </c>
      <c r="C6" s="332" t="s">
        <v>1841</v>
      </c>
      <c r="D6" s="332"/>
      <c r="E6" s="332"/>
      <c r="F6" s="332"/>
      <c r="G6" s="332"/>
      <c r="H6" s="332"/>
      <c r="I6" s="332"/>
      <c r="J6" s="332"/>
      <c r="K6" s="332"/>
      <c r="L6" s="332"/>
      <c r="M6" s="333"/>
    </row>
    <row r="7" spans="1:13" x14ac:dyDescent="0.2">
      <c r="A7" s="158"/>
      <c r="B7" s="149"/>
      <c r="C7" s="332"/>
      <c r="D7" s="332"/>
      <c r="E7" s="332"/>
      <c r="F7" s="332"/>
      <c r="G7" s="332"/>
      <c r="H7" s="332"/>
      <c r="I7" s="332"/>
      <c r="J7" s="332"/>
      <c r="K7" s="332"/>
      <c r="L7" s="332"/>
      <c r="M7" s="333"/>
    </row>
    <row r="8" spans="1:13" x14ac:dyDescent="0.2">
      <c r="A8" s="158"/>
      <c r="B8" s="149"/>
      <c r="C8" s="332"/>
      <c r="D8" s="332"/>
      <c r="E8" s="332"/>
      <c r="F8" s="332"/>
      <c r="G8" s="332"/>
      <c r="H8" s="332"/>
      <c r="I8" s="332"/>
      <c r="J8" s="332"/>
      <c r="K8" s="332"/>
      <c r="L8" s="332"/>
      <c r="M8" s="333"/>
    </row>
    <row r="9" spans="1:13" x14ac:dyDescent="0.2">
      <c r="A9" s="158"/>
      <c r="B9" s="149"/>
      <c r="C9" s="332"/>
      <c r="D9" s="332"/>
      <c r="E9" s="332"/>
      <c r="F9" s="332"/>
      <c r="G9" s="332"/>
      <c r="H9" s="332"/>
      <c r="I9" s="332"/>
      <c r="J9" s="332"/>
      <c r="K9" s="332"/>
      <c r="L9" s="332"/>
      <c r="M9" s="333"/>
    </row>
    <row r="10" spans="1:13" x14ac:dyDescent="0.2">
      <c r="A10" s="158"/>
      <c r="B10" s="149"/>
      <c r="C10" s="332"/>
      <c r="D10" s="332"/>
      <c r="E10" s="332"/>
      <c r="F10" s="332"/>
      <c r="G10" s="332"/>
      <c r="H10" s="332"/>
      <c r="I10" s="332"/>
      <c r="J10" s="332"/>
      <c r="K10" s="332"/>
      <c r="L10" s="332"/>
      <c r="M10" s="333"/>
    </row>
    <row r="11" spans="1:13" x14ac:dyDescent="0.2">
      <c r="A11" s="158"/>
      <c r="B11" s="149"/>
      <c r="C11" s="332"/>
      <c r="D11" s="332"/>
      <c r="E11" s="332"/>
      <c r="F11" s="332"/>
      <c r="G11" s="332"/>
      <c r="H11" s="332"/>
      <c r="I11" s="332"/>
      <c r="J11" s="332"/>
      <c r="K11" s="332"/>
      <c r="L11" s="332"/>
      <c r="M11" s="333"/>
    </row>
    <row r="12" spans="1:13" x14ac:dyDescent="0.2">
      <c r="A12" s="158"/>
      <c r="B12" s="149"/>
      <c r="C12" s="332"/>
      <c r="D12" s="332"/>
      <c r="E12" s="332"/>
      <c r="F12" s="332"/>
      <c r="G12" s="332"/>
      <c r="H12" s="332"/>
      <c r="I12" s="332"/>
      <c r="J12" s="332"/>
      <c r="K12" s="332"/>
      <c r="L12" s="332"/>
      <c r="M12" s="333"/>
    </row>
    <row r="13" spans="1:13" x14ac:dyDescent="0.2">
      <c r="A13" s="158"/>
      <c r="B13" s="149"/>
      <c r="C13" s="332"/>
      <c r="D13" s="332"/>
      <c r="E13" s="332"/>
      <c r="F13" s="332"/>
      <c r="G13" s="332"/>
      <c r="H13" s="332"/>
      <c r="I13" s="332"/>
      <c r="J13" s="332"/>
      <c r="K13" s="332"/>
      <c r="L13" s="332"/>
      <c r="M13" s="333"/>
    </row>
    <row r="14" spans="1:13" x14ac:dyDescent="0.2">
      <c r="A14" s="158"/>
      <c r="B14" s="149"/>
      <c r="C14" s="332"/>
      <c r="D14" s="332"/>
      <c r="E14" s="332"/>
      <c r="F14" s="332"/>
      <c r="G14" s="332"/>
      <c r="H14" s="332"/>
      <c r="I14" s="332"/>
      <c r="J14" s="332"/>
      <c r="K14" s="332"/>
      <c r="L14" s="332"/>
      <c r="M14" s="333"/>
    </row>
    <row r="15" spans="1:13" x14ac:dyDescent="0.2">
      <c r="A15" s="158"/>
      <c r="B15" s="149"/>
      <c r="C15" s="332"/>
      <c r="D15" s="332"/>
      <c r="E15" s="332"/>
      <c r="F15" s="332"/>
      <c r="G15" s="332"/>
      <c r="H15" s="332"/>
      <c r="I15" s="332"/>
      <c r="J15" s="332"/>
      <c r="K15" s="332"/>
      <c r="L15" s="332"/>
      <c r="M15" s="333"/>
    </row>
    <row r="16" spans="1:13" x14ac:dyDescent="0.2">
      <c r="A16" s="158"/>
      <c r="B16" s="149"/>
      <c r="C16" s="332"/>
      <c r="D16" s="332"/>
      <c r="E16" s="332"/>
      <c r="F16" s="332"/>
      <c r="G16" s="332"/>
      <c r="H16" s="332"/>
      <c r="I16" s="332"/>
      <c r="J16" s="332"/>
      <c r="K16" s="332"/>
      <c r="L16" s="332"/>
      <c r="M16" s="333"/>
    </row>
    <row r="17" spans="1:256" x14ac:dyDescent="0.2">
      <c r="A17" s="158"/>
      <c r="B17" s="149"/>
      <c r="C17" s="332"/>
      <c r="D17" s="332"/>
      <c r="E17" s="332"/>
      <c r="F17" s="332"/>
      <c r="G17" s="332"/>
      <c r="H17" s="332"/>
      <c r="I17" s="332"/>
      <c r="J17" s="332"/>
      <c r="K17" s="332"/>
      <c r="L17" s="332"/>
      <c r="M17" s="333"/>
    </row>
    <row r="18" spans="1:256" x14ac:dyDescent="0.2">
      <c r="A18" s="158"/>
      <c r="B18" s="149"/>
      <c r="C18" s="332"/>
      <c r="D18" s="332"/>
      <c r="E18" s="332"/>
      <c r="F18" s="332"/>
      <c r="G18" s="332"/>
      <c r="H18" s="332"/>
      <c r="I18" s="332"/>
      <c r="J18" s="332"/>
      <c r="K18" s="332"/>
      <c r="L18" s="332"/>
      <c r="M18" s="333"/>
    </row>
    <row r="19" spans="1:256" x14ac:dyDescent="0.2">
      <c r="A19" s="158"/>
      <c r="B19" s="149"/>
      <c r="C19" s="332"/>
      <c r="D19" s="332"/>
      <c r="E19" s="332"/>
      <c r="F19" s="332"/>
      <c r="G19" s="332"/>
      <c r="H19" s="332"/>
      <c r="I19" s="332"/>
      <c r="J19" s="332"/>
      <c r="K19" s="332"/>
      <c r="L19" s="332"/>
      <c r="M19" s="333"/>
    </row>
    <row r="20" spans="1:256" x14ac:dyDescent="0.2">
      <c r="A20" s="158"/>
      <c r="B20" s="149"/>
      <c r="C20" s="332"/>
      <c r="D20" s="332"/>
      <c r="E20" s="332"/>
      <c r="F20" s="332"/>
      <c r="G20" s="332"/>
      <c r="H20" s="332"/>
      <c r="I20" s="332"/>
      <c r="J20" s="332"/>
      <c r="K20" s="332"/>
      <c r="L20" s="332"/>
      <c r="M20" s="333"/>
    </row>
    <row r="21" spans="1:256" x14ac:dyDescent="0.2">
      <c r="A21" s="158"/>
      <c r="B21" s="149"/>
      <c r="C21" s="332"/>
      <c r="D21" s="332"/>
      <c r="E21" s="332"/>
      <c r="F21" s="332"/>
      <c r="G21" s="332"/>
      <c r="H21" s="332"/>
      <c r="I21" s="332"/>
      <c r="J21" s="332"/>
      <c r="K21" s="332"/>
      <c r="L21" s="332"/>
      <c r="M21" s="333"/>
    </row>
    <row r="22" spans="1:256" x14ac:dyDescent="0.2">
      <c r="A22" s="158"/>
      <c r="B22" s="149"/>
      <c r="C22" s="332"/>
      <c r="D22" s="332"/>
      <c r="E22" s="332"/>
      <c r="F22" s="332"/>
      <c r="G22" s="332"/>
      <c r="H22" s="332"/>
      <c r="I22" s="332"/>
      <c r="J22" s="332"/>
      <c r="K22" s="332"/>
      <c r="L22" s="332"/>
      <c r="M22" s="333"/>
    </row>
    <row r="23" spans="1:256" x14ac:dyDescent="0.2">
      <c r="A23" s="158"/>
      <c r="B23" s="149"/>
      <c r="C23" s="332"/>
      <c r="D23" s="332"/>
      <c r="E23" s="332"/>
      <c r="F23" s="332"/>
      <c r="G23" s="332"/>
      <c r="H23" s="332"/>
      <c r="I23" s="332"/>
      <c r="J23" s="332"/>
      <c r="K23" s="332"/>
      <c r="L23" s="332"/>
      <c r="M23" s="333"/>
    </row>
    <row r="24" spans="1:256" x14ac:dyDescent="0.2">
      <c r="A24" s="158"/>
      <c r="B24" s="149"/>
      <c r="C24" s="332"/>
      <c r="D24" s="332"/>
      <c r="E24" s="332"/>
      <c r="F24" s="332"/>
      <c r="G24" s="332"/>
      <c r="H24" s="332"/>
      <c r="I24" s="332"/>
      <c r="J24" s="332"/>
      <c r="K24" s="332"/>
      <c r="L24" s="332"/>
      <c r="M24" s="333"/>
    </row>
    <row r="25" spans="1:256" x14ac:dyDescent="0.2">
      <c r="A25" s="158"/>
      <c r="B25" s="149"/>
      <c r="C25" s="332"/>
      <c r="D25" s="332"/>
      <c r="E25" s="332"/>
      <c r="F25" s="332"/>
      <c r="G25" s="332"/>
      <c r="H25" s="332"/>
      <c r="I25" s="332"/>
      <c r="J25" s="332"/>
      <c r="K25" s="332"/>
      <c r="L25" s="332"/>
      <c r="M25" s="333"/>
    </row>
    <row r="26" spans="1:256" x14ac:dyDescent="0.2">
      <c r="A26" s="158"/>
      <c r="B26" s="149"/>
      <c r="C26" s="332"/>
      <c r="D26" s="332"/>
      <c r="E26" s="332"/>
      <c r="F26" s="332"/>
      <c r="G26" s="332"/>
      <c r="H26" s="332"/>
      <c r="I26" s="332"/>
      <c r="J26" s="332"/>
      <c r="K26" s="332"/>
      <c r="L26" s="332"/>
      <c r="M26" s="333"/>
    </row>
    <row r="27" spans="1:256" x14ac:dyDescent="0.2">
      <c r="A27" s="158"/>
      <c r="B27" s="149"/>
      <c r="C27" s="332"/>
      <c r="D27" s="332"/>
      <c r="E27" s="332"/>
      <c r="F27" s="332"/>
      <c r="G27" s="332"/>
      <c r="H27" s="332"/>
      <c r="I27" s="332"/>
      <c r="J27" s="332"/>
      <c r="K27" s="332"/>
      <c r="L27" s="332"/>
      <c r="M27" s="333"/>
    </row>
    <row r="28" spans="1:256" x14ac:dyDescent="0.2">
      <c r="A28" s="158"/>
      <c r="B28" s="149"/>
      <c r="C28" s="332"/>
      <c r="D28" s="332"/>
      <c r="E28" s="332"/>
      <c r="F28" s="332"/>
      <c r="G28" s="332"/>
      <c r="H28" s="332"/>
      <c r="I28" s="332"/>
      <c r="J28" s="332"/>
      <c r="K28" s="332"/>
      <c r="L28" s="332"/>
      <c r="M28" s="333"/>
    </row>
    <row r="29" spans="1:256" x14ac:dyDescent="0.2">
      <c r="A29" s="158"/>
      <c r="B29" s="149"/>
      <c r="C29" s="332"/>
      <c r="D29" s="332"/>
      <c r="E29" s="332"/>
      <c r="F29" s="332"/>
      <c r="G29" s="332"/>
      <c r="H29" s="332"/>
      <c r="I29" s="332"/>
      <c r="J29" s="332"/>
      <c r="K29" s="332"/>
      <c r="L29" s="332"/>
      <c r="M29" s="333"/>
      <c r="N29" s="152"/>
      <c r="O29" s="152"/>
      <c r="P29" s="337"/>
      <c r="Q29" s="337"/>
      <c r="R29" s="337"/>
      <c r="S29" s="337"/>
      <c r="T29" s="337"/>
      <c r="U29" s="337"/>
      <c r="V29" s="337"/>
      <c r="W29" s="337"/>
      <c r="X29" s="337"/>
      <c r="Y29" s="337"/>
      <c r="Z29" s="337"/>
      <c r="AA29" s="149"/>
      <c r="AB29" s="149"/>
      <c r="AC29" s="332"/>
      <c r="AD29" s="332"/>
      <c r="AE29" s="332"/>
      <c r="AF29" s="332"/>
      <c r="AG29" s="332"/>
      <c r="AH29" s="332"/>
      <c r="AI29" s="332"/>
      <c r="AJ29" s="332"/>
      <c r="AK29" s="332"/>
      <c r="AL29" s="332"/>
      <c r="AM29" s="332"/>
      <c r="AN29" s="149"/>
      <c r="AO29" s="149"/>
      <c r="AP29" s="332"/>
      <c r="AQ29" s="332"/>
      <c r="AR29" s="332"/>
      <c r="AS29" s="332"/>
      <c r="AT29" s="332"/>
      <c r="AU29" s="332"/>
      <c r="AV29" s="332"/>
      <c r="AW29" s="332"/>
      <c r="AX29" s="332"/>
      <c r="AY29" s="332"/>
      <c r="AZ29" s="332"/>
      <c r="BA29" s="149"/>
      <c r="BB29" s="149"/>
      <c r="BC29" s="332"/>
      <c r="BD29" s="332"/>
      <c r="BE29" s="332"/>
      <c r="BF29" s="332"/>
      <c r="BG29" s="332"/>
      <c r="BH29" s="332"/>
      <c r="BI29" s="332"/>
      <c r="BJ29" s="332"/>
      <c r="BK29" s="332"/>
      <c r="BL29" s="332"/>
      <c r="BM29" s="332"/>
      <c r="BN29" s="149"/>
      <c r="BO29" s="149"/>
      <c r="BP29" s="332"/>
      <c r="BQ29" s="332"/>
      <c r="BR29" s="332"/>
      <c r="BS29" s="332"/>
      <c r="BT29" s="332"/>
      <c r="BU29" s="332"/>
      <c r="BV29" s="332"/>
      <c r="BW29" s="332"/>
      <c r="BX29" s="332"/>
      <c r="BY29" s="332"/>
      <c r="BZ29" s="332"/>
      <c r="CA29" s="149"/>
      <c r="CB29" s="149"/>
      <c r="CC29" s="332"/>
      <c r="CD29" s="332"/>
      <c r="CE29" s="332"/>
      <c r="CF29" s="332"/>
      <c r="CG29" s="332"/>
      <c r="CH29" s="332"/>
      <c r="CI29" s="332"/>
      <c r="CJ29" s="332"/>
      <c r="CK29" s="332"/>
      <c r="CL29" s="332"/>
      <c r="CM29" s="332"/>
      <c r="CN29" s="149"/>
      <c r="CO29" s="149"/>
      <c r="CP29" s="332"/>
      <c r="CQ29" s="332"/>
      <c r="CR29" s="332"/>
      <c r="CS29" s="332"/>
      <c r="CT29" s="332"/>
      <c r="CU29" s="332"/>
      <c r="CV29" s="332"/>
      <c r="CW29" s="332"/>
      <c r="CX29" s="332"/>
      <c r="CY29" s="332"/>
      <c r="CZ29" s="332"/>
      <c r="DA29" s="149"/>
      <c r="DB29" s="149"/>
      <c r="DC29" s="332"/>
      <c r="DD29" s="332"/>
      <c r="DE29" s="332"/>
      <c r="DF29" s="332"/>
      <c r="DG29" s="332"/>
      <c r="DH29" s="332"/>
      <c r="DI29" s="332"/>
      <c r="DJ29" s="332"/>
      <c r="DK29" s="332"/>
      <c r="DL29" s="332"/>
      <c r="DM29" s="332"/>
      <c r="DN29" s="149"/>
      <c r="DO29" s="149"/>
      <c r="DP29" s="332"/>
      <c r="DQ29" s="332"/>
      <c r="DR29" s="332"/>
      <c r="DS29" s="332"/>
      <c r="DT29" s="332"/>
      <c r="DU29" s="332"/>
      <c r="DV29" s="332"/>
      <c r="DW29" s="332"/>
      <c r="DX29" s="332"/>
      <c r="DY29" s="332"/>
      <c r="DZ29" s="332"/>
      <c r="EA29" s="149"/>
      <c r="EB29" s="149"/>
      <c r="EC29" s="332"/>
      <c r="ED29" s="332"/>
      <c r="EE29" s="332"/>
      <c r="EF29" s="332"/>
      <c r="EG29" s="332"/>
      <c r="EH29" s="332"/>
      <c r="EI29" s="332"/>
      <c r="EJ29" s="332"/>
      <c r="EK29" s="332"/>
      <c r="EL29" s="332"/>
      <c r="EM29" s="332"/>
      <c r="EN29" s="149"/>
      <c r="EO29" s="149"/>
      <c r="EP29" s="332"/>
      <c r="EQ29" s="332"/>
      <c r="ER29" s="332"/>
      <c r="ES29" s="332"/>
      <c r="ET29" s="332"/>
      <c r="EU29" s="332"/>
      <c r="EV29" s="332"/>
      <c r="EW29" s="332"/>
      <c r="EX29" s="332"/>
      <c r="EY29" s="332"/>
      <c r="EZ29" s="332"/>
      <c r="FA29" s="149"/>
      <c r="FB29" s="149"/>
      <c r="FC29" s="332"/>
      <c r="FD29" s="332"/>
      <c r="FE29" s="332"/>
      <c r="FF29" s="332"/>
      <c r="FG29" s="332"/>
      <c r="FH29" s="332"/>
      <c r="FI29" s="332"/>
      <c r="FJ29" s="332"/>
      <c r="FK29" s="332"/>
      <c r="FL29" s="332"/>
      <c r="FM29" s="332"/>
      <c r="FN29" s="149"/>
      <c r="FO29" s="149"/>
      <c r="FP29" s="332"/>
      <c r="FQ29" s="332"/>
      <c r="FR29" s="332"/>
      <c r="FS29" s="332"/>
      <c r="FT29" s="332"/>
      <c r="FU29" s="332"/>
      <c r="FV29" s="332"/>
      <c r="FW29" s="332"/>
      <c r="FX29" s="332"/>
      <c r="FY29" s="332"/>
      <c r="FZ29" s="332"/>
      <c r="GA29" s="149"/>
      <c r="GB29" s="149"/>
      <c r="GC29" s="332"/>
      <c r="GD29" s="332"/>
      <c r="GE29" s="332"/>
      <c r="GF29" s="332"/>
      <c r="GG29" s="332"/>
      <c r="GH29" s="332"/>
      <c r="GI29" s="332"/>
      <c r="GJ29" s="332"/>
      <c r="GK29" s="332"/>
      <c r="GL29" s="332"/>
      <c r="GM29" s="332"/>
      <c r="GN29" s="149"/>
      <c r="GO29" s="149"/>
      <c r="GP29" s="332"/>
      <c r="GQ29" s="332"/>
      <c r="GR29" s="332"/>
      <c r="GS29" s="332"/>
      <c r="GT29" s="332"/>
      <c r="GU29" s="332"/>
      <c r="GV29" s="332"/>
      <c r="GW29" s="332"/>
      <c r="GX29" s="332"/>
      <c r="GY29" s="332"/>
      <c r="GZ29" s="332"/>
      <c r="HA29" s="149"/>
      <c r="HB29" s="149"/>
      <c r="HC29" s="332"/>
      <c r="HD29" s="332"/>
      <c r="HE29" s="332"/>
      <c r="HF29" s="332"/>
      <c r="HG29" s="332"/>
      <c r="HH29" s="332"/>
      <c r="HI29" s="332"/>
      <c r="HJ29" s="332"/>
      <c r="HK29" s="332"/>
      <c r="HL29" s="332"/>
      <c r="HM29" s="332"/>
      <c r="HN29" s="149"/>
      <c r="HO29" s="149"/>
      <c r="HP29" s="332"/>
      <c r="HQ29" s="332"/>
      <c r="HR29" s="332"/>
      <c r="HS29" s="332"/>
      <c r="HT29" s="332"/>
      <c r="HU29" s="332"/>
      <c r="HV29" s="332"/>
      <c r="HW29" s="332"/>
      <c r="HX29" s="332"/>
      <c r="HY29" s="332"/>
      <c r="HZ29" s="332"/>
      <c r="IA29" s="149"/>
      <c r="IB29" s="149"/>
      <c r="IC29" s="332"/>
      <c r="ID29" s="332"/>
      <c r="IE29" s="332"/>
      <c r="IF29" s="332"/>
      <c r="IG29" s="332"/>
      <c r="IH29" s="332"/>
      <c r="II29" s="332"/>
      <c r="IJ29" s="332"/>
      <c r="IK29" s="332"/>
      <c r="IL29" s="332"/>
      <c r="IM29" s="332"/>
      <c r="IN29" s="149"/>
      <c r="IO29" s="149"/>
      <c r="IP29" s="332"/>
      <c r="IQ29" s="332"/>
      <c r="IR29" s="332"/>
      <c r="IS29" s="332"/>
      <c r="IT29" s="332"/>
      <c r="IU29" s="332"/>
      <c r="IV29" s="332"/>
    </row>
    <row r="30" spans="1:256" x14ac:dyDescent="0.2">
      <c r="A30" s="158"/>
      <c r="B30" s="149"/>
      <c r="C30" s="332"/>
      <c r="D30" s="332"/>
      <c r="E30" s="332"/>
      <c r="F30" s="332"/>
      <c r="G30" s="332"/>
      <c r="H30" s="332"/>
      <c r="I30" s="332"/>
      <c r="J30" s="332"/>
      <c r="K30" s="332"/>
      <c r="L30" s="332"/>
      <c r="M30" s="333"/>
      <c r="N30" s="152"/>
      <c r="O30" s="152"/>
      <c r="P30" s="337"/>
      <c r="Q30" s="337"/>
      <c r="R30" s="337"/>
      <c r="S30" s="337"/>
      <c r="T30" s="337"/>
      <c r="U30" s="337"/>
      <c r="V30" s="337"/>
      <c r="W30" s="337"/>
      <c r="X30" s="337"/>
      <c r="Y30" s="337"/>
      <c r="Z30" s="337"/>
      <c r="AA30" s="149"/>
      <c r="AB30" s="149"/>
      <c r="AC30" s="332"/>
      <c r="AD30" s="332"/>
      <c r="AE30" s="332"/>
      <c r="AF30" s="332"/>
      <c r="AG30" s="332"/>
      <c r="AH30" s="332"/>
      <c r="AI30" s="332"/>
      <c r="AJ30" s="332"/>
      <c r="AK30" s="332"/>
      <c r="AL30" s="332"/>
      <c r="AM30" s="332"/>
      <c r="AN30" s="149"/>
      <c r="AO30" s="149"/>
      <c r="AP30" s="332"/>
      <c r="AQ30" s="332"/>
      <c r="AR30" s="332"/>
      <c r="AS30" s="332"/>
      <c r="AT30" s="332"/>
      <c r="AU30" s="332"/>
      <c r="AV30" s="332"/>
      <c r="AW30" s="332"/>
      <c r="AX30" s="332"/>
      <c r="AY30" s="332"/>
      <c r="AZ30" s="332"/>
      <c r="BA30" s="149"/>
      <c r="BB30" s="149"/>
      <c r="BC30" s="332"/>
      <c r="BD30" s="332"/>
      <c r="BE30" s="332"/>
      <c r="BF30" s="332"/>
      <c r="BG30" s="332"/>
      <c r="BH30" s="332"/>
      <c r="BI30" s="332"/>
      <c r="BJ30" s="332"/>
      <c r="BK30" s="332"/>
      <c r="BL30" s="332"/>
      <c r="BM30" s="332"/>
      <c r="BN30" s="149"/>
      <c r="BO30" s="149"/>
      <c r="BP30" s="332"/>
      <c r="BQ30" s="332"/>
      <c r="BR30" s="332"/>
      <c r="BS30" s="332"/>
      <c r="BT30" s="332"/>
      <c r="BU30" s="332"/>
      <c r="BV30" s="332"/>
      <c r="BW30" s="332"/>
      <c r="BX30" s="332"/>
      <c r="BY30" s="332"/>
      <c r="BZ30" s="332"/>
      <c r="CA30" s="149"/>
      <c r="CB30" s="149"/>
      <c r="CC30" s="332"/>
      <c r="CD30" s="332"/>
      <c r="CE30" s="332"/>
      <c r="CF30" s="332"/>
      <c r="CG30" s="332"/>
      <c r="CH30" s="332"/>
      <c r="CI30" s="332"/>
      <c r="CJ30" s="332"/>
      <c r="CK30" s="332"/>
      <c r="CL30" s="332"/>
      <c r="CM30" s="332"/>
      <c r="CN30" s="149"/>
      <c r="CO30" s="149"/>
      <c r="CP30" s="332"/>
      <c r="CQ30" s="332"/>
      <c r="CR30" s="332"/>
      <c r="CS30" s="332"/>
      <c r="CT30" s="332"/>
      <c r="CU30" s="332"/>
      <c r="CV30" s="332"/>
      <c r="CW30" s="332"/>
      <c r="CX30" s="332"/>
      <c r="CY30" s="332"/>
      <c r="CZ30" s="332"/>
      <c r="DA30" s="149"/>
      <c r="DB30" s="149"/>
      <c r="DC30" s="332"/>
      <c r="DD30" s="332"/>
      <c r="DE30" s="332"/>
      <c r="DF30" s="332"/>
      <c r="DG30" s="332"/>
      <c r="DH30" s="332"/>
      <c r="DI30" s="332"/>
      <c r="DJ30" s="332"/>
      <c r="DK30" s="332"/>
      <c r="DL30" s="332"/>
      <c r="DM30" s="332"/>
      <c r="DN30" s="149"/>
      <c r="DO30" s="149"/>
      <c r="DP30" s="332"/>
      <c r="DQ30" s="332"/>
      <c r="DR30" s="332"/>
      <c r="DS30" s="332"/>
      <c r="DT30" s="332"/>
      <c r="DU30" s="332"/>
      <c r="DV30" s="332"/>
      <c r="DW30" s="332"/>
      <c r="DX30" s="332"/>
      <c r="DY30" s="332"/>
      <c r="DZ30" s="332"/>
      <c r="EA30" s="149"/>
      <c r="EB30" s="149"/>
      <c r="EC30" s="332"/>
      <c r="ED30" s="332"/>
      <c r="EE30" s="332"/>
      <c r="EF30" s="332"/>
      <c r="EG30" s="332"/>
      <c r="EH30" s="332"/>
      <c r="EI30" s="332"/>
      <c r="EJ30" s="332"/>
      <c r="EK30" s="332"/>
      <c r="EL30" s="332"/>
      <c r="EM30" s="332"/>
      <c r="EN30" s="149"/>
      <c r="EO30" s="149"/>
      <c r="EP30" s="332"/>
      <c r="EQ30" s="332"/>
      <c r="ER30" s="332"/>
      <c r="ES30" s="332"/>
      <c r="ET30" s="332"/>
      <c r="EU30" s="332"/>
      <c r="EV30" s="332"/>
      <c r="EW30" s="332"/>
      <c r="EX30" s="332"/>
      <c r="EY30" s="332"/>
      <c r="EZ30" s="332"/>
      <c r="FA30" s="149"/>
      <c r="FB30" s="149"/>
      <c r="FC30" s="332"/>
      <c r="FD30" s="332"/>
      <c r="FE30" s="332"/>
      <c r="FF30" s="332"/>
      <c r="FG30" s="332"/>
      <c r="FH30" s="332"/>
      <c r="FI30" s="332"/>
      <c r="FJ30" s="332"/>
      <c r="FK30" s="332"/>
      <c r="FL30" s="332"/>
      <c r="FM30" s="332"/>
      <c r="FN30" s="149"/>
      <c r="FO30" s="149"/>
      <c r="FP30" s="332"/>
      <c r="FQ30" s="332"/>
      <c r="FR30" s="332"/>
      <c r="FS30" s="332"/>
      <c r="FT30" s="332"/>
      <c r="FU30" s="332"/>
      <c r="FV30" s="332"/>
      <c r="FW30" s="332"/>
      <c r="FX30" s="332"/>
      <c r="FY30" s="332"/>
      <c r="FZ30" s="332"/>
      <c r="GA30" s="149"/>
      <c r="GB30" s="149"/>
      <c r="GC30" s="332"/>
      <c r="GD30" s="332"/>
      <c r="GE30" s="332"/>
      <c r="GF30" s="332"/>
      <c r="GG30" s="332"/>
      <c r="GH30" s="332"/>
      <c r="GI30" s="332"/>
      <c r="GJ30" s="332"/>
      <c r="GK30" s="332"/>
      <c r="GL30" s="332"/>
      <c r="GM30" s="332"/>
      <c r="GN30" s="149"/>
      <c r="GO30" s="149"/>
      <c r="GP30" s="332"/>
      <c r="GQ30" s="332"/>
      <c r="GR30" s="332"/>
      <c r="GS30" s="332"/>
      <c r="GT30" s="332"/>
      <c r="GU30" s="332"/>
      <c r="GV30" s="332"/>
      <c r="GW30" s="332"/>
      <c r="GX30" s="332"/>
      <c r="GY30" s="332"/>
      <c r="GZ30" s="332"/>
      <c r="HA30" s="149"/>
      <c r="HB30" s="149"/>
      <c r="HC30" s="332"/>
      <c r="HD30" s="332"/>
      <c r="HE30" s="332"/>
      <c r="HF30" s="332"/>
      <c r="HG30" s="332"/>
      <c r="HH30" s="332"/>
      <c r="HI30" s="332"/>
      <c r="HJ30" s="332"/>
      <c r="HK30" s="332"/>
      <c r="HL30" s="332"/>
      <c r="HM30" s="332"/>
      <c r="HN30" s="149"/>
      <c r="HO30" s="149"/>
      <c r="HP30" s="332"/>
      <c r="HQ30" s="332"/>
      <c r="HR30" s="332"/>
      <c r="HS30" s="332"/>
      <c r="HT30" s="332"/>
      <c r="HU30" s="332"/>
      <c r="HV30" s="332"/>
      <c r="HW30" s="332"/>
      <c r="HX30" s="332"/>
      <c r="HY30" s="332"/>
      <c r="HZ30" s="332"/>
      <c r="IA30" s="149"/>
      <c r="IB30" s="149"/>
      <c r="IC30" s="332"/>
      <c r="ID30" s="332"/>
      <c r="IE30" s="332"/>
      <c r="IF30" s="332"/>
      <c r="IG30" s="332"/>
      <c r="IH30" s="332"/>
      <c r="II30" s="332"/>
      <c r="IJ30" s="332"/>
      <c r="IK30" s="332"/>
      <c r="IL30" s="332"/>
      <c r="IM30" s="332"/>
      <c r="IN30" s="149"/>
      <c r="IO30" s="149"/>
      <c r="IP30" s="332"/>
      <c r="IQ30" s="332"/>
      <c r="IR30" s="332"/>
      <c r="IS30" s="332"/>
      <c r="IT30" s="332"/>
      <c r="IU30" s="332"/>
      <c r="IV30" s="332"/>
    </row>
    <row r="31" spans="1:256" x14ac:dyDescent="0.2">
      <c r="A31" s="158"/>
      <c r="B31" s="149"/>
      <c r="C31" s="332"/>
      <c r="D31" s="332"/>
      <c r="E31" s="332"/>
      <c r="F31" s="332"/>
      <c r="G31" s="332"/>
      <c r="H31" s="332"/>
      <c r="I31" s="332"/>
      <c r="J31" s="332"/>
      <c r="K31" s="332"/>
      <c r="L31" s="332"/>
      <c r="M31" s="333"/>
      <c r="N31" s="152"/>
      <c r="O31" s="152"/>
      <c r="P31" s="337"/>
      <c r="Q31" s="337"/>
      <c r="R31" s="337"/>
      <c r="S31" s="337"/>
      <c r="T31" s="337"/>
      <c r="U31" s="337"/>
      <c r="V31" s="337"/>
      <c r="W31" s="337"/>
      <c r="X31" s="337"/>
      <c r="Y31" s="337"/>
      <c r="Z31" s="337"/>
      <c r="AA31" s="149"/>
      <c r="AB31" s="149"/>
      <c r="AC31" s="332"/>
      <c r="AD31" s="332"/>
      <c r="AE31" s="332"/>
      <c r="AF31" s="332"/>
      <c r="AG31" s="332"/>
      <c r="AH31" s="332"/>
      <c r="AI31" s="332"/>
      <c r="AJ31" s="332"/>
      <c r="AK31" s="332"/>
      <c r="AL31" s="332"/>
      <c r="AM31" s="332"/>
      <c r="AN31" s="149"/>
      <c r="AO31" s="149"/>
      <c r="AP31" s="332"/>
      <c r="AQ31" s="332"/>
      <c r="AR31" s="332"/>
      <c r="AS31" s="332"/>
      <c r="AT31" s="332"/>
      <c r="AU31" s="332"/>
      <c r="AV31" s="332"/>
      <c r="AW31" s="332"/>
      <c r="AX31" s="332"/>
      <c r="AY31" s="332"/>
      <c r="AZ31" s="332"/>
      <c r="BA31" s="149"/>
      <c r="BB31" s="149"/>
      <c r="BC31" s="332"/>
      <c r="BD31" s="332"/>
      <c r="BE31" s="332"/>
      <c r="BF31" s="332"/>
      <c r="BG31" s="332"/>
      <c r="BH31" s="332"/>
      <c r="BI31" s="332"/>
      <c r="BJ31" s="332"/>
      <c r="BK31" s="332"/>
      <c r="BL31" s="332"/>
      <c r="BM31" s="332"/>
      <c r="BN31" s="149"/>
      <c r="BO31" s="149"/>
      <c r="BP31" s="332"/>
      <c r="BQ31" s="332"/>
      <c r="BR31" s="332"/>
      <c r="BS31" s="332"/>
      <c r="BT31" s="332"/>
      <c r="BU31" s="332"/>
      <c r="BV31" s="332"/>
      <c r="BW31" s="332"/>
      <c r="BX31" s="332"/>
      <c r="BY31" s="332"/>
      <c r="BZ31" s="332"/>
      <c r="CA31" s="149"/>
      <c r="CB31" s="149"/>
      <c r="CC31" s="332"/>
      <c r="CD31" s="332"/>
      <c r="CE31" s="332"/>
      <c r="CF31" s="332"/>
      <c r="CG31" s="332"/>
      <c r="CH31" s="332"/>
      <c r="CI31" s="332"/>
      <c r="CJ31" s="332"/>
      <c r="CK31" s="332"/>
      <c r="CL31" s="332"/>
      <c r="CM31" s="332"/>
      <c r="CN31" s="149"/>
      <c r="CO31" s="149"/>
      <c r="CP31" s="332"/>
      <c r="CQ31" s="332"/>
      <c r="CR31" s="332"/>
      <c r="CS31" s="332"/>
      <c r="CT31" s="332"/>
      <c r="CU31" s="332"/>
      <c r="CV31" s="332"/>
      <c r="CW31" s="332"/>
      <c r="CX31" s="332"/>
      <c r="CY31" s="332"/>
      <c r="CZ31" s="332"/>
      <c r="DA31" s="149"/>
      <c r="DB31" s="149"/>
      <c r="DC31" s="332"/>
      <c r="DD31" s="332"/>
      <c r="DE31" s="332"/>
      <c r="DF31" s="332"/>
      <c r="DG31" s="332"/>
      <c r="DH31" s="332"/>
      <c r="DI31" s="332"/>
      <c r="DJ31" s="332"/>
      <c r="DK31" s="332"/>
      <c r="DL31" s="332"/>
      <c r="DM31" s="332"/>
      <c r="DN31" s="149"/>
      <c r="DO31" s="149"/>
      <c r="DP31" s="332"/>
      <c r="DQ31" s="332"/>
      <c r="DR31" s="332"/>
      <c r="DS31" s="332"/>
      <c r="DT31" s="332"/>
      <c r="DU31" s="332"/>
      <c r="DV31" s="332"/>
      <c r="DW31" s="332"/>
      <c r="DX31" s="332"/>
      <c r="DY31" s="332"/>
      <c r="DZ31" s="332"/>
      <c r="EA31" s="149"/>
      <c r="EB31" s="149"/>
      <c r="EC31" s="332"/>
      <c r="ED31" s="332"/>
      <c r="EE31" s="332"/>
      <c r="EF31" s="332"/>
      <c r="EG31" s="332"/>
      <c r="EH31" s="332"/>
      <c r="EI31" s="332"/>
      <c r="EJ31" s="332"/>
      <c r="EK31" s="332"/>
      <c r="EL31" s="332"/>
      <c r="EM31" s="332"/>
      <c r="EN31" s="149"/>
      <c r="EO31" s="149"/>
      <c r="EP31" s="332"/>
      <c r="EQ31" s="332"/>
      <c r="ER31" s="332"/>
      <c r="ES31" s="332"/>
      <c r="ET31" s="332"/>
      <c r="EU31" s="332"/>
      <c r="EV31" s="332"/>
      <c r="EW31" s="332"/>
      <c r="EX31" s="332"/>
      <c r="EY31" s="332"/>
      <c r="EZ31" s="332"/>
      <c r="FA31" s="149"/>
      <c r="FB31" s="149"/>
      <c r="FC31" s="332"/>
      <c r="FD31" s="332"/>
      <c r="FE31" s="332"/>
      <c r="FF31" s="332"/>
      <c r="FG31" s="332"/>
      <c r="FH31" s="332"/>
      <c r="FI31" s="332"/>
      <c r="FJ31" s="332"/>
      <c r="FK31" s="332"/>
      <c r="FL31" s="332"/>
      <c r="FM31" s="332"/>
      <c r="FN31" s="149"/>
      <c r="FO31" s="149"/>
      <c r="FP31" s="332"/>
      <c r="FQ31" s="332"/>
      <c r="FR31" s="332"/>
      <c r="FS31" s="332"/>
      <c r="FT31" s="332"/>
      <c r="FU31" s="332"/>
      <c r="FV31" s="332"/>
      <c r="FW31" s="332"/>
      <c r="FX31" s="332"/>
      <c r="FY31" s="332"/>
      <c r="FZ31" s="332"/>
      <c r="GA31" s="149"/>
      <c r="GB31" s="149"/>
      <c r="GC31" s="332"/>
      <c r="GD31" s="332"/>
      <c r="GE31" s="332"/>
      <c r="GF31" s="332"/>
      <c r="GG31" s="332"/>
      <c r="GH31" s="332"/>
      <c r="GI31" s="332"/>
      <c r="GJ31" s="332"/>
      <c r="GK31" s="332"/>
      <c r="GL31" s="332"/>
      <c r="GM31" s="332"/>
      <c r="GN31" s="149"/>
      <c r="GO31" s="149"/>
      <c r="GP31" s="332"/>
      <c r="GQ31" s="332"/>
      <c r="GR31" s="332"/>
      <c r="GS31" s="332"/>
      <c r="GT31" s="332"/>
      <c r="GU31" s="332"/>
      <c r="GV31" s="332"/>
      <c r="GW31" s="332"/>
      <c r="GX31" s="332"/>
      <c r="GY31" s="332"/>
      <c r="GZ31" s="332"/>
      <c r="HA31" s="149"/>
      <c r="HB31" s="149"/>
      <c r="HC31" s="332"/>
      <c r="HD31" s="332"/>
      <c r="HE31" s="332"/>
      <c r="HF31" s="332"/>
      <c r="HG31" s="332"/>
      <c r="HH31" s="332"/>
      <c r="HI31" s="332"/>
      <c r="HJ31" s="332"/>
      <c r="HK31" s="332"/>
      <c r="HL31" s="332"/>
      <c r="HM31" s="332"/>
      <c r="HN31" s="149"/>
      <c r="HO31" s="149"/>
      <c r="HP31" s="332"/>
      <c r="HQ31" s="332"/>
      <c r="HR31" s="332"/>
      <c r="HS31" s="332"/>
      <c r="HT31" s="332"/>
      <c r="HU31" s="332"/>
      <c r="HV31" s="332"/>
      <c r="HW31" s="332"/>
      <c r="HX31" s="332"/>
      <c r="HY31" s="332"/>
      <c r="HZ31" s="332"/>
      <c r="IA31" s="149"/>
      <c r="IB31" s="149"/>
      <c r="IC31" s="332"/>
      <c r="ID31" s="332"/>
      <c r="IE31" s="332"/>
      <c r="IF31" s="332"/>
      <c r="IG31" s="332"/>
      <c r="IH31" s="332"/>
      <c r="II31" s="332"/>
      <c r="IJ31" s="332"/>
      <c r="IK31" s="332"/>
      <c r="IL31" s="332"/>
      <c r="IM31" s="332"/>
      <c r="IN31" s="149"/>
      <c r="IO31" s="149"/>
      <c r="IP31" s="332"/>
      <c r="IQ31" s="332"/>
      <c r="IR31" s="332"/>
      <c r="IS31" s="332"/>
      <c r="IT31" s="332"/>
      <c r="IU31" s="332"/>
      <c r="IV31" s="332"/>
    </row>
    <row r="32" spans="1:256" x14ac:dyDescent="0.2">
      <c r="A32" s="158"/>
      <c r="B32" s="149"/>
      <c r="C32" s="332"/>
      <c r="D32" s="332"/>
      <c r="E32" s="332"/>
      <c r="F32" s="332"/>
      <c r="G32" s="332"/>
      <c r="H32" s="332"/>
      <c r="I32" s="332"/>
      <c r="J32" s="332"/>
      <c r="K32" s="332"/>
      <c r="L32" s="332"/>
      <c r="M32" s="333"/>
      <c r="N32" s="152"/>
      <c r="O32" s="152"/>
      <c r="P32" s="337"/>
      <c r="Q32" s="337"/>
      <c r="R32" s="337"/>
      <c r="S32" s="337"/>
      <c r="T32" s="337"/>
      <c r="U32" s="337"/>
      <c r="V32" s="337"/>
      <c r="W32" s="337"/>
      <c r="X32" s="337"/>
      <c r="Y32" s="337"/>
      <c r="Z32" s="338"/>
      <c r="AA32" s="158"/>
      <c r="AB32" s="149"/>
      <c r="AC32" s="332"/>
      <c r="AD32" s="332"/>
      <c r="AE32" s="332"/>
      <c r="AF32" s="332"/>
      <c r="AG32" s="332"/>
      <c r="AH32" s="332"/>
      <c r="AI32" s="332"/>
      <c r="AJ32" s="332"/>
      <c r="AK32" s="332"/>
      <c r="AL32" s="332"/>
      <c r="AM32" s="333"/>
      <c r="AN32" s="158"/>
      <c r="AO32" s="149"/>
      <c r="AP32" s="332"/>
      <c r="AQ32" s="332"/>
      <c r="AR32" s="332"/>
      <c r="AS32" s="332"/>
      <c r="AT32" s="332"/>
      <c r="AU32" s="332"/>
      <c r="AV32" s="332"/>
      <c r="AW32" s="332"/>
      <c r="AX32" s="332"/>
      <c r="AY32" s="332"/>
      <c r="AZ32" s="333"/>
      <c r="BA32" s="158"/>
      <c r="BB32" s="149"/>
      <c r="BC32" s="332"/>
      <c r="BD32" s="332"/>
      <c r="BE32" s="332"/>
      <c r="BF32" s="332"/>
      <c r="BG32" s="332"/>
      <c r="BH32" s="332"/>
      <c r="BI32" s="332"/>
      <c r="BJ32" s="332"/>
      <c r="BK32" s="332"/>
      <c r="BL32" s="332"/>
      <c r="BM32" s="333"/>
      <c r="BN32" s="158"/>
      <c r="BO32" s="149"/>
      <c r="BP32" s="332"/>
      <c r="BQ32" s="332"/>
      <c r="BR32" s="332"/>
      <c r="BS32" s="332"/>
      <c r="BT32" s="332"/>
      <c r="BU32" s="332"/>
      <c r="BV32" s="332"/>
      <c r="BW32" s="332"/>
      <c r="BX32" s="332"/>
      <c r="BY32" s="332"/>
      <c r="BZ32" s="333"/>
      <c r="CA32" s="158"/>
      <c r="CB32" s="149"/>
      <c r="CC32" s="332"/>
      <c r="CD32" s="332"/>
      <c r="CE32" s="332"/>
      <c r="CF32" s="332"/>
      <c r="CG32" s="332"/>
      <c r="CH32" s="332"/>
      <c r="CI32" s="332"/>
      <c r="CJ32" s="332"/>
      <c r="CK32" s="332"/>
      <c r="CL32" s="332"/>
      <c r="CM32" s="333"/>
      <c r="CN32" s="158"/>
      <c r="CO32" s="149"/>
      <c r="CP32" s="332"/>
      <c r="CQ32" s="332"/>
      <c r="CR32" s="332"/>
      <c r="CS32" s="332"/>
      <c r="CT32" s="332"/>
      <c r="CU32" s="332"/>
      <c r="CV32" s="332"/>
      <c r="CW32" s="332"/>
      <c r="CX32" s="332"/>
      <c r="CY32" s="332"/>
      <c r="CZ32" s="333"/>
      <c r="DA32" s="158"/>
      <c r="DB32" s="149"/>
      <c r="DC32" s="332"/>
      <c r="DD32" s="332"/>
      <c r="DE32" s="332"/>
      <c r="DF32" s="332"/>
      <c r="DG32" s="332"/>
      <c r="DH32" s="332"/>
      <c r="DI32" s="332"/>
      <c r="DJ32" s="332"/>
      <c r="DK32" s="332"/>
      <c r="DL32" s="332"/>
      <c r="DM32" s="333"/>
      <c r="DN32" s="158"/>
      <c r="DO32" s="149"/>
      <c r="DP32" s="332"/>
      <c r="DQ32" s="332"/>
      <c r="DR32" s="332"/>
      <c r="DS32" s="332"/>
      <c r="DT32" s="332"/>
      <c r="DU32" s="332"/>
      <c r="DV32" s="332"/>
      <c r="DW32" s="332"/>
      <c r="DX32" s="332"/>
      <c r="DY32" s="332"/>
      <c r="DZ32" s="333"/>
      <c r="EA32" s="158"/>
      <c r="EB32" s="149"/>
      <c r="EC32" s="332"/>
      <c r="ED32" s="332"/>
      <c r="EE32" s="332"/>
      <c r="EF32" s="332"/>
      <c r="EG32" s="332"/>
      <c r="EH32" s="332"/>
      <c r="EI32" s="332"/>
      <c r="EJ32" s="332"/>
      <c r="EK32" s="332"/>
      <c r="EL32" s="332"/>
      <c r="EM32" s="333"/>
      <c r="EN32" s="158"/>
      <c r="EO32" s="149"/>
      <c r="EP32" s="332"/>
      <c r="EQ32" s="332"/>
      <c r="ER32" s="332"/>
      <c r="ES32" s="332"/>
      <c r="ET32" s="332"/>
      <c r="EU32" s="332"/>
      <c r="EV32" s="332"/>
      <c r="EW32" s="332"/>
      <c r="EX32" s="332"/>
      <c r="EY32" s="332"/>
      <c r="EZ32" s="333"/>
      <c r="FA32" s="158"/>
      <c r="FB32" s="149"/>
      <c r="FC32" s="332"/>
      <c r="FD32" s="332"/>
      <c r="FE32" s="332"/>
      <c r="FF32" s="332"/>
      <c r="FG32" s="332"/>
      <c r="FH32" s="332"/>
      <c r="FI32" s="332"/>
      <c r="FJ32" s="332"/>
      <c r="FK32" s="332"/>
      <c r="FL32" s="332"/>
      <c r="FM32" s="333"/>
      <c r="FN32" s="158"/>
      <c r="FO32" s="149"/>
      <c r="FP32" s="332"/>
      <c r="FQ32" s="332"/>
      <c r="FR32" s="332"/>
      <c r="FS32" s="332"/>
      <c r="FT32" s="332"/>
      <c r="FU32" s="332"/>
      <c r="FV32" s="332"/>
      <c r="FW32" s="332"/>
      <c r="FX32" s="332"/>
      <c r="FY32" s="332"/>
      <c r="FZ32" s="333"/>
      <c r="GA32" s="158"/>
      <c r="GB32" s="149"/>
      <c r="GC32" s="332"/>
      <c r="GD32" s="332"/>
      <c r="GE32" s="332"/>
      <c r="GF32" s="332"/>
      <c r="GG32" s="332"/>
      <c r="GH32" s="332"/>
      <c r="GI32" s="332"/>
      <c r="GJ32" s="332"/>
      <c r="GK32" s="332"/>
      <c r="GL32" s="332"/>
      <c r="GM32" s="333"/>
      <c r="GN32" s="158"/>
      <c r="GO32" s="149"/>
      <c r="GP32" s="332"/>
      <c r="GQ32" s="332"/>
      <c r="GR32" s="332"/>
      <c r="GS32" s="332"/>
      <c r="GT32" s="332"/>
      <c r="GU32" s="332"/>
      <c r="GV32" s="332"/>
      <c r="GW32" s="332"/>
      <c r="GX32" s="332"/>
      <c r="GY32" s="332"/>
      <c r="GZ32" s="333"/>
      <c r="HA32" s="158"/>
      <c r="HB32" s="149"/>
      <c r="HC32" s="332"/>
      <c r="HD32" s="332"/>
      <c r="HE32" s="332"/>
      <c r="HF32" s="332"/>
      <c r="HG32" s="332"/>
      <c r="HH32" s="332"/>
      <c r="HI32" s="332"/>
      <c r="HJ32" s="332"/>
      <c r="HK32" s="332"/>
      <c r="HL32" s="332"/>
      <c r="HM32" s="333"/>
      <c r="HN32" s="158"/>
      <c r="HO32" s="149"/>
      <c r="HP32" s="332"/>
      <c r="HQ32" s="332"/>
      <c r="HR32" s="332"/>
      <c r="HS32" s="332"/>
      <c r="HT32" s="332"/>
      <c r="HU32" s="332"/>
      <c r="HV32" s="332"/>
      <c r="HW32" s="332"/>
      <c r="HX32" s="332"/>
      <c r="HY32" s="332"/>
      <c r="HZ32" s="333"/>
      <c r="IA32" s="158"/>
      <c r="IB32" s="149"/>
      <c r="IC32" s="332"/>
      <c r="ID32" s="332"/>
      <c r="IE32" s="332"/>
      <c r="IF32" s="332"/>
      <c r="IG32" s="332"/>
      <c r="IH32" s="332"/>
      <c r="II32" s="332"/>
      <c r="IJ32" s="332"/>
      <c r="IK32" s="332"/>
      <c r="IL32" s="332"/>
      <c r="IM32" s="333"/>
      <c r="IN32" s="158"/>
      <c r="IO32" s="149"/>
      <c r="IP32" s="332"/>
      <c r="IQ32" s="332"/>
      <c r="IR32" s="332"/>
      <c r="IS32" s="332"/>
      <c r="IT32" s="332"/>
      <c r="IU32" s="332"/>
      <c r="IV32" s="332"/>
    </row>
    <row r="33" spans="1:256" x14ac:dyDescent="0.2">
      <c r="A33" s="158"/>
      <c r="B33" s="149"/>
      <c r="C33" s="332"/>
      <c r="D33" s="332"/>
      <c r="E33" s="332"/>
      <c r="F33" s="332"/>
      <c r="G33" s="332"/>
      <c r="H33" s="332"/>
      <c r="I33" s="332"/>
      <c r="J33" s="332"/>
      <c r="K33" s="332"/>
      <c r="L33" s="332"/>
      <c r="M33" s="333"/>
      <c r="N33" s="152"/>
      <c r="O33" s="152"/>
      <c r="P33" s="161"/>
      <c r="Q33" s="161"/>
      <c r="R33" s="161"/>
      <c r="S33" s="161"/>
      <c r="T33" s="161"/>
      <c r="U33" s="161"/>
      <c r="V33" s="161"/>
      <c r="W33" s="161"/>
      <c r="X33" s="161"/>
      <c r="Y33" s="161"/>
      <c r="Z33" s="161"/>
      <c r="AA33" s="149"/>
      <c r="AB33" s="149"/>
      <c r="AC33" s="153"/>
      <c r="AD33" s="153"/>
      <c r="AE33" s="153"/>
      <c r="AF33" s="153"/>
      <c r="AG33" s="153"/>
      <c r="AH33" s="153"/>
      <c r="AI33" s="153"/>
      <c r="AJ33" s="153"/>
      <c r="AK33" s="153"/>
      <c r="AL33" s="153"/>
      <c r="AM33" s="153"/>
      <c r="AN33" s="149"/>
      <c r="AO33" s="149"/>
      <c r="AP33" s="153"/>
      <c r="AQ33" s="153"/>
      <c r="AR33" s="153"/>
      <c r="AS33" s="153"/>
      <c r="AT33" s="153"/>
      <c r="AU33" s="153"/>
      <c r="AV33" s="153"/>
      <c r="AW33" s="153"/>
      <c r="AX33" s="153"/>
      <c r="AY33" s="153"/>
      <c r="AZ33" s="153"/>
      <c r="BA33" s="149"/>
      <c r="BB33" s="149"/>
      <c r="BC33" s="153"/>
      <c r="BD33" s="153"/>
      <c r="BE33" s="153"/>
      <c r="BF33" s="153"/>
      <c r="BG33" s="153"/>
      <c r="BH33" s="153"/>
      <c r="BI33" s="153"/>
      <c r="BJ33" s="153"/>
      <c r="BK33" s="153"/>
      <c r="BL33" s="153"/>
      <c r="BM33" s="153"/>
      <c r="BN33" s="149"/>
      <c r="BO33" s="149"/>
      <c r="BP33" s="153"/>
      <c r="BQ33" s="153"/>
      <c r="BR33" s="153"/>
      <c r="BS33" s="153"/>
      <c r="BT33" s="153"/>
      <c r="BU33" s="153"/>
      <c r="BV33" s="153"/>
      <c r="BW33" s="153"/>
      <c r="BX33" s="153"/>
      <c r="BY33" s="153"/>
      <c r="BZ33" s="153"/>
      <c r="CA33" s="149"/>
      <c r="CB33" s="149"/>
      <c r="CC33" s="153"/>
      <c r="CD33" s="153"/>
      <c r="CE33" s="153"/>
      <c r="CF33" s="153"/>
      <c r="CG33" s="153"/>
      <c r="CH33" s="153"/>
      <c r="CI33" s="153"/>
      <c r="CJ33" s="153"/>
      <c r="CK33" s="153"/>
      <c r="CL33" s="153"/>
      <c r="CM33" s="153"/>
      <c r="CN33" s="149"/>
      <c r="CO33" s="149"/>
      <c r="CP33" s="153"/>
      <c r="CQ33" s="153"/>
      <c r="CR33" s="153"/>
      <c r="CS33" s="153"/>
      <c r="CT33" s="153"/>
      <c r="CU33" s="153"/>
      <c r="CV33" s="153"/>
      <c r="CW33" s="153"/>
      <c r="CX33" s="153"/>
      <c r="CY33" s="153"/>
      <c r="CZ33" s="153"/>
      <c r="DA33" s="149"/>
      <c r="DB33" s="149"/>
      <c r="DC33" s="153"/>
      <c r="DD33" s="153"/>
      <c r="DE33" s="153"/>
      <c r="DF33" s="153"/>
      <c r="DG33" s="153"/>
      <c r="DH33" s="153"/>
      <c r="DI33" s="153"/>
      <c r="DJ33" s="153"/>
      <c r="DK33" s="153"/>
      <c r="DL33" s="153"/>
      <c r="DM33" s="153"/>
      <c r="DN33" s="149"/>
      <c r="DO33" s="149"/>
      <c r="DP33" s="153"/>
      <c r="DQ33" s="153"/>
      <c r="DR33" s="153"/>
      <c r="DS33" s="153"/>
      <c r="DT33" s="153"/>
      <c r="DU33" s="153"/>
      <c r="DV33" s="153"/>
      <c r="DW33" s="153"/>
      <c r="DX33" s="153"/>
      <c r="DY33" s="153"/>
      <c r="DZ33" s="153"/>
      <c r="EA33" s="149"/>
      <c r="EB33" s="149"/>
      <c r="EC33" s="153"/>
      <c r="ED33" s="153"/>
      <c r="EE33" s="153"/>
      <c r="EF33" s="153"/>
      <c r="EG33" s="153"/>
      <c r="EH33" s="153"/>
      <c r="EI33" s="153"/>
      <c r="EJ33" s="153"/>
      <c r="EK33" s="153"/>
      <c r="EL33" s="153"/>
      <c r="EM33" s="153"/>
      <c r="EN33" s="149"/>
      <c r="EO33" s="149"/>
      <c r="EP33" s="153"/>
      <c r="EQ33" s="153"/>
      <c r="ER33" s="153"/>
      <c r="ES33" s="153"/>
      <c r="ET33" s="153"/>
      <c r="EU33" s="153"/>
      <c r="EV33" s="153"/>
      <c r="EW33" s="153"/>
      <c r="EX33" s="153"/>
      <c r="EY33" s="153"/>
      <c r="EZ33" s="153"/>
      <c r="FA33" s="149"/>
      <c r="FB33" s="149"/>
      <c r="FC33" s="153"/>
      <c r="FD33" s="153"/>
      <c r="FE33" s="153"/>
      <c r="FF33" s="153"/>
      <c r="FG33" s="153"/>
      <c r="FH33" s="153"/>
      <c r="FI33" s="153"/>
      <c r="FJ33" s="153"/>
      <c r="FK33" s="153"/>
      <c r="FL33" s="153"/>
      <c r="FM33" s="153"/>
      <c r="FN33" s="149"/>
      <c r="FO33" s="149"/>
      <c r="FP33" s="153"/>
      <c r="FQ33" s="153"/>
      <c r="FR33" s="153"/>
      <c r="FS33" s="153"/>
      <c r="FT33" s="153"/>
      <c r="FU33" s="153"/>
      <c r="FV33" s="153"/>
      <c r="FW33" s="153"/>
      <c r="FX33" s="153"/>
      <c r="FY33" s="153"/>
      <c r="FZ33" s="153"/>
      <c r="GA33" s="149"/>
      <c r="GB33" s="149"/>
      <c r="GC33" s="153"/>
      <c r="GD33" s="153"/>
      <c r="GE33" s="153"/>
      <c r="GF33" s="153"/>
      <c r="GG33" s="153"/>
      <c r="GH33" s="153"/>
      <c r="GI33" s="153"/>
      <c r="GJ33" s="153"/>
      <c r="GK33" s="153"/>
      <c r="GL33" s="153"/>
      <c r="GM33" s="153"/>
      <c r="GN33" s="149"/>
      <c r="GO33" s="149"/>
      <c r="GP33" s="153"/>
      <c r="GQ33" s="153"/>
      <c r="GR33" s="153"/>
      <c r="GS33" s="153"/>
      <c r="GT33" s="153"/>
      <c r="GU33" s="153"/>
      <c r="GV33" s="153"/>
      <c r="GW33" s="153"/>
      <c r="GX33" s="153"/>
      <c r="GY33" s="153"/>
      <c r="GZ33" s="153"/>
      <c r="HA33" s="149"/>
      <c r="HB33" s="149"/>
      <c r="HC33" s="153"/>
      <c r="HD33" s="153"/>
      <c r="HE33" s="153"/>
      <c r="HF33" s="153"/>
      <c r="HG33" s="153"/>
      <c r="HH33" s="153"/>
      <c r="HI33" s="153"/>
      <c r="HJ33" s="153"/>
      <c r="HK33" s="153"/>
      <c r="HL33" s="153"/>
      <c r="HM33" s="153"/>
      <c r="HN33" s="149"/>
      <c r="HO33" s="149"/>
      <c r="HP33" s="153"/>
      <c r="HQ33" s="153"/>
      <c r="HR33" s="153"/>
      <c r="HS33" s="153"/>
      <c r="HT33" s="153"/>
      <c r="HU33" s="153"/>
      <c r="HV33" s="153"/>
      <c r="HW33" s="153"/>
      <c r="HX33" s="153"/>
      <c r="HY33" s="153"/>
      <c r="HZ33" s="153"/>
      <c r="IA33" s="149"/>
      <c r="IB33" s="149"/>
      <c r="IC33" s="153"/>
      <c r="ID33" s="153"/>
      <c r="IE33" s="153"/>
      <c r="IF33" s="153"/>
      <c r="IG33" s="153"/>
      <c r="IH33" s="153"/>
      <c r="II33" s="153"/>
      <c r="IJ33" s="153"/>
      <c r="IK33" s="153"/>
      <c r="IL33" s="153"/>
      <c r="IM33" s="153"/>
      <c r="IN33" s="149"/>
      <c r="IO33" s="149"/>
      <c r="IP33" s="153"/>
      <c r="IQ33" s="153"/>
      <c r="IR33" s="153"/>
      <c r="IS33" s="153"/>
      <c r="IT33" s="153"/>
      <c r="IU33" s="153"/>
      <c r="IV33" s="153"/>
    </row>
    <row r="34" spans="1:256" x14ac:dyDescent="0.2">
      <c r="A34" s="158"/>
      <c r="B34" s="149"/>
      <c r="C34" s="332"/>
      <c r="D34" s="332"/>
      <c r="E34" s="332"/>
      <c r="F34" s="332"/>
      <c r="G34" s="332"/>
      <c r="H34" s="332"/>
      <c r="I34" s="332"/>
      <c r="J34" s="332"/>
      <c r="K34" s="332"/>
      <c r="L34" s="332"/>
      <c r="M34" s="333"/>
      <c r="N34" s="152"/>
      <c r="O34" s="152"/>
      <c r="P34" s="161"/>
      <c r="Q34" s="161"/>
      <c r="R34" s="161"/>
      <c r="S34" s="161"/>
      <c r="T34" s="161"/>
      <c r="U34" s="161"/>
      <c r="V34" s="161"/>
      <c r="W34" s="161"/>
      <c r="X34" s="161"/>
      <c r="Y34" s="161"/>
      <c r="Z34" s="161"/>
      <c r="AA34" s="149"/>
      <c r="AB34" s="149"/>
      <c r="AC34" s="153"/>
      <c r="AD34" s="153"/>
      <c r="AE34" s="153"/>
      <c r="AF34" s="153"/>
      <c r="AG34" s="153"/>
      <c r="AH34" s="153"/>
      <c r="AI34" s="153"/>
      <c r="AJ34" s="153"/>
      <c r="AK34" s="153"/>
      <c r="AL34" s="153"/>
      <c r="AM34" s="153"/>
      <c r="AN34" s="149"/>
      <c r="AO34" s="149"/>
      <c r="AP34" s="153"/>
      <c r="AQ34" s="153"/>
      <c r="AR34" s="153"/>
      <c r="AS34" s="153"/>
      <c r="AT34" s="153"/>
      <c r="AU34" s="153"/>
      <c r="AV34" s="153"/>
      <c r="AW34" s="153"/>
      <c r="AX34" s="153"/>
      <c r="AY34" s="153"/>
      <c r="AZ34" s="153"/>
      <c r="BA34" s="149"/>
      <c r="BB34" s="149"/>
      <c r="BC34" s="153"/>
      <c r="BD34" s="153"/>
      <c r="BE34" s="153"/>
      <c r="BF34" s="153"/>
      <c r="BG34" s="153"/>
      <c r="BH34" s="153"/>
      <c r="BI34" s="153"/>
      <c r="BJ34" s="153"/>
      <c r="BK34" s="153"/>
      <c r="BL34" s="153"/>
      <c r="BM34" s="153"/>
      <c r="BN34" s="149"/>
      <c r="BO34" s="149"/>
      <c r="BP34" s="153"/>
      <c r="BQ34" s="153"/>
      <c r="BR34" s="153"/>
      <c r="BS34" s="153"/>
      <c r="BT34" s="153"/>
      <c r="BU34" s="153"/>
      <c r="BV34" s="153"/>
      <c r="BW34" s="153"/>
      <c r="BX34" s="153"/>
      <c r="BY34" s="153"/>
      <c r="BZ34" s="153"/>
      <c r="CA34" s="149"/>
      <c r="CB34" s="149"/>
      <c r="CC34" s="153"/>
      <c r="CD34" s="153"/>
      <c r="CE34" s="153"/>
      <c r="CF34" s="153"/>
      <c r="CG34" s="153"/>
      <c r="CH34" s="153"/>
      <c r="CI34" s="153"/>
      <c r="CJ34" s="153"/>
      <c r="CK34" s="153"/>
      <c r="CL34" s="153"/>
      <c r="CM34" s="153"/>
      <c r="CN34" s="149"/>
      <c r="CO34" s="149"/>
      <c r="CP34" s="153"/>
      <c r="CQ34" s="153"/>
      <c r="CR34" s="153"/>
      <c r="CS34" s="153"/>
      <c r="CT34" s="153"/>
      <c r="CU34" s="153"/>
      <c r="CV34" s="153"/>
      <c r="CW34" s="153"/>
      <c r="CX34" s="153"/>
      <c r="CY34" s="153"/>
      <c r="CZ34" s="153"/>
      <c r="DA34" s="149"/>
      <c r="DB34" s="149"/>
      <c r="DC34" s="153"/>
      <c r="DD34" s="153"/>
      <c r="DE34" s="153"/>
      <c r="DF34" s="153"/>
      <c r="DG34" s="153"/>
      <c r="DH34" s="153"/>
      <c r="DI34" s="153"/>
      <c r="DJ34" s="153"/>
      <c r="DK34" s="153"/>
      <c r="DL34" s="153"/>
      <c r="DM34" s="153"/>
      <c r="DN34" s="149"/>
      <c r="DO34" s="149"/>
      <c r="DP34" s="153"/>
      <c r="DQ34" s="153"/>
      <c r="DR34" s="153"/>
      <c r="DS34" s="153"/>
      <c r="DT34" s="153"/>
      <c r="DU34" s="153"/>
      <c r="DV34" s="153"/>
      <c r="DW34" s="153"/>
      <c r="DX34" s="153"/>
      <c r="DY34" s="153"/>
      <c r="DZ34" s="153"/>
      <c r="EA34" s="149"/>
      <c r="EB34" s="149"/>
      <c r="EC34" s="153"/>
      <c r="ED34" s="153"/>
      <c r="EE34" s="153"/>
      <c r="EF34" s="153"/>
      <c r="EG34" s="153"/>
      <c r="EH34" s="153"/>
      <c r="EI34" s="153"/>
      <c r="EJ34" s="153"/>
      <c r="EK34" s="153"/>
      <c r="EL34" s="153"/>
      <c r="EM34" s="153"/>
      <c r="EN34" s="149"/>
      <c r="EO34" s="149"/>
      <c r="EP34" s="153"/>
      <c r="EQ34" s="153"/>
      <c r="ER34" s="153"/>
      <c r="ES34" s="153"/>
      <c r="ET34" s="153"/>
      <c r="EU34" s="153"/>
      <c r="EV34" s="153"/>
      <c r="EW34" s="153"/>
      <c r="EX34" s="153"/>
      <c r="EY34" s="153"/>
      <c r="EZ34" s="153"/>
      <c r="FA34" s="149"/>
      <c r="FB34" s="149"/>
      <c r="FC34" s="153"/>
      <c r="FD34" s="153"/>
      <c r="FE34" s="153"/>
      <c r="FF34" s="153"/>
      <c r="FG34" s="153"/>
      <c r="FH34" s="153"/>
      <c r="FI34" s="153"/>
      <c r="FJ34" s="153"/>
      <c r="FK34" s="153"/>
      <c r="FL34" s="153"/>
      <c r="FM34" s="153"/>
      <c r="FN34" s="149"/>
      <c r="FO34" s="149"/>
      <c r="FP34" s="153"/>
      <c r="FQ34" s="153"/>
      <c r="FR34" s="153"/>
      <c r="FS34" s="153"/>
      <c r="FT34" s="153"/>
      <c r="FU34" s="153"/>
      <c r="FV34" s="153"/>
      <c r="FW34" s="153"/>
      <c r="FX34" s="153"/>
      <c r="FY34" s="153"/>
      <c r="FZ34" s="153"/>
      <c r="GA34" s="149"/>
      <c r="GB34" s="149"/>
      <c r="GC34" s="153"/>
      <c r="GD34" s="153"/>
      <c r="GE34" s="153"/>
      <c r="GF34" s="153"/>
      <c r="GG34" s="153"/>
      <c r="GH34" s="153"/>
      <c r="GI34" s="153"/>
      <c r="GJ34" s="153"/>
      <c r="GK34" s="153"/>
      <c r="GL34" s="153"/>
      <c r="GM34" s="153"/>
      <c r="GN34" s="149"/>
      <c r="GO34" s="149"/>
      <c r="GP34" s="153"/>
      <c r="GQ34" s="153"/>
      <c r="GR34" s="153"/>
      <c r="GS34" s="153"/>
      <c r="GT34" s="153"/>
      <c r="GU34" s="153"/>
      <c r="GV34" s="153"/>
      <c r="GW34" s="153"/>
      <c r="GX34" s="153"/>
      <c r="GY34" s="153"/>
      <c r="GZ34" s="153"/>
      <c r="HA34" s="149"/>
      <c r="HB34" s="149"/>
      <c r="HC34" s="153"/>
      <c r="HD34" s="153"/>
      <c r="HE34" s="153"/>
      <c r="HF34" s="153"/>
      <c r="HG34" s="153"/>
      <c r="HH34" s="153"/>
      <c r="HI34" s="153"/>
      <c r="HJ34" s="153"/>
      <c r="HK34" s="153"/>
      <c r="HL34" s="153"/>
      <c r="HM34" s="153"/>
      <c r="HN34" s="149"/>
      <c r="HO34" s="149"/>
      <c r="HP34" s="153"/>
      <c r="HQ34" s="153"/>
      <c r="HR34" s="153"/>
      <c r="HS34" s="153"/>
      <c r="HT34" s="153"/>
      <c r="HU34" s="153"/>
      <c r="HV34" s="153"/>
      <c r="HW34" s="153"/>
      <c r="HX34" s="153"/>
      <c r="HY34" s="153"/>
      <c r="HZ34" s="153"/>
      <c r="IA34" s="149"/>
      <c r="IB34" s="149"/>
      <c r="IC34" s="153"/>
      <c r="ID34" s="153"/>
      <c r="IE34" s="153"/>
      <c r="IF34" s="153"/>
      <c r="IG34" s="153"/>
      <c r="IH34" s="153"/>
      <c r="II34" s="153"/>
      <c r="IJ34" s="153"/>
      <c r="IK34" s="153"/>
      <c r="IL34" s="153"/>
      <c r="IM34" s="153"/>
      <c r="IN34" s="149"/>
      <c r="IO34" s="149"/>
      <c r="IP34" s="153"/>
      <c r="IQ34" s="153"/>
      <c r="IR34" s="153"/>
      <c r="IS34" s="153"/>
      <c r="IT34" s="153"/>
      <c r="IU34" s="153"/>
      <c r="IV34" s="153"/>
    </row>
    <row r="35" spans="1:256" x14ac:dyDescent="0.2">
      <c r="A35" s="158"/>
      <c r="B35" s="149"/>
      <c r="C35" s="332"/>
      <c r="D35" s="332"/>
      <c r="E35" s="332"/>
      <c r="F35" s="332"/>
      <c r="G35" s="332"/>
      <c r="H35" s="332"/>
      <c r="I35" s="332"/>
      <c r="J35" s="332"/>
      <c r="K35" s="332"/>
      <c r="L35" s="332"/>
      <c r="M35" s="333"/>
      <c r="N35" s="152"/>
      <c r="O35" s="152"/>
      <c r="P35" s="161"/>
      <c r="Q35" s="161"/>
      <c r="R35" s="161"/>
      <c r="S35" s="161"/>
      <c r="T35" s="161"/>
      <c r="U35" s="161"/>
      <c r="V35" s="161"/>
      <c r="W35" s="161"/>
      <c r="X35" s="161"/>
      <c r="Y35" s="161"/>
      <c r="Z35" s="161"/>
      <c r="AA35" s="149"/>
      <c r="AB35" s="149"/>
      <c r="AC35" s="153"/>
      <c r="AD35" s="153"/>
      <c r="AE35" s="153"/>
      <c r="AF35" s="153"/>
      <c r="AG35" s="153"/>
      <c r="AH35" s="153"/>
      <c r="AI35" s="153"/>
      <c r="AJ35" s="153"/>
      <c r="AK35" s="153"/>
      <c r="AL35" s="153"/>
      <c r="AM35" s="153"/>
      <c r="AN35" s="149"/>
      <c r="AO35" s="149"/>
      <c r="AP35" s="153"/>
      <c r="AQ35" s="153"/>
      <c r="AR35" s="153"/>
      <c r="AS35" s="153"/>
      <c r="AT35" s="153"/>
      <c r="AU35" s="153"/>
      <c r="AV35" s="153"/>
      <c r="AW35" s="153"/>
      <c r="AX35" s="153"/>
      <c r="AY35" s="153"/>
      <c r="AZ35" s="153"/>
      <c r="BA35" s="149"/>
      <c r="BB35" s="149"/>
      <c r="BC35" s="153"/>
      <c r="BD35" s="153"/>
      <c r="BE35" s="153"/>
      <c r="BF35" s="153"/>
      <c r="BG35" s="153"/>
      <c r="BH35" s="153"/>
      <c r="BI35" s="153"/>
      <c r="BJ35" s="153"/>
      <c r="BK35" s="153"/>
      <c r="BL35" s="153"/>
      <c r="BM35" s="153"/>
      <c r="BN35" s="149"/>
      <c r="BO35" s="149"/>
      <c r="BP35" s="153"/>
      <c r="BQ35" s="153"/>
      <c r="BR35" s="153"/>
      <c r="BS35" s="153"/>
      <c r="BT35" s="153"/>
      <c r="BU35" s="153"/>
      <c r="BV35" s="153"/>
      <c r="BW35" s="153"/>
      <c r="BX35" s="153"/>
      <c r="BY35" s="153"/>
      <c r="BZ35" s="153"/>
      <c r="CA35" s="149"/>
      <c r="CB35" s="149"/>
      <c r="CC35" s="153"/>
      <c r="CD35" s="153"/>
      <c r="CE35" s="153"/>
      <c r="CF35" s="153"/>
      <c r="CG35" s="153"/>
      <c r="CH35" s="153"/>
      <c r="CI35" s="153"/>
      <c r="CJ35" s="153"/>
      <c r="CK35" s="153"/>
      <c r="CL35" s="153"/>
      <c r="CM35" s="153"/>
      <c r="CN35" s="149"/>
      <c r="CO35" s="149"/>
      <c r="CP35" s="153"/>
      <c r="CQ35" s="153"/>
      <c r="CR35" s="153"/>
      <c r="CS35" s="153"/>
      <c r="CT35" s="153"/>
      <c r="CU35" s="153"/>
      <c r="CV35" s="153"/>
      <c r="CW35" s="153"/>
      <c r="CX35" s="153"/>
      <c r="CY35" s="153"/>
      <c r="CZ35" s="153"/>
      <c r="DA35" s="149"/>
      <c r="DB35" s="149"/>
      <c r="DC35" s="153"/>
      <c r="DD35" s="153"/>
      <c r="DE35" s="153"/>
      <c r="DF35" s="153"/>
      <c r="DG35" s="153"/>
      <c r="DH35" s="153"/>
      <c r="DI35" s="153"/>
      <c r="DJ35" s="153"/>
      <c r="DK35" s="153"/>
      <c r="DL35" s="153"/>
      <c r="DM35" s="153"/>
      <c r="DN35" s="149"/>
      <c r="DO35" s="149"/>
      <c r="DP35" s="153"/>
      <c r="DQ35" s="153"/>
      <c r="DR35" s="153"/>
      <c r="DS35" s="153"/>
      <c r="DT35" s="153"/>
      <c r="DU35" s="153"/>
      <c r="DV35" s="153"/>
      <c r="DW35" s="153"/>
      <c r="DX35" s="153"/>
      <c r="DY35" s="153"/>
      <c r="DZ35" s="153"/>
      <c r="EA35" s="149"/>
      <c r="EB35" s="149"/>
      <c r="EC35" s="153"/>
      <c r="ED35" s="153"/>
      <c r="EE35" s="153"/>
      <c r="EF35" s="153"/>
      <c r="EG35" s="153"/>
      <c r="EH35" s="153"/>
      <c r="EI35" s="153"/>
      <c r="EJ35" s="153"/>
      <c r="EK35" s="153"/>
      <c r="EL35" s="153"/>
      <c r="EM35" s="153"/>
      <c r="EN35" s="149"/>
      <c r="EO35" s="149"/>
      <c r="EP35" s="153"/>
      <c r="EQ35" s="153"/>
      <c r="ER35" s="153"/>
      <c r="ES35" s="153"/>
      <c r="ET35" s="153"/>
      <c r="EU35" s="153"/>
      <c r="EV35" s="153"/>
      <c r="EW35" s="153"/>
      <c r="EX35" s="153"/>
      <c r="EY35" s="153"/>
      <c r="EZ35" s="153"/>
      <c r="FA35" s="149"/>
      <c r="FB35" s="149"/>
      <c r="FC35" s="153"/>
      <c r="FD35" s="153"/>
      <c r="FE35" s="153"/>
      <c r="FF35" s="153"/>
      <c r="FG35" s="153"/>
      <c r="FH35" s="153"/>
      <c r="FI35" s="153"/>
      <c r="FJ35" s="153"/>
      <c r="FK35" s="153"/>
      <c r="FL35" s="153"/>
      <c r="FM35" s="153"/>
      <c r="FN35" s="149"/>
      <c r="FO35" s="149"/>
      <c r="FP35" s="153"/>
      <c r="FQ35" s="153"/>
      <c r="FR35" s="153"/>
      <c r="FS35" s="153"/>
      <c r="FT35" s="153"/>
      <c r="FU35" s="153"/>
      <c r="FV35" s="153"/>
      <c r="FW35" s="153"/>
      <c r="FX35" s="153"/>
      <c r="FY35" s="153"/>
      <c r="FZ35" s="153"/>
      <c r="GA35" s="149"/>
      <c r="GB35" s="149"/>
      <c r="GC35" s="153"/>
      <c r="GD35" s="153"/>
      <c r="GE35" s="153"/>
      <c r="GF35" s="153"/>
      <c r="GG35" s="153"/>
      <c r="GH35" s="153"/>
      <c r="GI35" s="153"/>
      <c r="GJ35" s="153"/>
      <c r="GK35" s="153"/>
      <c r="GL35" s="153"/>
      <c r="GM35" s="153"/>
      <c r="GN35" s="149"/>
      <c r="GO35" s="149"/>
      <c r="GP35" s="153"/>
      <c r="GQ35" s="153"/>
      <c r="GR35" s="153"/>
      <c r="GS35" s="153"/>
      <c r="GT35" s="153"/>
      <c r="GU35" s="153"/>
      <c r="GV35" s="153"/>
      <c r="GW35" s="153"/>
      <c r="GX35" s="153"/>
      <c r="GY35" s="153"/>
      <c r="GZ35" s="153"/>
      <c r="HA35" s="149"/>
      <c r="HB35" s="149"/>
      <c r="HC35" s="153"/>
      <c r="HD35" s="153"/>
      <c r="HE35" s="153"/>
      <c r="HF35" s="153"/>
      <c r="HG35" s="153"/>
      <c r="HH35" s="153"/>
      <c r="HI35" s="153"/>
      <c r="HJ35" s="153"/>
      <c r="HK35" s="153"/>
      <c r="HL35" s="153"/>
      <c r="HM35" s="153"/>
      <c r="HN35" s="149"/>
      <c r="HO35" s="149"/>
      <c r="HP35" s="153"/>
      <c r="HQ35" s="153"/>
      <c r="HR35" s="153"/>
      <c r="HS35" s="153"/>
      <c r="HT35" s="153"/>
      <c r="HU35" s="153"/>
      <c r="HV35" s="153"/>
      <c r="HW35" s="153"/>
      <c r="HX35" s="153"/>
      <c r="HY35" s="153"/>
      <c r="HZ35" s="153"/>
      <c r="IA35" s="149"/>
      <c r="IB35" s="149"/>
      <c r="IC35" s="153"/>
      <c r="ID35" s="153"/>
      <c r="IE35" s="153"/>
      <c r="IF35" s="153"/>
      <c r="IG35" s="153"/>
      <c r="IH35" s="153"/>
      <c r="II35" s="153"/>
      <c r="IJ35" s="153"/>
      <c r="IK35" s="153"/>
      <c r="IL35" s="153"/>
      <c r="IM35" s="153"/>
      <c r="IN35" s="149"/>
      <c r="IO35" s="149"/>
      <c r="IP35" s="153"/>
      <c r="IQ35" s="153"/>
      <c r="IR35" s="153"/>
      <c r="IS35" s="153"/>
      <c r="IT35" s="153"/>
      <c r="IU35" s="153"/>
      <c r="IV35" s="153"/>
    </row>
    <row r="36" spans="1:256" x14ac:dyDescent="0.2">
      <c r="A36" s="158"/>
      <c r="B36" s="149"/>
      <c r="C36" s="332"/>
      <c r="D36" s="332"/>
      <c r="E36" s="332"/>
      <c r="F36" s="332"/>
      <c r="G36" s="332"/>
      <c r="H36" s="332"/>
      <c r="I36" s="332"/>
      <c r="J36" s="332"/>
      <c r="K36" s="332"/>
      <c r="L36" s="332"/>
      <c r="M36" s="333"/>
      <c r="N36" s="152"/>
      <c r="O36" s="152"/>
      <c r="P36" s="161"/>
      <c r="Q36" s="161"/>
      <c r="R36" s="161"/>
      <c r="S36" s="161"/>
      <c r="T36" s="161"/>
      <c r="U36" s="161"/>
      <c r="V36" s="161"/>
      <c r="W36" s="161"/>
      <c r="X36" s="161"/>
      <c r="Y36" s="161"/>
      <c r="Z36" s="161"/>
      <c r="AA36" s="149"/>
      <c r="AB36" s="149"/>
      <c r="AC36" s="153"/>
      <c r="AD36" s="153"/>
      <c r="AE36" s="153"/>
      <c r="AF36" s="153"/>
      <c r="AG36" s="153"/>
      <c r="AH36" s="153"/>
      <c r="AI36" s="153"/>
      <c r="AJ36" s="153"/>
      <c r="AK36" s="153"/>
      <c r="AL36" s="153"/>
      <c r="AM36" s="153"/>
      <c r="AN36" s="149"/>
      <c r="AO36" s="149"/>
      <c r="AP36" s="153"/>
      <c r="AQ36" s="153"/>
      <c r="AR36" s="153"/>
      <c r="AS36" s="153"/>
      <c r="AT36" s="153"/>
      <c r="AU36" s="153"/>
      <c r="AV36" s="153"/>
      <c r="AW36" s="153"/>
      <c r="AX36" s="153"/>
      <c r="AY36" s="153"/>
      <c r="AZ36" s="153"/>
      <c r="BA36" s="149"/>
      <c r="BB36" s="149"/>
      <c r="BC36" s="153"/>
      <c r="BD36" s="153"/>
      <c r="BE36" s="153"/>
      <c r="BF36" s="153"/>
      <c r="BG36" s="153"/>
      <c r="BH36" s="153"/>
      <c r="BI36" s="153"/>
      <c r="BJ36" s="153"/>
      <c r="BK36" s="153"/>
      <c r="BL36" s="153"/>
      <c r="BM36" s="153"/>
      <c r="BN36" s="149"/>
      <c r="BO36" s="149"/>
      <c r="BP36" s="153"/>
      <c r="BQ36" s="153"/>
      <c r="BR36" s="153"/>
      <c r="BS36" s="153"/>
      <c r="BT36" s="153"/>
      <c r="BU36" s="153"/>
      <c r="BV36" s="153"/>
      <c r="BW36" s="153"/>
      <c r="BX36" s="153"/>
      <c r="BY36" s="153"/>
      <c r="BZ36" s="153"/>
      <c r="CA36" s="149"/>
      <c r="CB36" s="149"/>
      <c r="CC36" s="153"/>
      <c r="CD36" s="153"/>
      <c r="CE36" s="153"/>
      <c r="CF36" s="153"/>
      <c r="CG36" s="153"/>
      <c r="CH36" s="153"/>
      <c r="CI36" s="153"/>
      <c r="CJ36" s="153"/>
      <c r="CK36" s="153"/>
      <c r="CL36" s="153"/>
      <c r="CM36" s="153"/>
      <c r="CN36" s="149"/>
      <c r="CO36" s="149"/>
      <c r="CP36" s="153"/>
      <c r="CQ36" s="153"/>
      <c r="CR36" s="153"/>
      <c r="CS36" s="153"/>
      <c r="CT36" s="153"/>
      <c r="CU36" s="153"/>
      <c r="CV36" s="153"/>
      <c r="CW36" s="153"/>
      <c r="CX36" s="153"/>
      <c r="CY36" s="153"/>
      <c r="CZ36" s="153"/>
      <c r="DA36" s="149"/>
      <c r="DB36" s="149"/>
      <c r="DC36" s="153"/>
      <c r="DD36" s="153"/>
      <c r="DE36" s="153"/>
      <c r="DF36" s="153"/>
      <c r="DG36" s="153"/>
      <c r="DH36" s="153"/>
      <c r="DI36" s="153"/>
      <c r="DJ36" s="153"/>
      <c r="DK36" s="153"/>
      <c r="DL36" s="153"/>
      <c r="DM36" s="153"/>
      <c r="DN36" s="149"/>
      <c r="DO36" s="149"/>
      <c r="DP36" s="153"/>
      <c r="DQ36" s="153"/>
      <c r="DR36" s="153"/>
      <c r="DS36" s="153"/>
      <c r="DT36" s="153"/>
      <c r="DU36" s="153"/>
      <c r="DV36" s="153"/>
      <c r="DW36" s="153"/>
      <c r="DX36" s="153"/>
      <c r="DY36" s="153"/>
      <c r="DZ36" s="153"/>
      <c r="EA36" s="149"/>
      <c r="EB36" s="149"/>
      <c r="EC36" s="153"/>
      <c r="ED36" s="153"/>
      <c r="EE36" s="153"/>
      <c r="EF36" s="153"/>
      <c r="EG36" s="153"/>
      <c r="EH36" s="153"/>
      <c r="EI36" s="153"/>
      <c r="EJ36" s="153"/>
      <c r="EK36" s="153"/>
      <c r="EL36" s="153"/>
      <c r="EM36" s="153"/>
      <c r="EN36" s="149"/>
      <c r="EO36" s="149"/>
      <c r="EP36" s="153"/>
      <c r="EQ36" s="153"/>
      <c r="ER36" s="153"/>
      <c r="ES36" s="153"/>
      <c r="ET36" s="153"/>
      <c r="EU36" s="153"/>
      <c r="EV36" s="153"/>
      <c r="EW36" s="153"/>
      <c r="EX36" s="153"/>
      <c r="EY36" s="153"/>
      <c r="EZ36" s="153"/>
      <c r="FA36" s="149"/>
      <c r="FB36" s="149"/>
      <c r="FC36" s="153"/>
      <c r="FD36" s="153"/>
      <c r="FE36" s="153"/>
      <c r="FF36" s="153"/>
      <c r="FG36" s="153"/>
      <c r="FH36" s="153"/>
      <c r="FI36" s="153"/>
      <c r="FJ36" s="153"/>
      <c r="FK36" s="153"/>
      <c r="FL36" s="153"/>
      <c r="FM36" s="153"/>
      <c r="FN36" s="149"/>
      <c r="FO36" s="149"/>
      <c r="FP36" s="153"/>
      <c r="FQ36" s="153"/>
      <c r="FR36" s="153"/>
      <c r="FS36" s="153"/>
      <c r="FT36" s="153"/>
      <c r="FU36" s="153"/>
      <c r="FV36" s="153"/>
      <c r="FW36" s="153"/>
      <c r="FX36" s="153"/>
      <c r="FY36" s="153"/>
      <c r="FZ36" s="153"/>
      <c r="GA36" s="149"/>
      <c r="GB36" s="149"/>
      <c r="GC36" s="153"/>
      <c r="GD36" s="153"/>
      <c r="GE36" s="153"/>
      <c r="GF36" s="153"/>
      <c r="GG36" s="153"/>
      <c r="GH36" s="153"/>
      <c r="GI36" s="153"/>
      <c r="GJ36" s="153"/>
      <c r="GK36" s="153"/>
      <c r="GL36" s="153"/>
      <c r="GM36" s="153"/>
      <c r="GN36" s="149"/>
      <c r="GO36" s="149"/>
      <c r="GP36" s="153"/>
      <c r="GQ36" s="153"/>
      <c r="GR36" s="153"/>
      <c r="GS36" s="153"/>
      <c r="GT36" s="153"/>
      <c r="GU36" s="153"/>
      <c r="GV36" s="153"/>
      <c r="GW36" s="153"/>
      <c r="GX36" s="153"/>
      <c r="GY36" s="153"/>
      <c r="GZ36" s="153"/>
      <c r="HA36" s="149"/>
      <c r="HB36" s="149"/>
      <c r="HC36" s="153"/>
      <c r="HD36" s="153"/>
      <c r="HE36" s="153"/>
      <c r="HF36" s="153"/>
      <c r="HG36" s="153"/>
      <c r="HH36" s="153"/>
      <c r="HI36" s="153"/>
      <c r="HJ36" s="153"/>
      <c r="HK36" s="153"/>
      <c r="HL36" s="153"/>
      <c r="HM36" s="153"/>
      <c r="HN36" s="149"/>
      <c r="HO36" s="149"/>
      <c r="HP36" s="153"/>
      <c r="HQ36" s="153"/>
      <c r="HR36" s="153"/>
      <c r="HS36" s="153"/>
      <c r="HT36" s="153"/>
      <c r="HU36" s="153"/>
      <c r="HV36" s="153"/>
      <c r="HW36" s="153"/>
      <c r="HX36" s="153"/>
      <c r="HY36" s="153"/>
      <c r="HZ36" s="153"/>
      <c r="IA36" s="149"/>
      <c r="IB36" s="149"/>
      <c r="IC36" s="153"/>
      <c r="ID36" s="153"/>
      <c r="IE36" s="153"/>
      <c r="IF36" s="153"/>
      <c r="IG36" s="153"/>
      <c r="IH36" s="153"/>
      <c r="II36" s="153"/>
      <c r="IJ36" s="153"/>
      <c r="IK36" s="153"/>
      <c r="IL36" s="153"/>
      <c r="IM36" s="153"/>
      <c r="IN36" s="149"/>
      <c r="IO36" s="149"/>
      <c r="IP36" s="153"/>
      <c r="IQ36" s="153"/>
      <c r="IR36" s="153"/>
      <c r="IS36" s="153"/>
      <c r="IT36" s="153"/>
      <c r="IU36" s="153"/>
      <c r="IV36" s="153"/>
    </row>
    <row r="37" spans="1:256" x14ac:dyDescent="0.2">
      <c r="A37" s="158"/>
      <c r="B37" s="149"/>
      <c r="C37" s="332"/>
      <c r="D37" s="332"/>
      <c r="E37" s="332"/>
      <c r="F37" s="332"/>
      <c r="G37" s="332"/>
      <c r="H37" s="332"/>
      <c r="I37" s="332"/>
      <c r="J37" s="332"/>
      <c r="K37" s="332"/>
      <c r="L37" s="332"/>
      <c r="M37" s="333"/>
      <c r="N37" s="152"/>
      <c r="O37" s="152"/>
      <c r="P37" s="161"/>
      <c r="Q37" s="161"/>
      <c r="R37" s="161"/>
      <c r="S37" s="161"/>
      <c r="T37" s="161"/>
      <c r="U37" s="161"/>
      <c r="V37" s="161"/>
      <c r="W37" s="161"/>
      <c r="X37" s="161"/>
      <c r="Y37" s="161"/>
      <c r="Z37" s="161"/>
      <c r="AA37" s="149"/>
      <c r="AB37" s="149"/>
      <c r="AC37" s="153"/>
      <c r="AD37" s="153"/>
      <c r="AE37" s="153"/>
      <c r="AF37" s="153"/>
      <c r="AG37" s="153"/>
      <c r="AH37" s="153"/>
      <c r="AI37" s="153"/>
      <c r="AJ37" s="153"/>
      <c r="AK37" s="153"/>
      <c r="AL37" s="153"/>
      <c r="AM37" s="153"/>
      <c r="AN37" s="149"/>
      <c r="AO37" s="149"/>
      <c r="AP37" s="153"/>
      <c r="AQ37" s="153"/>
      <c r="AR37" s="153"/>
      <c r="AS37" s="153"/>
      <c r="AT37" s="153"/>
      <c r="AU37" s="153"/>
      <c r="AV37" s="153"/>
      <c r="AW37" s="153"/>
      <c r="AX37" s="153"/>
      <c r="AY37" s="153"/>
      <c r="AZ37" s="153"/>
      <c r="BA37" s="149"/>
      <c r="BB37" s="149"/>
      <c r="BC37" s="153"/>
      <c r="BD37" s="153"/>
      <c r="BE37" s="153"/>
      <c r="BF37" s="153"/>
      <c r="BG37" s="153"/>
      <c r="BH37" s="153"/>
      <c r="BI37" s="153"/>
      <c r="BJ37" s="153"/>
      <c r="BK37" s="153"/>
      <c r="BL37" s="153"/>
      <c r="BM37" s="153"/>
      <c r="BN37" s="149"/>
      <c r="BO37" s="149"/>
      <c r="BP37" s="153"/>
      <c r="BQ37" s="153"/>
      <c r="BR37" s="153"/>
      <c r="BS37" s="153"/>
      <c r="BT37" s="153"/>
      <c r="BU37" s="153"/>
      <c r="BV37" s="153"/>
      <c r="BW37" s="153"/>
      <c r="BX37" s="153"/>
      <c r="BY37" s="153"/>
      <c r="BZ37" s="153"/>
      <c r="CA37" s="149"/>
      <c r="CB37" s="149"/>
      <c r="CC37" s="153"/>
      <c r="CD37" s="153"/>
      <c r="CE37" s="153"/>
      <c r="CF37" s="153"/>
      <c r="CG37" s="153"/>
      <c r="CH37" s="153"/>
      <c r="CI37" s="153"/>
      <c r="CJ37" s="153"/>
      <c r="CK37" s="153"/>
      <c r="CL37" s="153"/>
      <c r="CM37" s="153"/>
      <c r="CN37" s="149"/>
      <c r="CO37" s="149"/>
      <c r="CP37" s="153"/>
      <c r="CQ37" s="153"/>
      <c r="CR37" s="153"/>
      <c r="CS37" s="153"/>
      <c r="CT37" s="153"/>
      <c r="CU37" s="153"/>
      <c r="CV37" s="153"/>
      <c r="CW37" s="153"/>
      <c r="CX37" s="153"/>
      <c r="CY37" s="153"/>
      <c r="CZ37" s="153"/>
      <c r="DA37" s="149"/>
      <c r="DB37" s="149"/>
      <c r="DC37" s="153"/>
      <c r="DD37" s="153"/>
      <c r="DE37" s="153"/>
      <c r="DF37" s="153"/>
      <c r="DG37" s="153"/>
      <c r="DH37" s="153"/>
      <c r="DI37" s="153"/>
      <c r="DJ37" s="153"/>
      <c r="DK37" s="153"/>
      <c r="DL37" s="153"/>
      <c r="DM37" s="153"/>
      <c r="DN37" s="149"/>
      <c r="DO37" s="149"/>
      <c r="DP37" s="153"/>
      <c r="DQ37" s="153"/>
      <c r="DR37" s="153"/>
      <c r="DS37" s="153"/>
      <c r="DT37" s="153"/>
      <c r="DU37" s="153"/>
      <c r="DV37" s="153"/>
      <c r="DW37" s="153"/>
      <c r="DX37" s="153"/>
      <c r="DY37" s="153"/>
      <c r="DZ37" s="153"/>
      <c r="EA37" s="149"/>
      <c r="EB37" s="149"/>
      <c r="EC37" s="153"/>
      <c r="ED37" s="153"/>
      <c r="EE37" s="153"/>
      <c r="EF37" s="153"/>
      <c r="EG37" s="153"/>
      <c r="EH37" s="153"/>
      <c r="EI37" s="153"/>
      <c r="EJ37" s="153"/>
      <c r="EK37" s="153"/>
      <c r="EL37" s="153"/>
      <c r="EM37" s="153"/>
      <c r="EN37" s="149"/>
      <c r="EO37" s="149"/>
      <c r="EP37" s="153"/>
      <c r="EQ37" s="153"/>
      <c r="ER37" s="153"/>
      <c r="ES37" s="153"/>
      <c r="ET37" s="153"/>
      <c r="EU37" s="153"/>
      <c r="EV37" s="153"/>
      <c r="EW37" s="153"/>
      <c r="EX37" s="153"/>
      <c r="EY37" s="153"/>
      <c r="EZ37" s="153"/>
      <c r="FA37" s="149"/>
      <c r="FB37" s="149"/>
      <c r="FC37" s="153"/>
      <c r="FD37" s="153"/>
      <c r="FE37" s="153"/>
      <c r="FF37" s="153"/>
      <c r="FG37" s="153"/>
      <c r="FH37" s="153"/>
      <c r="FI37" s="153"/>
      <c r="FJ37" s="153"/>
      <c r="FK37" s="153"/>
      <c r="FL37" s="153"/>
      <c r="FM37" s="153"/>
      <c r="FN37" s="149"/>
      <c r="FO37" s="149"/>
      <c r="FP37" s="153"/>
      <c r="FQ37" s="153"/>
      <c r="FR37" s="153"/>
      <c r="FS37" s="153"/>
      <c r="FT37" s="153"/>
      <c r="FU37" s="153"/>
      <c r="FV37" s="153"/>
      <c r="FW37" s="153"/>
      <c r="FX37" s="153"/>
      <c r="FY37" s="153"/>
      <c r="FZ37" s="153"/>
      <c r="GA37" s="149"/>
      <c r="GB37" s="149"/>
      <c r="GC37" s="153"/>
      <c r="GD37" s="153"/>
      <c r="GE37" s="153"/>
      <c r="GF37" s="153"/>
      <c r="GG37" s="153"/>
      <c r="GH37" s="153"/>
      <c r="GI37" s="153"/>
      <c r="GJ37" s="153"/>
      <c r="GK37" s="153"/>
      <c r="GL37" s="153"/>
      <c r="GM37" s="153"/>
      <c r="GN37" s="149"/>
      <c r="GO37" s="149"/>
      <c r="GP37" s="153"/>
      <c r="GQ37" s="153"/>
      <c r="GR37" s="153"/>
      <c r="GS37" s="153"/>
      <c r="GT37" s="153"/>
      <c r="GU37" s="153"/>
      <c r="GV37" s="153"/>
      <c r="GW37" s="153"/>
      <c r="GX37" s="153"/>
      <c r="GY37" s="153"/>
      <c r="GZ37" s="153"/>
      <c r="HA37" s="149"/>
      <c r="HB37" s="149"/>
      <c r="HC37" s="153"/>
      <c r="HD37" s="153"/>
      <c r="HE37" s="153"/>
      <c r="HF37" s="153"/>
      <c r="HG37" s="153"/>
      <c r="HH37" s="153"/>
      <c r="HI37" s="153"/>
      <c r="HJ37" s="153"/>
      <c r="HK37" s="153"/>
      <c r="HL37" s="153"/>
      <c r="HM37" s="153"/>
      <c r="HN37" s="149"/>
      <c r="HO37" s="149"/>
      <c r="HP37" s="153"/>
      <c r="HQ37" s="153"/>
      <c r="HR37" s="153"/>
      <c r="HS37" s="153"/>
      <c r="HT37" s="153"/>
      <c r="HU37" s="153"/>
      <c r="HV37" s="153"/>
      <c r="HW37" s="153"/>
      <c r="HX37" s="153"/>
      <c r="HY37" s="153"/>
      <c r="HZ37" s="153"/>
      <c r="IA37" s="149"/>
      <c r="IB37" s="149"/>
      <c r="IC37" s="153"/>
      <c r="ID37" s="153"/>
      <c r="IE37" s="153"/>
      <c r="IF37" s="153"/>
      <c r="IG37" s="153"/>
      <c r="IH37" s="153"/>
      <c r="II37" s="153"/>
      <c r="IJ37" s="153"/>
      <c r="IK37" s="153"/>
      <c r="IL37" s="153"/>
      <c r="IM37" s="153"/>
      <c r="IN37" s="149"/>
      <c r="IO37" s="149"/>
      <c r="IP37" s="153"/>
      <c r="IQ37" s="153"/>
      <c r="IR37" s="153"/>
      <c r="IS37" s="153"/>
      <c r="IT37" s="153"/>
      <c r="IU37" s="153"/>
      <c r="IV37" s="153"/>
    </row>
    <row r="38" spans="1:256" x14ac:dyDescent="0.2">
      <c r="A38" s="158"/>
      <c r="B38" s="149"/>
      <c r="C38" s="332"/>
      <c r="D38" s="332"/>
      <c r="E38" s="332"/>
      <c r="F38" s="332"/>
      <c r="G38" s="332"/>
      <c r="H38" s="332"/>
      <c r="I38" s="332"/>
      <c r="J38" s="332"/>
      <c r="K38" s="332"/>
      <c r="L38" s="332"/>
      <c r="M38" s="333"/>
      <c r="N38" s="152"/>
      <c r="O38" s="152"/>
      <c r="P38" s="337"/>
      <c r="Q38" s="337"/>
      <c r="R38" s="337"/>
      <c r="S38" s="337"/>
      <c r="T38" s="337"/>
      <c r="U38" s="337"/>
      <c r="V38" s="337"/>
      <c r="W38" s="337"/>
      <c r="X38" s="337"/>
      <c r="Y38" s="337"/>
      <c r="Z38" s="337"/>
      <c r="AA38" s="149"/>
      <c r="AB38" s="149"/>
      <c r="AC38" s="332"/>
      <c r="AD38" s="332"/>
      <c r="AE38" s="332"/>
      <c r="AF38" s="332"/>
      <c r="AG38" s="332"/>
      <c r="AH38" s="332"/>
      <c r="AI38" s="332"/>
      <c r="AJ38" s="332"/>
      <c r="AK38" s="332"/>
      <c r="AL38" s="332"/>
      <c r="AM38" s="332"/>
      <c r="AN38" s="149"/>
      <c r="AO38" s="149"/>
      <c r="AP38" s="332"/>
      <c r="AQ38" s="332"/>
      <c r="AR38" s="332"/>
      <c r="AS38" s="332"/>
      <c r="AT38" s="332"/>
      <c r="AU38" s="332"/>
      <c r="AV38" s="332"/>
      <c r="AW38" s="332"/>
      <c r="AX38" s="332"/>
      <c r="AY38" s="332"/>
      <c r="AZ38" s="332"/>
      <c r="BA38" s="149"/>
      <c r="BB38" s="149"/>
      <c r="BC38" s="332"/>
      <c r="BD38" s="332"/>
      <c r="BE38" s="332"/>
      <c r="BF38" s="332"/>
      <c r="BG38" s="332"/>
      <c r="BH38" s="332"/>
      <c r="BI38" s="332"/>
      <c r="BJ38" s="332"/>
      <c r="BK38" s="332"/>
      <c r="BL38" s="332"/>
      <c r="BM38" s="332"/>
      <c r="BN38" s="149"/>
      <c r="BO38" s="149"/>
      <c r="BP38" s="332"/>
      <c r="BQ38" s="332"/>
      <c r="BR38" s="332"/>
      <c r="BS38" s="332"/>
      <c r="BT38" s="332"/>
      <c r="BU38" s="332"/>
      <c r="BV38" s="332"/>
      <c r="BW38" s="332"/>
      <c r="BX38" s="332"/>
      <c r="BY38" s="332"/>
      <c r="BZ38" s="332"/>
      <c r="CA38" s="149"/>
      <c r="CB38" s="149"/>
      <c r="CC38" s="332"/>
      <c r="CD38" s="332"/>
      <c r="CE38" s="332"/>
      <c r="CF38" s="332"/>
      <c r="CG38" s="332"/>
      <c r="CH38" s="332"/>
      <c r="CI38" s="332"/>
      <c r="CJ38" s="332"/>
      <c r="CK38" s="332"/>
      <c r="CL38" s="332"/>
      <c r="CM38" s="332"/>
      <c r="CN38" s="149"/>
      <c r="CO38" s="149"/>
      <c r="CP38" s="332"/>
      <c r="CQ38" s="332"/>
      <c r="CR38" s="332"/>
      <c r="CS38" s="332"/>
      <c r="CT38" s="332"/>
      <c r="CU38" s="332"/>
      <c r="CV38" s="332"/>
      <c r="CW38" s="332"/>
      <c r="CX38" s="332"/>
      <c r="CY38" s="332"/>
      <c r="CZ38" s="332"/>
      <c r="DA38" s="149"/>
      <c r="DB38" s="149"/>
      <c r="DC38" s="332"/>
      <c r="DD38" s="332"/>
      <c r="DE38" s="332"/>
      <c r="DF38" s="332"/>
      <c r="DG38" s="332"/>
      <c r="DH38" s="332"/>
      <c r="DI38" s="332"/>
      <c r="DJ38" s="332"/>
      <c r="DK38" s="332"/>
      <c r="DL38" s="332"/>
      <c r="DM38" s="332"/>
      <c r="DN38" s="149"/>
      <c r="DO38" s="149"/>
      <c r="DP38" s="332"/>
      <c r="DQ38" s="332"/>
      <c r="DR38" s="332"/>
      <c r="DS38" s="332"/>
      <c r="DT38" s="332"/>
      <c r="DU38" s="332"/>
      <c r="DV38" s="332"/>
      <c r="DW38" s="332"/>
      <c r="DX38" s="332"/>
      <c r="DY38" s="332"/>
      <c r="DZ38" s="332"/>
      <c r="EA38" s="149"/>
      <c r="EB38" s="149"/>
      <c r="EC38" s="332"/>
      <c r="ED38" s="332"/>
      <c r="EE38" s="332"/>
      <c r="EF38" s="332"/>
      <c r="EG38" s="332"/>
      <c r="EH38" s="332"/>
      <c r="EI38" s="332"/>
      <c r="EJ38" s="332"/>
      <c r="EK38" s="332"/>
      <c r="EL38" s="332"/>
      <c r="EM38" s="332"/>
      <c r="EN38" s="149"/>
      <c r="EO38" s="149"/>
      <c r="EP38" s="332"/>
      <c r="EQ38" s="332"/>
      <c r="ER38" s="332"/>
      <c r="ES38" s="332"/>
      <c r="ET38" s="332"/>
      <c r="EU38" s="332"/>
      <c r="EV38" s="332"/>
      <c r="EW38" s="332"/>
      <c r="EX38" s="332"/>
      <c r="EY38" s="332"/>
      <c r="EZ38" s="332"/>
      <c r="FA38" s="149"/>
      <c r="FB38" s="149"/>
      <c r="FC38" s="332"/>
      <c r="FD38" s="332"/>
      <c r="FE38" s="332"/>
      <c r="FF38" s="332"/>
      <c r="FG38" s="332"/>
      <c r="FH38" s="332"/>
      <c r="FI38" s="332"/>
      <c r="FJ38" s="332"/>
      <c r="FK38" s="332"/>
      <c r="FL38" s="332"/>
      <c r="FM38" s="332"/>
      <c r="FN38" s="149"/>
      <c r="FO38" s="149"/>
      <c r="FP38" s="332"/>
      <c r="FQ38" s="332"/>
      <c r="FR38" s="332"/>
      <c r="FS38" s="332"/>
      <c r="FT38" s="332"/>
      <c r="FU38" s="332"/>
      <c r="FV38" s="332"/>
      <c r="FW38" s="332"/>
      <c r="FX38" s="332"/>
      <c r="FY38" s="332"/>
      <c r="FZ38" s="332"/>
      <c r="GA38" s="149"/>
      <c r="GB38" s="149"/>
      <c r="GC38" s="332"/>
      <c r="GD38" s="332"/>
      <c r="GE38" s="332"/>
      <c r="GF38" s="332"/>
      <c r="GG38" s="332"/>
      <c r="GH38" s="332"/>
      <c r="GI38" s="332"/>
      <c r="GJ38" s="332"/>
      <c r="GK38" s="332"/>
      <c r="GL38" s="332"/>
      <c r="GM38" s="332"/>
      <c r="GN38" s="149"/>
      <c r="GO38" s="149"/>
      <c r="GP38" s="332"/>
      <c r="GQ38" s="332"/>
      <c r="GR38" s="332"/>
      <c r="GS38" s="332"/>
      <c r="GT38" s="332"/>
      <c r="GU38" s="332"/>
      <c r="GV38" s="332"/>
      <c r="GW38" s="332"/>
      <c r="GX38" s="332"/>
      <c r="GY38" s="332"/>
      <c r="GZ38" s="332"/>
      <c r="HA38" s="149"/>
      <c r="HB38" s="149"/>
      <c r="HC38" s="332"/>
      <c r="HD38" s="332"/>
      <c r="HE38" s="332"/>
      <c r="HF38" s="332"/>
      <c r="HG38" s="332"/>
      <c r="HH38" s="332"/>
      <c r="HI38" s="332"/>
      <c r="HJ38" s="332"/>
      <c r="HK38" s="332"/>
      <c r="HL38" s="332"/>
      <c r="HM38" s="332"/>
      <c r="HN38" s="149"/>
      <c r="HO38" s="149"/>
      <c r="HP38" s="332"/>
      <c r="HQ38" s="332"/>
      <c r="HR38" s="332"/>
      <c r="HS38" s="332"/>
      <c r="HT38" s="332"/>
      <c r="HU38" s="332"/>
      <c r="HV38" s="332"/>
      <c r="HW38" s="332"/>
      <c r="HX38" s="332"/>
      <c r="HY38" s="332"/>
      <c r="HZ38" s="332"/>
      <c r="IA38" s="149"/>
      <c r="IB38" s="149"/>
      <c r="IC38" s="332"/>
      <c r="ID38" s="332"/>
      <c r="IE38" s="332"/>
      <c r="IF38" s="332"/>
      <c r="IG38" s="332"/>
      <c r="IH38" s="332"/>
      <c r="II38" s="332"/>
      <c r="IJ38" s="332"/>
      <c r="IK38" s="332"/>
      <c r="IL38" s="332"/>
      <c r="IM38" s="332"/>
      <c r="IN38" s="149"/>
      <c r="IO38" s="149"/>
      <c r="IP38" s="332"/>
      <c r="IQ38" s="332"/>
      <c r="IR38" s="332"/>
      <c r="IS38" s="332"/>
      <c r="IT38" s="332"/>
      <c r="IU38" s="332"/>
      <c r="IV38" s="332"/>
    </row>
    <row r="39" spans="1:256" x14ac:dyDescent="0.2">
      <c r="A39" s="158"/>
      <c r="B39" s="149"/>
      <c r="C39" s="332"/>
      <c r="D39" s="332"/>
      <c r="E39" s="332"/>
      <c r="F39" s="332"/>
      <c r="G39" s="332"/>
      <c r="H39" s="332"/>
      <c r="I39" s="332"/>
      <c r="J39" s="332"/>
      <c r="K39" s="332"/>
      <c r="L39" s="332"/>
      <c r="M39" s="333"/>
      <c r="N39" s="152"/>
      <c r="O39" s="152"/>
      <c r="P39" s="337"/>
      <c r="Q39" s="337"/>
      <c r="R39" s="337"/>
      <c r="S39" s="337"/>
      <c r="T39" s="337"/>
      <c r="U39" s="337"/>
      <c r="V39" s="337"/>
      <c r="W39" s="337"/>
      <c r="X39" s="337"/>
      <c r="Y39" s="337"/>
      <c r="Z39" s="337"/>
      <c r="AA39" s="149"/>
      <c r="AB39" s="149"/>
      <c r="AC39" s="332"/>
      <c r="AD39" s="332"/>
      <c r="AE39" s="332"/>
      <c r="AF39" s="332"/>
      <c r="AG39" s="332"/>
      <c r="AH39" s="332"/>
      <c r="AI39" s="332"/>
      <c r="AJ39" s="332"/>
      <c r="AK39" s="332"/>
      <c r="AL39" s="332"/>
      <c r="AM39" s="332"/>
      <c r="AN39" s="149"/>
      <c r="AO39" s="149"/>
      <c r="AP39" s="332"/>
      <c r="AQ39" s="332"/>
      <c r="AR39" s="332"/>
      <c r="AS39" s="332"/>
      <c r="AT39" s="332"/>
      <c r="AU39" s="332"/>
      <c r="AV39" s="332"/>
      <c r="AW39" s="332"/>
      <c r="AX39" s="332"/>
      <c r="AY39" s="332"/>
      <c r="AZ39" s="332"/>
      <c r="BA39" s="149"/>
      <c r="BB39" s="149"/>
      <c r="BC39" s="332"/>
      <c r="BD39" s="332"/>
      <c r="BE39" s="332"/>
      <c r="BF39" s="332"/>
      <c r="BG39" s="332"/>
      <c r="BH39" s="332"/>
      <c r="BI39" s="332"/>
      <c r="BJ39" s="332"/>
      <c r="BK39" s="332"/>
      <c r="BL39" s="332"/>
      <c r="BM39" s="332"/>
      <c r="BN39" s="149"/>
      <c r="BO39" s="149"/>
      <c r="BP39" s="332"/>
      <c r="BQ39" s="332"/>
      <c r="BR39" s="332"/>
      <c r="BS39" s="332"/>
      <c r="BT39" s="332"/>
      <c r="BU39" s="332"/>
      <c r="BV39" s="332"/>
      <c r="BW39" s="332"/>
      <c r="BX39" s="332"/>
      <c r="BY39" s="332"/>
      <c r="BZ39" s="332"/>
      <c r="CA39" s="149"/>
      <c r="CB39" s="149"/>
      <c r="CC39" s="332"/>
      <c r="CD39" s="332"/>
      <c r="CE39" s="332"/>
      <c r="CF39" s="332"/>
      <c r="CG39" s="332"/>
      <c r="CH39" s="332"/>
      <c r="CI39" s="332"/>
      <c r="CJ39" s="332"/>
      <c r="CK39" s="332"/>
      <c r="CL39" s="332"/>
      <c r="CM39" s="332"/>
      <c r="CN39" s="149"/>
      <c r="CO39" s="149"/>
      <c r="CP39" s="332"/>
      <c r="CQ39" s="332"/>
      <c r="CR39" s="332"/>
      <c r="CS39" s="332"/>
      <c r="CT39" s="332"/>
      <c r="CU39" s="332"/>
      <c r="CV39" s="332"/>
      <c r="CW39" s="332"/>
      <c r="CX39" s="332"/>
      <c r="CY39" s="332"/>
      <c r="CZ39" s="332"/>
      <c r="DA39" s="149"/>
      <c r="DB39" s="149"/>
      <c r="DC39" s="332"/>
      <c r="DD39" s="332"/>
      <c r="DE39" s="332"/>
      <c r="DF39" s="332"/>
      <c r="DG39" s="332"/>
      <c r="DH39" s="332"/>
      <c r="DI39" s="332"/>
      <c r="DJ39" s="332"/>
      <c r="DK39" s="332"/>
      <c r="DL39" s="332"/>
      <c r="DM39" s="332"/>
      <c r="DN39" s="149"/>
      <c r="DO39" s="149"/>
      <c r="DP39" s="332"/>
      <c r="DQ39" s="332"/>
      <c r="DR39" s="332"/>
      <c r="DS39" s="332"/>
      <c r="DT39" s="332"/>
      <c r="DU39" s="332"/>
      <c r="DV39" s="332"/>
      <c r="DW39" s="332"/>
      <c r="DX39" s="332"/>
      <c r="DY39" s="332"/>
      <c r="DZ39" s="332"/>
      <c r="EA39" s="149"/>
      <c r="EB39" s="149"/>
      <c r="EC39" s="332"/>
      <c r="ED39" s="332"/>
      <c r="EE39" s="332"/>
      <c r="EF39" s="332"/>
      <c r="EG39" s="332"/>
      <c r="EH39" s="332"/>
      <c r="EI39" s="332"/>
      <c r="EJ39" s="332"/>
      <c r="EK39" s="332"/>
      <c r="EL39" s="332"/>
      <c r="EM39" s="332"/>
      <c r="EN39" s="149"/>
      <c r="EO39" s="149"/>
      <c r="EP39" s="332"/>
      <c r="EQ39" s="332"/>
      <c r="ER39" s="332"/>
      <c r="ES39" s="332"/>
      <c r="ET39" s="332"/>
      <c r="EU39" s="332"/>
      <c r="EV39" s="332"/>
      <c r="EW39" s="332"/>
      <c r="EX39" s="332"/>
      <c r="EY39" s="332"/>
      <c r="EZ39" s="332"/>
      <c r="FA39" s="149"/>
      <c r="FB39" s="149"/>
      <c r="FC39" s="332"/>
      <c r="FD39" s="332"/>
      <c r="FE39" s="332"/>
      <c r="FF39" s="332"/>
      <c r="FG39" s="332"/>
      <c r="FH39" s="332"/>
      <c r="FI39" s="332"/>
      <c r="FJ39" s="332"/>
      <c r="FK39" s="332"/>
      <c r="FL39" s="332"/>
      <c r="FM39" s="332"/>
      <c r="FN39" s="149"/>
      <c r="FO39" s="149"/>
      <c r="FP39" s="332"/>
      <c r="FQ39" s="332"/>
      <c r="FR39" s="332"/>
      <c r="FS39" s="332"/>
      <c r="FT39" s="332"/>
      <c r="FU39" s="332"/>
      <c r="FV39" s="332"/>
      <c r="FW39" s="332"/>
      <c r="FX39" s="332"/>
      <c r="FY39" s="332"/>
      <c r="FZ39" s="332"/>
      <c r="GA39" s="149"/>
      <c r="GB39" s="149"/>
      <c r="GC39" s="332"/>
      <c r="GD39" s="332"/>
      <c r="GE39" s="332"/>
      <c r="GF39" s="332"/>
      <c r="GG39" s="332"/>
      <c r="GH39" s="332"/>
      <c r="GI39" s="332"/>
      <c r="GJ39" s="332"/>
      <c r="GK39" s="332"/>
      <c r="GL39" s="332"/>
      <c r="GM39" s="332"/>
      <c r="GN39" s="149"/>
      <c r="GO39" s="149"/>
      <c r="GP39" s="332"/>
      <c r="GQ39" s="332"/>
      <c r="GR39" s="332"/>
      <c r="GS39" s="332"/>
      <c r="GT39" s="332"/>
      <c r="GU39" s="332"/>
      <c r="GV39" s="332"/>
      <c r="GW39" s="332"/>
      <c r="GX39" s="332"/>
      <c r="GY39" s="332"/>
      <c r="GZ39" s="332"/>
      <c r="HA39" s="149"/>
      <c r="HB39" s="149"/>
      <c r="HC39" s="332"/>
      <c r="HD39" s="332"/>
      <c r="HE39" s="332"/>
      <c r="HF39" s="332"/>
      <c r="HG39" s="332"/>
      <c r="HH39" s="332"/>
      <c r="HI39" s="332"/>
      <c r="HJ39" s="332"/>
      <c r="HK39" s="332"/>
      <c r="HL39" s="332"/>
      <c r="HM39" s="332"/>
      <c r="HN39" s="149"/>
      <c r="HO39" s="149"/>
      <c r="HP39" s="332"/>
      <c r="HQ39" s="332"/>
      <c r="HR39" s="332"/>
      <c r="HS39" s="332"/>
      <c r="HT39" s="332"/>
      <c r="HU39" s="332"/>
      <c r="HV39" s="332"/>
      <c r="HW39" s="332"/>
      <c r="HX39" s="332"/>
      <c r="HY39" s="332"/>
      <c r="HZ39" s="332"/>
      <c r="IA39" s="149"/>
      <c r="IB39" s="149"/>
      <c r="IC39" s="332"/>
      <c r="ID39" s="332"/>
      <c r="IE39" s="332"/>
      <c r="IF39" s="332"/>
      <c r="IG39" s="332"/>
      <c r="IH39" s="332"/>
      <c r="II39" s="332"/>
      <c r="IJ39" s="332"/>
      <c r="IK39" s="332"/>
      <c r="IL39" s="332"/>
      <c r="IM39" s="332"/>
      <c r="IN39" s="149"/>
      <c r="IO39" s="149"/>
      <c r="IP39" s="332"/>
      <c r="IQ39" s="332"/>
      <c r="IR39" s="332"/>
      <c r="IS39" s="332"/>
      <c r="IT39" s="332"/>
      <c r="IU39" s="332"/>
      <c r="IV39" s="332"/>
    </row>
    <row r="40" spans="1:256" x14ac:dyDescent="0.2">
      <c r="A40" s="158"/>
      <c r="B40" s="149"/>
      <c r="C40" s="332"/>
      <c r="D40" s="332"/>
      <c r="E40" s="332"/>
      <c r="F40" s="332"/>
      <c r="G40" s="332"/>
      <c r="H40" s="332"/>
      <c r="I40" s="332"/>
      <c r="J40" s="332"/>
      <c r="K40" s="332"/>
      <c r="L40" s="332"/>
      <c r="M40" s="333"/>
      <c r="N40" s="152"/>
      <c r="O40" s="152"/>
      <c r="P40" s="337"/>
      <c r="Q40" s="337"/>
      <c r="R40" s="337"/>
      <c r="S40" s="337"/>
      <c r="T40" s="337"/>
      <c r="U40" s="337"/>
      <c r="V40" s="337"/>
      <c r="W40" s="337"/>
      <c r="X40" s="337"/>
      <c r="Y40" s="337"/>
      <c r="Z40" s="337"/>
      <c r="AA40" s="149"/>
      <c r="AB40" s="149"/>
      <c r="AC40" s="332"/>
      <c r="AD40" s="332"/>
      <c r="AE40" s="332"/>
      <c r="AF40" s="332"/>
      <c r="AG40" s="332"/>
      <c r="AH40" s="332"/>
      <c r="AI40" s="332"/>
      <c r="AJ40" s="332"/>
      <c r="AK40" s="332"/>
      <c r="AL40" s="332"/>
      <c r="AM40" s="332"/>
      <c r="AN40" s="149"/>
      <c r="AO40" s="149"/>
      <c r="AP40" s="332"/>
      <c r="AQ40" s="332"/>
      <c r="AR40" s="332"/>
      <c r="AS40" s="332"/>
      <c r="AT40" s="332"/>
      <c r="AU40" s="332"/>
      <c r="AV40" s="332"/>
      <c r="AW40" s="332"/>
      <c r="AX40" s="332"/>
      <c r="AY40" s="332"/>
      <c r="AZ40" s="332"/>
      <c r="BA40" s="149"/>
      <c r="BB40" s="149"/>
      <c r="BC40" s="332"/>
      <c r="BD40" s="332"/>
      <c r="BE40" s="332"/>
      <c r="BF40" s="332"/>
      <c r="BG40" s="332"/>
      <c r="BH40" s="332"/>
      <c r="BI40" s="332"/>
      <c r="BJ40" s="332"/>
      <c r="BK40" s="332"/>
      <c r="BL40" s="332"/>
      <c r="BM40" s="332"/>
      <c r="BN40" s="149"/>
      <c r="BO40" s="149"/>
      <c r="BP40" s="332"/>
      <c r="BQ40" s="332"/>
      <c r="BR40" s="332"/>
      <c r="BS40" s="332"/>
      <c r="BT40" s="332"/>
      <c r="BU40" s="332"/>
      <c r="BV40" s="332"/>
      <c r="BW40" s="332"/>
      <c r="BX40" s="332"/>
      <c r="BY40" s="332"/>
      <c r="BZ40" s="332"/>
      <c r="CA40" s="149"/>
      <c r="CB40" s="149"/>
      <c r="CC40" s="332"/>
      <c r="CD40" s="332"/>
      <c r="CE40" s="332"/>
      <c r="CF40" s="332"/>
      <c r="CG40" s="332"/>
      <c r="CH40" s="332"/>
      <c r="CI40" s="332"/>
      <c r="CJ40" s="332"/>
      <c r="CK40" s="332"/>
      <c r="CL40" s="332"/>
      <c r="CM40" s="332"/>
      <c r="CN40" s="149"/>
      <c r="CO40" s="149"/>
      <c r="CP40" s="332"/>
      <c r="CQ40" s="332"/>
      <c r="CR40" s="332"/>
      <c r="CS40" s="332"/>
      <c r="CT40" s="332"/>
      <c r="CU40" s="332"/>
      <c r="CV40" s="332"/>
      <c r="CW40" s="332"/>
      <c r="CX40" s="332"/>
      <c r="CY40" s="332"/>
      <c r="CZ40" s="332"/>
      <c r="DA40" s="149"/>
      <c r="DB40" s="149"/>
      <c r="DC40" s="332"/>
      <c r="DD40" s="332"/>
      <c r="DE40" s="332"/>
      <c r="DF40" s="332"/>
      <c r="DG40" s="332"/>
      <c r="DH40" s="332"/>
      <c r="DI40" s="332"/>
      <c r="DJ40" s="332"/>
      <c r="DK40" s="332"/>
      <c r="DL40" s="332"/>
      <c r="DM40" s="332"/>
      <c r="DN40" s="149"/>
      <c r="DO40" s="149"/>
      <c r="DP40" s="332"/>
      <c r="DQ40" s="332"/>
      <c r="DR40" s="332"/>
      <c r="DS40" s="332"/>
      <c r="DT40" s="332"/>
      <c r="DU40" s="332"/>
      <c r="DV40" s="332"/>
      <c r="DW40" s="332"/>
      <c r="DX40" s="332"/>
      <c r="DY40" s="332"/>
      <c r="DZ40" s="332"/>
      <c r="EA40" s="149"/>
      <c r="EB40" s="149"/>
      <c r="EC40" s="332"/>
      <c r="ED40" s="332"/>
      <c r="EE40" s="332"/>
      <c r="EF40" s="332"/>
      <c r="EG40" s="332"/>
      <c r="EH40" s="332"/>
      <c r="EI40" s="332"/>
      <c r="EJ40" s="332"/>
      <c r="EK40" s="332"/>
      <c r="EL40" s="332"/>
      <c r="EM40" s="332"/>
      <c r="EN40" s="149"/>
      <c r="EO40" s="149"/>
      <c r="EP40" s="332"/>
      <c r="EQ40" s="332"/>
      <c r="ER40" s="332"/>
      <c r="ES40" s="332"/>
      <c r="ET40" s="332"/>
      <c r="EU40" s="332"/>
      <c r="EV40" s="332"/>
      <c r="EW40" s="332"/>
      <c r="EX40" s="332"/>
      <c r="EY40" s="332"/>
      <c r="EZ40" s="332"/>
      <c r="FA40" s="149"/>
      <c r="FB40" s="149"/>
      <c r="FC40" s="332"/>
      <c r="FD40" s="332"/>
      <c r="FE40" s="332"/>
      <c r="FF40" s="332"/>
      <c r="FG40" s="332"/>
      <c r="FH40" s="332"/>
      <c r="FI40" s="332"/>
      <c r="FJ40" s="332"/>
      <c r="FK40" s="332"/>
      <c r="FL40" s="332"/>
      <c r="FM40" s="332"/>
      <c r="FN40" s="149"/>
      <c r="FO40" s="149"/>
      <c r="FP40" s="332"/>
      <c r="FQ40" s="332"/>
      <c r="FR40" s="332"/>
      <c r="FS40" s="332"/>
      <c r="FT40" s="332"/>
      <c r="FU40" s="332"/>
      <c r="FV40" s="332"/>
      <c r="FW40" s="332"/>
      <c r="FX40" s="332"/>
      <c r="FY40" s="332"/>
      <c r="FZ40" s="332"/>
      <c r="GA40" s="149"/>
      <c r="GB40" s="149"/>
      <c r="GC40" s="332"/>
      <c r="GD40" s="332"/>
      <c r="GE40" s="332"/>
      <c r="GF40" s="332"/>
      <c r="GG40" s="332"/>
      <c r="GH40" s="332"/>
      <c r="GI40" s="332"/>
      <c r="GJ40" s="332"/>
      <c r="GK40" s="332"/>
      <c r="GL40" s="332"/>
      <c r="GM40" s="332"/>
      <c r="GN40" s="149"/>
      <c r="GO40" s="149"/>
      <c r="GP40" s="332"/>
      <c r="GQ40" s="332"/>
      <c r="GR40" s="332"/>
      <c r="GS40" s="332"/>
      <c r="GT40" s="332"/>
      <c r="GU40" s="332"/>
      <c r="GV40" s="332"/>
      <c r="GW40" s="332"/>
      <c r="GX40" s="332"/>
      <c r="GY40" s="332"/>
      <c r="GZ40" s="332"/>
      <c r="HA40" s="149"/>
      <c r="HB40" s="149"/>
      <c r="HC40" s="332"/>
      <c r="HD40" s="332"/>
      <c r="HE40" s="332"/>
      <c r="HF40" s="332"/>
      <c r="HG40" s="332"/>
      <c r="HH40" s="332"/>
      <c r="HI40" s="332"/>
      <c r="HJ40" s="332"/>
      <c r="HK40" s="332"/>
      <c r="HL40" s="332"/>
      <c r="HM40" s="332"/>
      <c r="HN40" s="149"/>
      <c r="HO40" s="149"/>
      <c r="HP40" s="332"/>
      <c r="HQ40" s="332"/>
      <c r="HR40" s="332"/>
      <c r="HS40" s="332"/>
      <c r="HT40" s="332"/>
      <c r="HU40" s="332"/>
      <c r="HV40" s="332"/>
      <c r="HW40" s="332"/>
      <c r="HX40" s="332"/>
      <c r="HY40" s="332"/>
      <c r="HZ40" s="332"/>
      <c r="IA40" s="149"/>
      <c r="IB40" s="149"/>
      <c r="IC40" s="332"/>
      <c r="ID40" s="332"/>
      <c r="IE40" s="332"/>
      <c r="IF40" s="332"/>
      <c r="IG40" s="332"/>
      <c r="IH40" s="332"/>
      <c r="II40" s="332"/>
      <c r="IJ40" s="332"/>
      <c r="IK40" s="332"/>
      <c r="IL40" s="332"/>
      <c r="IM40" s="332"/>
      <c r="IN40" s="149"/>
      <c r="IO40" s="149"/>
      <c r="IP40" s="332"/>
      <c r="IQ40" s="332"/>
      <c r="IR40" s="332"/>
      <c r="IS40" s="332"/>
      <c r="IT40" s="332"/>
      <c r="IU40" s="332"/>
      <c r="IV40" s="332"/>
    </row>
    <row r="41" spans="1:256" x14ac:dyDescent="0.2">
      <c r="A41" s="158"/>
      <c r="B41" s="149"/>
      <c r="C41" s="332"/>
      <c r="D41" s="332"/>
      <c r="E41" s="332"/>
      <c r="F41" s="332"/>
      <c r="G41" s="332"/>
      <c r="H41" s="332"/>
      <c r="I41" s="332"/>
      <c r="J41" s="332"/>
      <c r="K41" s="332"/>
      <c r="L41" s="332"/>
      <c r="M41" s="333"/>
      <c r="N41" s="152"/>
      <c r="O41" s="152"/>
      <c r="P41" s="161"/>
      <c r="Q41" s="161"/>
      <c r="R41" s="161"/>
      <c r="S41" s="161"/>
      <c r="T41" s="161"/>
      <c r="U41" s="161"/>
      <c r="V41" s="161"/>
      <c r="W41" s="161"/>
      <c r="X41" s="161"/>
      <c r="Y41" s="161"/>
      <c r="Z41" s="161"/>
      <c r="AA41" s="149"/>
      <c r="AB41" s="149"/>
      <c r="AC41" s="153"/>
      <c r="AD41" s="153"/>
      <c r="AE41" s="153"/>
      <c r="AF41" s="153"/>
      <c r="AG41" s="153"/>
      <c r="AH41" s="153"/>
      <c r="AI41" s="153"/>
      <c r="AJ41" s="153"/>
      <c r="AK41" s="153"/>
      <c r="AL41" s="153"/>
      <c r="AM41" s="153"/>
      <c r="AN41" s="149"/>
      <c r="AO41" s="149"/>
      <c r="AP41" s="153"/>
      <c r="AQ41" s="153"/>
      <c r="AR41" s="153"/>
      <c r="AS41" s="153"/>
      <c r="AT41" s="153"/>
      <c r="AU41" s="153"/>
      <c r="AV41" s="153"/>
      <c r="AW41" s="153"/>
      <c r="AX41" s="153"/>
      <c r="AY41" s="153"/>
      <c r="AZ41" s="153"/>
      <c r="BA41" s="149"/>
      <c r="BB41" s="149"/>
      <c r="BC41" s="153"/>
      <c r="BD41" s="153"/>
      <c r="BE41" s="153"/>
      <c r="BF41" s="153"/>
      <c r="BG41" s="153"/>
      <c r="BH41" s="153"/>
      <c r="BI41" s="153"/>
      <c r="BJ41" s="153"/>
      <c r="BK41" s="153"/>
      <c r="BL41" s="153"/>
      <c r="BM41" s="153"/>
      <c r="BN41" s="149"/>
      <c r="BO41" s="149"/>
      <c r="BP41" s="153"/>
      <c r="BQ41" s="153"/>
      <c r="BR41" s="153"/>
      <c r="BS41" s="153"/>
      <c r="BT41" s="153"/>
      <c r="BU41" s="153"/>
      <c r="BV41" s="153"/>
      <c r="BW41" s="153"/>
      <c r="BX41" s="153"/>
      <c r="BY41" s="153"/>
      <c r="BZ41" s="153"/>
      <c r="CA41" s="149"/>
      <c r="CB41" s="149"/>
      <c r="CC41" s="153"/>
      <c r="CD41" s="153"/>
      <c r="CE41" s="153"/>
      <c r="CF41" s="153"/>
      <c r="CG41" s="153"/>
      <c r="CH41" s="153"/>
      <c r="CI41" s="153"/>
      <c r="CJ41" s="153"/>
      <c r="CK41" s="153"/>
      <c r="CL41" s="153"/>
      <c r="CM41" s="153"/>
      <c r="CN41" s="149"/>
      <c r="CO41" s="149"/>
      <c r="CP41" s="153"/>
      <c r="CQ41" s="153"/>
      <c r="CR41" s="153"/>
      <c r="CS41" s="153"/>
      <c r="CT41" s="153"/>
      <c r="CU41" s="153"/>
      <c r="CV41" s="153"/>
      <c r="CW41" s="153"/>
      <c r="CX41" s="153"/>
      <c r="CY41" s="153"/>
      <c r="CZ41" s="153"/>
      <c r="DA41" s="149"/>
      <c r="DB41" s="149"/>
      <c r="DC41" s="153"/>
      <c r="DD41" s="153"/>
      <c r="DE41" s="153"/>
      <c r="DF41" s="153"/>
      <c r="DG41" s="153"/>
      <c r="DH41" s="153"/>
      <c r="DI41" s="153"/>
      <c r="DJ41" s="153"/>
      <c r="DK41" s="153"/>
      <c r="DL41" s="153"/>
      <c r="DM41" s="153"/>
      <c r="DN41" s="149"/>
      <c r="DO41" s="149"/>
      <c r="DP41" s="153"/>
      <c r="DQ41" s="153"/>
      <c r="DR41" s="153"/>
      <c r="DS41" s="153"/>
      <c r="DT41" s="153"/>
      <c r="DU41" s="153"/>
      <c r="DV41" s="153"/>
      <c r="DW41" s="153"/>
      <c r="DX41" s="153"/>
      <c r="DY41" s="153"/>
      <c r="DZ41" s="153"/>
      <c r="EA41" s="149"/>
      <c r="EB41" s="149"/>
      <c r="EC41" s="153"/>
      <c r="ED41" s="153"/>
      <c r="EE41" s="153"/>
      <c r="EF41" s="153"/>
      <c r="EG41" s="153"/>
      <c r="EH41" s="153"/>
      <c r="EI41" s="153"/>
      <c r="EJ41" s="153"/>
      <c r="EK41" s="153"/>
      <c r="EL41" s="153"/>
      <c r="EM41" s="153"/>
      <c r="EN41" s="149"/>
      <c r="EO41" s="149"/>
      <c r="EP41" s="153"/>
      <c r="EQ41" s="153"/>
      <c r="ER41" s="153"/>
      <c r="ES41" s="153"/>
      <c r="ET41" s="153"/>
      <c r="EU41" s="153"/>
      <c r="EV41" s="153"/>
      <c r="EW41" s="153"/>
      <c r="EX41" s="153"/>
      <c r="EY41" s="153"/>
      <c r="EZ41" s="153"/>
      <c r="FA41" s="149"/>
      <c r="FB41" s="149"/>
      <c r="FC41" s="153"/>
      <c r="FD41" s="153"/>
      <c r="FE41" s="153"/>
      <c r="FF41" s="153"/>
      <c r="FG41" s="153"/>
      <c r="FH41" s="153"/>
      <c r="FI41" s="153"/>
      <c r="FJ41" s="153"/>
      <c r="FK41" s="153"/>
      <c r="FL41" s="153"/>
      <c r="FM41" s="153"/>
      <c r="FN41" s="149"/>
      <c r="FO41" s="149"/>
      <c r="FP41" s="153"/>
      <c r="FQ41" s="153"/>
      <c r="FR41" s="153"/>
      <c r="FS41" s="153"/>
      <c r="FT41" s="153"/>
      <c r="FU41" s="153"/>
      <c r="FV41" s="153"/>
      <c r="FW41" s="153"/>
      <c r="FX41" s="153"/>
      <c r="FY41" s="153"/>
      <c r="FZ41" s="153"/>
      <c r="GA41" s="149"/>
      <c r="GB41" s="149"/>
      <c r="GC41" s="153"/>
      <c r="GD41" s="153"/>
      <c r="GE41" s="153"/>
      <c r="GF41" s="153"/>
      <c r="GG41" s="153"/>
      <c r="GH41" s="153"/>
      <c r="GI41" s="153"/>
      <c r="GJ41" s="153"/>
      <c r="GK41" s="153"/>
      <c r="GL41" s="153"/>
      <c r="GM41" s="153"/>
      <c r="GN41" s="149"/>
      <c r="GO41" s="149"/>
      <c r="GP41" s="153"/>
      <c r="GQ41" s="153"/>
      <c r="GR41" s="153"/>
      <c r="GS41" s="153"/>
      <c r="GT41" s="153"/>
      <c r="GU41" s="153"/>
      <c r="GV41" s="153"/>
      <c r="GW41" s="153"/>
      <c r="GX41" s="153"/>
      <c r="GY41" s="153"/>
      <c r="GZ41" s="153"/>
      <c r="HA41" s="149"/>
      <c r="HB41" s="149"/>
      <c r="HC41" s="153"/>
      <c r="HD41" s="153"/>
      <c r="HE41" s="153"/>
      <c r="HF41" s="153"/>
      <c r="HG41" s="153"/>
      <c r="HH41" s="153"/>
      <c r="HI41" s="153"/>
      <c r="HJ41" s="153"/>
      <c r="HK41" s="153"/>
      <c r="HL41" s="153"/>
      <c r="HM41" s="153"/>
      <c r="HN41" s="149"/>
      <c r="HO41" s="149"/>
      <c r="HP41" s="153"/>
      <c r="HQ41" s="153"/>
      <c r="HR41" s="153"/>
      <c r="HS41" s="153"/>
      <c r="HT41" s="153"/>
      <c r="HU41" s="153"/>
      <c r="HV41" s="153"/>
      <c r="HW41" s="153"/>
      <c r="HX41" s="153"/>
      <c r="HY41" s="153"/>
      <c r="HZ41" s="153"/>
      <c r="IA41" s="149"/>
      <c r="IB41" s="149"/>
      <c r="IC41" s="153"/>
      <c r="ID41" s="153"/>
      <c r="IE41" s="153"/>
      <c r="IF41" s="153"/>
      <c r="IG41" s="153"/>
      <c r="IH41" s="153"/>
      <c r="II41" s="153"/>
      <c r="IJ41" s="153"/>
      <c r="IK41" s="153"/>
      <c r="IL41" s="153"/>
      <c r="IM41" s="153"/>
      <c r="IN41" s="149"/>
      <c r="IO41" s="149"/>
      <c r="IP41" s="153"/>
      <c r="IQ41" s="153"/>
      <c r="IR41" s="153"/>
      <c r="IS41" s="153"/>
      <c r="IT41" s="153"/>
      <c r="IU41" s="153"/>
      <c r="IV41" s="153"/>
    </row>
    <row r="42" spans="1:256" x14ac:dyDescent="0.2">
      <c r="A42" s="158"/>
      <c r="B42" s="149"/>
      <c r="C42" s="332"/>
      <c r="D42" s="332"/>
      <c r="E42" s="332"/>
      <c r="F42" s="332"/>
      <c r="G42" s="332"/>
      <c r="H42" s="332"/>
      <c r="I42" s="332"/>
      <c r="J42" s="332"/>
      <c r="K42" s="332"/>
      <c r="L42" s="332"/>
      <c r="M42" s="333"/>
      <c r="N42" s="152"/>
      <c r="O42" s="152"/>
      <c r="P42" s="161"/>
      <c r="Q42" s="161"/>
      <c r="R42" s="161"/>
      <c r="S42" s="161"/>
      <c r="T42" s="161"/>
      <c r="U42" s="161"/>
      <c r="V42" s="161"/>
      <c r="W42" s="161"/>
      <c r="X42" s="161"/>
      <c r="Y42" s="161"/>
      <c r="Z42" s="161"/>
      <c r="AA42" s="149"/>
      <c r="AB42" s="149"/>
      <c r="AC42" s="153"/>
      <c r="AD42" s="153"/>
      <c r="AE42" s="153"/>
      <c r="AF42" s="153"/>
      <c r="AG42" s="153"/>
      <c r="AH42" s="153"/>
      <c r="AI42" s="153"/>
      <c r="AJ42" s="153"/>
      <c r="AK42" s="153"/>
      <c r="AL42" s="153"/>
      <c r="AM42" s="153"/>
      <c r="AN42" s="149"/>
      <c r="AO42" s="149"/>
      <c r="AP42" s="153"/>
      <c r="AQ42" s="153"/>
      <c r="AR42" s="153"/>
      <c r="AS42" s="153"/>
      <c r="AT42" s="153"/>
      <c r="AU42" s="153"/>
      <c r="AV42" s="153"/>
      <c r="AW42" s="153"/>
      <c r="AX42" s="153"/>
      <c r="AY42" s="153"/>
      <c r="AZ42" s="153"/>
      <c r="BA42" s="149"/>
      <c r="BB42" s="149"/>
      <c r="BC42" s="153"/>
      <c r="BD42" s="153"/>
      <c r="BE42" s="153"/>
      <c r="BF42" s="153"/>
      <c r="BG42" s="153"/>
      <c r="BH42" s="153"/>
      <c r="BI42" s="153"/>
      <c r="BJ42" s="153"/>
      <c r="BK42" s="153"/>
      <c r="BL42" s="153"/>
      <c r="BM42" s="153"/>
      <c r="BN42" s="149"/>
      <c r="BO42" s="149"/>
      <c r="BP42" s="153"/>
      <c r="BQ42" s="153"/>
      <c r="BR42" s="153"/>
      <c r="BS42" s="153"/>
      <c r="BT42" s="153"/>
      <c r="BU42" s="153"/>
      <c r="BV42" s="153"/>
      <c r="BW42" s="153"/>
      <c r="BX42" s="153"/>
      <c r="BY42" s="153"/>
      <c r="BZ42" s="153"/>
      <c r="CA42" s="149"/>
      <c r="CB42" s="149"/>
      <c r="CC42" s="153"/>
      <c r="CD42" s="153"/>
      <c r="CE42" s="153"/>
      <c r="CF42" s="153"/>
      <c r="CG42" s="153"/>
      <c r="CH42" s="153"/>
      <c r="CI42" s="153"/>
      <c r="CJ42" s="153"/>
      <c r="CK42" s="153"/>
      <c r="CL42" s="153"/>
      <c r="CM42" s="153"/>
      <c r="CN42" s="149"/>
      <c r="CO42" s="149"/>
      <c r="CP42" s="153"/>
      <c r="CQ42" s="153"/>
      <c r="CR42" s="153"/>
      <c r="CS42" s="153"/>
      <c r="CT42" s="153"/>
      <c r="CU42" s="153"/>
      <c r="CV42" s="153"/>
      <c r="CW42" s="153"/>
      <c r="CX42" s="153"/>
      <c r="CY42" s="153"/>
      <c r="CZ42" s="153"/>
      <c r="DA42" s="149"/>
      <c r="DB42" s="149"/>
      <c r="DC42" s="153"/>
      <c r="DD42" s="153"/>
      <c r="DE42" s="153"/>
      <c r="DF42" s="153"/>
      <c r="DG42" s="153"/>
      <c r="DH42" s="153"/>
      <c r="DI42" s="153"/>
      <c r="DJ42" s="153"/>
      <c r="DK42" s="153"/>
      <c r="DL42" s="153"/>
      <c r="DM42" s="153"/>
      <c r="DN42" s="149"/>
      <c r="DO42" s="149"/>
      <c r="DP42" s="153"/>
      <c r="DQ42" s="153"/>
      <c r="DR42" s="153"/>
      <c r="DS42" s="153"/>
      <c r="DT42" s="153"/>
      <c r="DU42" s="153"/>
      <c r="DV42" s="153"/>
      <c r="DW42" s="153"/>
      <c r="DX42" s="153"/>
      <c r="DY42" s="153"/>
      <c r="DZ42" s="153"/>
      <c r="EA42" s="149"/>
      <c r="EB42" s="149"/>
      <c r="EC42" s="153"/>
      <c r="ED42" s="153"/>
      <c r="EE42" s="153"/>
      <c r="EF42" s="153"/>
      <c r="EG42" s="153"/>
      <c r="EH42" s="153"/>
      <c r="EI42" s="153"/>
      <c r="EJ42" s="153"/>
      <c r="EK42" s="153"/>
      <c r="EL42" s="153"/>
      <c r="EM42" s="153"/>
      <c r="EN42" s="149"/>
      <c r="EO42" s="149"/>
      <c r="EP42" s="153"/>
      <c r="EQ42" s="153"/>
      <c r="ER42" s="153"/>
      <c r="ES42" s="153"/>
      <c r="ET42" s="153"/>
      <c r="EU42" s="153"/>
      <c r="EV42" s="153"/>
      <c r="EW42" s="153"/>
      <c r="EX42" s="153"/>
      <c r="EY42" s="153"/>
      <c r="EZ42" s="153"/>
      <c r="FA42" s="149"/>
      <c r="FB42" s="149"/>
      <c r="FC42" s="153"/>
      <c r="FD42" s="153"/>
      <c r="FE42" s="153"/>
      <c r="FF42" s="153"/>
      <c r="FG42" s="153"/>
      <c r="FH42" s="153"/>
      <c r="FI42" s="153"/>
      <c r="FJ42" s="153"/>
      <c r="FK42" s="153"/>
      <c r="FL42" s="153"/>
      <c r="FM42" s="153"/>
      <c r="FN42" s="149"/>
      <c r="FO42" s="149"/>
      <c r="FP42" s="153"/>
      <c r="FQ42" s="153"/>
      <c r="FR42" s="153"/>
      <c r="FS42" s="153"/>
      <c r="FT42" s="153"/>
      <c r="FU42" s="153"/>
      <c r="FV42" s="153"/>
      <c r="FW42" s="153"/>
      <c r="FX42" s="153"/>
      <c r="FY42" s="153"/>
      <c r="FZ42" s="153"/>
      <c r="GA42" s="149"/>
      <c r="GB42" s="149"/>
      <c r="GC42" s="153"/>
      <c r="GD42" s="153"/>
      <c r="GE42" s="153"/>
      <c r="GF42" s="153"/>
      <c r="GG42" s="153"/>
      <c r="GH42" s="153"/>
      <c r="GI42" s="153"/>
      <c r="GJ42" s="153"/>
      <c r="GK42" s="153"/>
      <c r="GL42" s="153"/>
      <c r="GM42" s="153"/>
      <c r="GN42" s="149"/>
      <c r="GO42" s="149"/>
      <c r="GP42" s="153"/>
      <c r="GQ42" s="153"/>
      <c r="GR42" s="153"/>
      <c r="GS42" s="153"/>
      <c r="GT42" s="153"/>
      <c r="GU42" s="153"/>
      <c r="GV42" s="153"/>
      <c r="GW42" s="153"/>
      <c r="GX42" s="153"/>
      <c r="GY42" s="153"/>
      <c r="GZ42" s="153"/>
      <c r="HA42" s="149"/>
      <c r="HB42" s="149"/>
      <c r="HC42" s="153"/>
      <c r="HD42" s="153"/>
      <c r="HE42" s="153"/>
      <c r="HF42" s="153"/>
      <c r="HG42" s="153"/>
      <c r="HH42" s="153"/>
      <c r="HI42" s="153"/>
      <c r="HJ42" s="153"/>
      <c r="HK42" s="153"/>
      <c r="HL42" s="153"/>
      <c r="HM42" s="153"/>
      <c r="HN42" s="149"/>
      <c r="HO42" s="149"/>
      <c r="HP42" s="153"/>
      <c r="HQ42" s="153"/>
      <c r="HR42" s="153"/>
      <c r="HS42" s="153"/>
      <c r="HT42" s="153"/>
      <c r="HU42" s="153"/>
      <c r="HV42" s="153"/>
      <c r="HW42" s="153"/>
      <c r="HX42" s="153"/>
      <c r="HY42" s="153"/>
      <c r="HZ42" s="153"/>
      <c r="IA42" s="149"/>
      <c r="IB42" s="149"/>
      <c r="IC42" s="153"/>
      <c r="ID42" s="153"/>
      <c r="IE42" s="153"/>
      <c r="IF42" s="153"/>
      <c r="IG42" s="153"/>
      <c r="IH42" s="153"/>
      <c r="II42" s="153"/>
      <c r="IJ42" s="153"/>
      <c r="IK42" s="153"/>
      <c r="IL42" s="153"/>
      <c r="IM42" s="153"/>
      <c r="IN42" s="149"/>
      <c r="IO42" s="149"/>
      <c r="IP42" s="153"/>
      <c r="IQ42" s="153"/>
      <c r="IR42" s="153"/>
      <c r="IS42" s="153"/>
      <c r="IT42" s="153"/>
      <c r="IU42" s="153"/>
      <c r="IV42" s="153"/>
    </row>
    <row r="43" spans="1:256" x14ac:dyDescent="0.2">
      <c r="A43" s="158"/>
      <c r="B43" s="149"/>
      <c r="C43" s="332"/>
      <c r="D43" s="332"/>
      <c r="E43" s="332"/>
      <c r="F43" s="332"/>
      <c r="G43" s="332"/>
      <c r="H43" s="332"/>
      <c r="I43" s="332"/>
      <c r="J43" s="332"/>
      <c r="K43" s="332"/>
      <c r="L43" s="332"/>
      <c r="M43" s="333"/>
      <c r="N43" s="152"/>
      <c r="O43" s="152"/>
      <c r="P43" s="161"/>
      <c r="Q43" s="161"/>
      <c r="R43" s="161"/>
      <c r="S43" s="161"/>
      <c r="T43" s="161"/>
      <c r="U43" s="161"/>
      <c r="V43" s="161"/>
      <c r="W43" s="161"/>
      <c r="X43" s="161"/>
      <c r="Y43" s="161"/>
      <c r="Z43" s="161"/>
      <c r="AA43" s="149"/>
      <c r="AB43" s="149"/>
      <c r="AC43" s="153"/>
      <c r="AD43" s="153"/>
      <c r="AE43" s="153"/>
      <c r="AF43" s="153"/>
      <c r="AG43" s="153"/>
      <c r="AH43" s="153"/>
      <c r="AI43" s="153"/>
      <c r="AJ43" s="153"/>
      <c r="AK43" s="153"/>
      <c r="AL43" s="153"/>
      <c r="AM43" s="153"/>
      <c r="AN43" s="149"/>
      <c r="AO43" s="149"/>
      <c r="AP43" s="153"/>
      <c r="AQ43" s="153"/>
      <c r="AR43" s="153"/>
      <c r="AS43" s="153"/>
      <c r="AT43" s="153"/>
      <c r="AU43" s="153"/>
      <c r="AV43" s="153"/>
      <c r="AW43" s="153"/>
      <c r="AX43" s="153"/>
      <c r="AY43" s="153"/>
      <c r="AZ43" s="153"/>
      <c r="BA43" s="149"/>
      <c r="BB43" s="149"/>
      <c r="BC43" s="153"/>
      <c r="BD43" s="153"/>
      <c r="BE43" s="153"/>
      <c r="BF43" s="153"/>
      <c r="BG43" s="153"/>
      <c r="BH43" s="153"/>
      <c r="BI43" s="153"/>
      <c r="BJ43" s="153"/>
      <c r="BK43" s="153"/>
      <c r="BL43" s="153"/>
      <c r="BM43" s="153"/>
      <c r="BN43" s="149"/>
      <c r="BO43" s="149"/>
      <c r="BP43" s="153"/>
      <c r="BQ43" s="153"/>
      <c r="BR43" s="153"/>
      <c r="BS43" s="153"/>
      <c r="BT43" s="153"/>
      <c r="BU43" s="153"/>
      <c r="BV43" s="153"/>
      <c r="BW43" s="153"/>
      <c r="BX43" s="153"/>
      <c r="BY43" s="153"/>
      <c r="BZ43" s="153"/>
      <c r="CA43" s="149"/>
      <c r="CB43" s="149"/>
      <c r="CC43" s="153"/>
      <c r="CD43" s="153"/>
      <c r="CE43" s="153"/>
      <c r="CF43" s="153"/>
      <c r="CG43" s="153"/>
      <c r="CH43" s="153"/>
      <c r="CI43" s="153"/>
      <c r="CJ43" s="153"/>
      <c r="CK43" s="153"/>
      <c r="CL43" s="153"/>
      <c r="CM43" s="153"/>
      <c r="CN43" s="149"/>
      <c r="CO43" s="149"/>
      <c r="CP43" s="153"/>
      <c r="CQ43" s="153"/>
      <c r="CR43" s="153"/>
      <c r="CS43" s="153"/>
      <c r="CT43" s="153"/>
      <c r="CU43" s="153"/>
      <c r="CV43" s="153"/>
      <c r="CW43" s="153"/>
      <c r="CX43" s="153"/>
      <c r="CY43" s="153"/>
      <c r="CZ43" s="153"/>
      <c r="DA43" s="149"/>
      <c r="DB43" s="149"/>
      <c r="DC43" s="153"/>
      <c r="DD43" s="153"/>
      <c r="DE43" s="153"/>
      <c r="DF43" s="153"/>
      <c r="DG43" s="153"/>
      <c r="DH43" s="153"/>
      <c r="DI43" s="153"/>
      <c r="DJ43" s="153"/>
      <c r="DK43" s="153"/>
      <c r="DL43" s="153"/>
      <c r="DM43" s="153"/>
      <c r="DN43" s="149"/>
      <c r="DO43" s="149"/>
      <c r="DP43" s="153"/>
      <c r="DQ43" s="153"/>
      <c r="DR43" s="153"/>
      <c r="DS43" s="153"/>
      <c r="DT43" s="153"/>
      <c r="DU43" s="153"/>
      <c r="DV43" s="153"/>
      <c r="DW43" s="153"/>
      <c r="DX43" s="153"/>
      <c r="DY43" s="153"/>
      <c r="DZ43" s="153"/>
      <c r="EA43" s="149"/>
      <c r="EB43" s="149"/>
      <c r="EC43" s="153"/>
      <c r="ED43" s="153"/>
      <c r="EE43" s="153"/>
      <c r="EF43" s="153"/>
      <c r="EG43" s="153"/>
      <c r="EH43" s="153"/>
      <c r="EI43" s="153"/>
      <c r="EJ43" s="153"/>
      <c r="EK43" s="153"/>
      <c r="EL43" s="153"/>
      <c r="EM43" s="153"/>
      <c r="EN43" s="149"/>
      <c r="EO43" s="149"/>
      <c r="EP43" s="153"/>
      <c r="EQ43" s="153"/>
      <c r="ER43" s="153"/>
      <c r="ES43" s="153"/>
      <c r="ET43" s="153"/>
      <c r="EU43" s="153"/>
      <c r="EV43" s="153"/>
      <c r="EW43" s="153"/>
      <c r="EX43" s="153"/>
      <c r="EY43" s="153"/>
      <c r="EZ43" s="153"/>
      <c r="FA43" s="149"/>
      <c r="FB43" s="149"/>
      <c r="FC43" s="153"/>
      <c r="FD43" s="153"/>
      <c r="FE43" s="153"/>
      <c r="FF43" s="153"/>
      <c r="FG43" s="153"/>
      <c r="FH43" s="153"/>
      <c r="FI43" s="153"/>
      <c r="FJ43" s="153"/>
      <c r="FK43" s="153"/>
      <c r="FL43" s="153"/>
      <c r="FM43" s="153"/>
      <c r="FN43" s="149"/>
      <c r="FO43" s="149"/>
      <c r="FP43" s="153"/>
      <c r="FQ43" s="153"/>
      <c r="FR43" s="153"/>
      <c r="FS43" s="153"/>
      <c r="FT43" s="153"/>
      <c r="FU43" s="153"/>
      <c r="FV43" s="153"/>
      <c r="FW43" s="153"/>
      <c r="FX43" s="153"/>
      <c r="FY43" s="153"/>
      <c r="FZ43" s="153"/>
      <c r="GA43" s="149"/>
      <c r="GB43" s="149"/>
      <c r="GC43" s="153"/>
      <c r="GD43" s="153"/>
      <c r="GE43" s="153"/>
      <c r="GF43" s="153"/>
      <c r="GG43" s="153"/>
      <c r="GH43" s="153"/>
      <c r="GI43" s="153"/>
      <c r="GJ43" s="153"/>
      <c r="GK43" s="153"/>
      <c r="GL43" s="153"/>
      <c r="GM43" s="153"/>
      <c r="GN43" s="149"/>
      <c r="GO43" s="149"/>
      <c r="GP43" s="153"/>
      <c r="GQ43" s="153"/>
      <c r="GR43" s="153"/>
      <c r="GS43" s="153"/>
      <c r="GT43" s="153"/>
      <c r="GU43" s="153"/>
      <c r="GV43" s="153"/>
      <c r="GW43" s="153"/>
      <c r="GX43" s="153"/>
      <c r="GY43" s="153"/>
      <c r="GZ43" s="153"/>
      <c r="HA43" s="149"/>
      <c r="HB43" s="149"/>
      <c r="HC43" s="153"/>
      <c r="HD43" s="153"/>
      <c r="HE43" s="153"/>
      <c r="HF43" s="153"/>
      <c r="HG43" s="153"/>
      <c r="HH43" s="153"/>
      <c r="HI43" s="153"/>
      <c r="HJ43" s="153"/>
      <c r="HK43" s="153"/>
      <c r="HL43" s="153"/>
      <c r="HM43" s="153"/>
      <c r="HN43" s="149"/>
      <c r="HO43" s="149"/>
      <c r="HP43" s="153"/>
      <c r="HQ43" s="153"/>
      <c r="HR43" s="153"/>
      <c r="HS43" s="153"/>
      <c r="HT43" s="153"/>
      <c r="HU43" s="153"/>
      <c r="HV43" s="153"/>
      <c r="HW43" s="153"/>
      <c r="HX43" s="153"/>
      <c r="HY43" s="153"/>
      <c r="HZ43" s="153"/>
      <c r="IA43" s="149"/>
      <c r="IB43" s="149"/>
      <c r="IC43" s="153"/>
      <c r="ID43" s="153"/>
      <c r="IE43" s="153"/>
      <c r="IF43" s="153"/>
      <c r="IG43" s="153"/>
      <c r="IH43" s="153"/>
      <c r="II43" s="153"/>
      <c r="IJ43" s="153"/>
      <c r="IK43" s="153"/>
      <c r="IL43" s="153"/>
      <c r="IM43" s="153"/>
      <c r="IN43" s="149"/>
      <c r="IO43" s="149"/>
      <c r="IP43" s="153"/>
      <c r="IQ43" s="153"/>
      <c r="IR43" s="153"/>
      <c r="IS43" s="153"/>
      <c r="IT43" s="153"/>
      <c r="IU43" s="153"/>
      <c r="IV43" s="153"/>
    </row>
    <row r="44" spans="1:256" x14ac:dyDescent="0.2">
      <c r="A44" s="158"/>
      <c r="B44" s="149"/>
      <c r="C44" s="332"/>
      <c r="D44" s="332"/>
      <c r="E44" s="332"/>
      <c r="F44" s="332"/>
      <c r="G44" s="332"/>
      <c r="H44" s="332"/>
      <c r="I44" s="332"/>
      <c r="J44" s="332"/>
      <c r="K44" s="332"/>
      <c r="L44" s="332"/>
      <c r="M44" s="333"/>
      <c r="N44" s="152"/>
      <c r="O44" s="152"/>
      <c r="P44" s="161"/>
      <c r="Q44" s="161"/>
      <c r="R44" s="161"/>
      <c r="S44" s="161"/>
      <c r="T44" s="161"/>
      <c r="U44" s="161"/>
      <c r="V44" s="161"/>
      <c r="W44" s="161"/>
      <c r="X44" s="161"/>
      <c r="Y44" s="161"/>
      <c r="Z44" s="161"/>
      <c r="AA44" s="149"/>
      <c r="AB44" s="149"/>
      <c r="AC44" s="153"/>
      <c r="AD44" s="153"/>
      <c r="AE44" s="153"/>
      <c r="AF44" s="153"/>
      <c r="AG44" s="153"/>
      <c r="AH44" s="153"/>
      <c r="AI44" s="153"/>
      <c r="AJ44" s="153"/>
      <c r="AK44" s="153"/>
      <c r="AL44" s="153"/>
      <c r="AM44" s="153"/>
      <c r="AN44" s="149"/>
      <c r="AO44" s="149"/>
      <c r="AP44" s="153"/>
      <c r="AQ44" s="153"/>
      <c r="AR44" s="153"/>
      <c r="AS44" s="153"/>
      <c r="AT44" s="153"/>
      <c r="AU44" s="153"/>
      <c r="AV44" s="153"/>
      <c r="AW44" s="153"/>
      <c r="AX44" s="153"/>
      <c r="AY44" s="153"/>
      <c r="AZ44" s="153"/>
      <c r="BA44" s="149"/>
      <c r="BB44" s="149"/>
      <c r="BC44" s="153"/>
      <c r="BD44" s="153"/>
      <c r="BE44" s="153"/>
      <c r="BF44" s="153"/>
      <c r="BG44" s="153"/>
      <c r="BH44" s="153"/>
      <c r="BI44" s="153"/>
      <c r="BJ44" s="153"/>
      <c r="BK44" s="153"/>
      <c r="BL44" s="153"/>
      <c r="BM44" s="153"/>
      <c r="BN44" s="149"/>
      <c r="BO44" s="149"/>
      <c r="BP44" s="153"/>
      <c r="BQ44" s="153"/>
      <c r="BR44" s="153"/>
      <c r="BS44" s="153"/>
      <c r="BT44" s="153"/>
      <c r="BU44" s="153"/>
      <c r="BV44" s="153"/>
      <c r="BW44" s="153"/>
      <c r="BX44" s="153"/>
      <c r="BY44" s="153"/>
      <c r="BZ44" s="153"/>
      <c r="CA44" s="149"/>
      <c r="CB44" s="149"/>
      <c r="CC44" s="153"/>
      <c r="CD44" s="153"/>
      <c r="CE44" s="153"/>
      <c r="CF44" s="153"/>
      <c r="CG44" s="153"/>
      <c r="CH44" s="153"/>
      <c r="CI44" s="153"/>
      <c r="CJ44" s="153"/>
      <c r="CK44" s="153"/>
      <c r="CL44" s="153"/>
      <c r="CM44" s="153"/>
      <c r="CN44" s="149"/>
      <c r="CO44" s="149"/>
      <c r="CP44" s="153"/>
      <c r="CQ44" s="153"/>
      <c r="CR44" s="153"/>
      <c r="CS44" s="153"/>
      <c r="CT44" s="153"/>
      <c r="CU44" s="153"/>
      <c r="CV44" s="153"/>
      <c r="CW44" s="153"/>
      <c r="CX44" s="153"/>
      <c r="CY44" s="153"/>
      <c r="CZ44" s="153"/>
      <c r="DA44" s="149"/>
      <c r="DB44" s="149"/>
      <c r="DC44" s="153"/>
      <c r="DD44" s="153"/>
      <c r="DE44" s="153"/>
      <c r="DF44" s="153"/>
      <c r="DG44" s="153"/>
      <c r="DH44" s="153"/>
      <c r="DI44" s="153"/>
      <c r="DJ44" s="153"/>
      <c r="DK44" s="153"/>
      <c r="DL44" s="153"/>
      <c r="DM44" s="153"/>
      <c r="DN44" s="149"/>
      <c r="DO44" s="149"/>
      <c r="DP44" s="153"/>
      <c r="DQ44" s="153"/>
      <c r="DR44" s="153"/>
      <c r="DS44" s="153"/>
      <c r="DT44" s="153"/>
      <c r="DU44" s="153"/>
      <c r="DV44" s="153"/>
      <c r="DW44" s="153"/>
      <c r="DX44" s="153"/>
      <c r="DY44" s="153"/>
      <c r="DZ44" s="153"/>
      <c r="EA44" s="149"/>
      <c r="EB44" s="149"/>
      <c r="EC44" s="153"/>
      <c r="ED44" s="153"/>
      <c r="EE44" s="153"/>
      <c r="EF44" s="153"/>
      <c r="EG44" s="153"/>
      <c r="EH44" s="153"/>
      <c r="EI44" s="153"/>
      <c r="EJ44" s="153"/>
      <c r="EK44" s="153"/>
      <c r="EL44" s="153"/>
      <c r="EM44" s="153"/>
      <c r="EN44" s="149"/>
      <c r="EO44" s="149"/>
      <c r="EP44" s="153"/>
      <c r="EQ44" s="153"/>
      <c r="ER44" s="153"/>
      <c r="ES44" s="153"/>
      <c r="ET44" s="153"/>
      <c r="EU44" s="153"/>
      <c r="EV44" s="153"/>
      <c r="EW44" s="153"/>
      <c r="EX44" s="153"/>
      <c r="EY44" s="153"/>
      <c r="EZ44" s="153"/>
      <c r="FA44" s="149"/>
      <c r="FB44" s="149"/>
      <c r="FC44" s="153"/>
      <c r="FD44" s="153"/>
      <c r="FE44" s="153"/>
      <c r="FF44" s="153"/>
      <c r="FG44" s="153"/>
      <c r="FH44" s="153"/>
      <c r="FI44" s="153"/>
      <c r="FJ44" s="153"/>
      <c r="FK44" s="153"/>
      <c r="FL44" s="153"/>
      <c r="FM44" s="153"/>
      <c r="FN44" s="149"/>
      <c r="FO44" s="149"/>
      <c r="FP44" s="153"/>
      <c r="FQ44" s="153"/>
      <c r="FR44" s="153"/>
      <c r="FS44" s="153"/>
      <c r="FT44" s="153"/>
      <c r="FU44" s="153"/>
      <c r="FV44" s="153"/>
      <c r="FW44" s="153"/>
      <c r="FX44" s="153"/>
      <c r="FY44" s="153"/>
      <c r="FZ44" s="153"/>
      <c r="GA44" s="149"/>
      <c r="GB44" s="149"/>
      <c r="GC44" s="153"/>
      <c r="GD44" s="153"/>
      <c r="GE44" s="153"/>
      <c r="GF44" s="153"/>
      <c r="GG44" s="153"/>
      <c r="GH44" s="153"/>
      <c r="GI44" s="153"/>
      <c r="GJ44" s="153"/>
      <c r="GK44" s="153"/>
      <c r="GL44" s="153"/>
      <c r="GM44" s="153"/>
      <c r="GN44" s="149"/>
      <c r="GO44" s="149"/>
      <c r="GP44" s="153"/>
      <c r="GQ44" s="153"/>
      <c r="GR44" s="153"/>
      <c r="GS44" s="153"/>
      <c r="GT44" s="153"/>
      <c r="GU44" s="153"/>
      <c r="GV44" s="153"/>
      <c r="GW44" s="153"/>
      <c r="GX44" s="153"/>
      <c r="GY44" s="153"/>
      <c r="GZ44" s="153"/>
      <c r="HA44" s="149"/>
      <c r="HB44" s="149"/>
      <c r="HC44" s="153"/>
      <c r="HD44" s="153"/>
      <c r="HE44" s="153"/>
      <c r="HF44" s="153"/>
      <c r="HG44" s="153"/>
      <c r="HH44" s="153"/>
      <c r="HI44" s="153"/>
      <c r="HJ44" s="153"/>
      <c r="HK44" s="153"/>
      <c r="HL44" s="153"/>
      <c r="HM44" s="153"/>
      <c r="HN44" s="149"/>
      <c r="HO44" s="149"/>
      <c r="HP44" s="153"/>
      <c r="HQ44" s="153"/>
      <c r="HR44" s="153"/>
      <c r="HS44" s="153"/>
      <c r="HT44" s="153"/>
      <c r="HU44" s="153"/>
      <c r="HV44" s="153"/>
      <c r="HW44" s="153"/>
      <c r="HX44" s="153"/>
      <c r="HY44" s="153"/>
      <c r="HZ44" s="153"/>
      <c r="IA44" s="149"/>
      <c r="IB44" s="149"/>
      <c r="IC44" s="153"/>
      <c r="ID44" s="153"/>
      <c r="IE44" s="153"/>
      <c r="IF44" s="153"/>
      <c r="IG44" s="153"/>
      <c r="IH44" s="153"/>
      <c r="II44" s="153"/>
      <c r="IJ44" s="153"/>
      <c r="IK44" s="153"/>
      <c r="IL44" s="153"/>
      <c r="IM44" s="153"/>
      <c r="IN44" s="149"/>
      <c r="IO44" s="149"/>
      <c r="IP44" s="153"/>
      <c r="IQ44" s="153"/>
      <c r="IR44" s="153"/>
      <c r="IS44" s="153"/>
      <c r="IT44" s="153"/>
      <c r="IU44" s="153"/>
      <c r="IV44" s="153"/>
    </row>
    <row r="45" spans="1:256" x14ac:dyDescent="0.2">
      <c r="A45" s="158"/>
      <c r="B45" s="149"/>
      <c r="C45" s="332"/>
      <c r="D45" s="332"/>
      <c r="E45" s="332"/>
      <c r="F45" s="332"/>
      <c r="G45" s="332"/>
      <c r="H45" s="332"/>
      <c r="I45" s="332"/>
      <c r="J45" s="332"/>
      <c r="K45" s="332"/>
      <c r="L45" s="332"/>
      <c r="M45" s="333"/>
      <c r="N45" s="152"/>
      <c r="O45" s="152"/>
      <c r="P45" s="161"/>
      <c r="Q45" s="161"/>
      <c r="R45" s="161"/>
      <c r="S45" s="161"/>
      <c r="T45" s="161"/>
      <c r="U45" s="161"/>
      <c r="V45" s="161"/>
      <c r="W45" s="161"/>
      <c r="X45" s="161"/>
      <c r="Y45" s="161"/>
      <c r="Z45" s="161"/>
      <c r="AA45" s="149"/>
      <c r="AB45" s="149"/>
      <c r="AC45" s="153"/>
      <c r="AD45" s="153"/>
      <c r="AE45" s="153"/>
      <c r="AF45" s="153"/>
      <c r="AG45" s="153"/>
      <c r="AH45" s="153"/>
      <c r="AI45" s="153"/>
      <c r="AJ45" s="153"/>
      <c r="AK45" s="153"/>
      <c r="AL45" s="153"/>
      <c r="AM45" s="153"/>
      <c r="AN45" s="149"/>
      <c r="AO45" s="149"/>
      <c r="AP45" s="153"/>
      <c r="AQ45" s="153"/>
      <c r="AR45" s="153"/>
      <c r="AS45" s="153"/>
      <c r="AT45" s="153"/>
      <c r="AU45" s="153"/>
      <c r="AV45" s="153"/>
      <c r="AW45" s="153"/>
      <c r="AX45" s="153"/>
      <c r="AY45" s="153"/>
      <c r="AZ45" s="153"/>
      <c r="BA45" s="149"/>
      <c r="BB45" s="149"/>
      <c r="BC45" s="153"/>
      <c r="BD45" s="153"/>
      <c r="BE45" s="153"/>
      <c r="BF45" s="153"/>
      <c r="BG45" s="153"/>
      <c r="BH45" s="153"/>
      <c r="BI45" s="153"/>
      <c r="BJ45" s="153"/>
      <c r="BK45" s="153"/>
      <c r="BL45" s="153"/>
      <c r="BM45" s="153"/>
      <c r="BN45" s="149"/>
      <c r="BO45" s="149"/>
      <c r="BP45" s="153"/>
      <c r="BQ45" s="153"/>
      <c r="BR45" s="153"/>
      <c r="BS45" s="153"/>
      <c r="BT45" s="153"/>
      <c r="BU45" s="153"/>
      <c r="BV45" s="153"/>
      <c r="BW45" s="153"/>
      <c r="BX45" s="153"/>
      <c r="BY45" s="153"/>
      <c r="BZ45" s="153"/>
      <c r="CA45" s="149"/>
      <c r="CB45" s="149"/>
      <c r="CC45" s="153"/>
      <c r="CD45" s="153"/>
      <c r="CE45" s="153"/>
      <c r="CF45" s="153"/>
      <c r="CG45" s="153"/>
      <c r="CH45" s="153"/>
      <c r="CI45" s="153"/>
      <c r="CJ45" s="153"/>
      <c r="CK45" s="153"/>
      <c r="CL45" s="153"/>
      <c r="CM45" s="153"/>
      <c r="CN45" s="149"/>
      <c r="CO45" s="149"/>
      <c r="CP45" s="153"/>
      <c r="CQ45" s="153"/>
      <c r="CR45" s="153"/>
      <c r="CS45" s="153"/>
      <c r="CT45" s="153"/>
      <c r="CU45" s="153"/>
      <c r="CV45" s="153"/>
      <c r="CW45" s="153"/>
      <c r="CX45" s="153"/>
      <c r="CY45" s="153"/>
      <c r="CZ45" s="153"/>
      <c r="DA45" s="149"/>
      <c r="DB45" s="149"/>
      <c r="DC45" s="153"/>
      <c r="DD45" s="153"/>
      <c r="DE45" s="153"/>
      <c r="DF45" s="153"/>
      <c r="DG45" s="153"/>
      <c r="DH45" s="153"/>
      <c r="DI45" s="153"/>
      <c r="DJ45" s="153"/>
      <c r="DK45" s="153"/>
      <c r="DL45" s="153"/>
      <c r="DM45" s="153"/>
      <c r="DN45" s="149"/>
      <c r="DO45" s="149"/>
      <c r="DP45" s="153"/>
      <c r="DQ45" s="153"/>
      <c r="DR45" s="153"/>
      <c r="DS45" s="153"/>
      <c r="DT45" s="153"/>
      <c r="DU45" s="153"/>
      <c r="DV45" s="153"/>
      <c r="DW45" s="153"/>
      <c r="DX45" s="153"/>
      <c r="DY45" s="153"/>
      <c r="DZ45" s="153"/>
      <c r="EA45" s="149"/>
      <c r="EB45" s="149"/>
      <c r="EC45" s="153"/>
      <c r="ED45" s="153"/>
      <c r="EE45" s="153"/>
      <c r="EF45" s="153"/>
      <c r="EG45" s="153"/>
      <c r="EH45" s="153"/>
      <c r="EI45" s="153"/>
      <c r="EJ45" s="153"/>
      <c r="EK45" s="153"/>
      <c r="EL45" s="153"/>
      <c r="EM45" s="153"/>
      <c r="EN45" s="149"/>
      <c r="EO45" s="149"/>
      <c r="EP45" s="153"/>
      <c r="EQ45" s="153"/>
      <c r="ER45" s="153"/>
      <c r="ES45" s="153"/>
      <c r="ET45" s="153"/>
      <c r="EU45" s="153"/>
      <c r="EV45" s="153"/>
      <c r="EW45" s="153"/>
      <c r="EX45" s="153"/>
      <c r="EY45" s="153"/>
      <c r="EZ45" s="153"/>
      <c r="FA45" s="149"/>
      <c r="FB45" s="149"/>
      <c r="FC45" s="153"/>
      <c r="FD45" s="153"/>
      <c r="FE45" s="153"/>
      <c r="FF45" s="153"/>
      <c r="FG45" s="153"/>
      <c r="FH45" s="153"/>
      <c r="FI45" s="153"/>
      <c r="FJ45" s="153"/>
      <c r="FK45" s="153"/>
      <c r="FL45" s="153"/>
      <c r="FM45" s="153"/>
      <c r="FN45" s="149"/>
      <c r="FO45" s="149"/>
      <c r="FP45" s="153"/>
      <c r="FQ45" s="153"/>
      <c r="FR45" s="153"/>
      <c r="FS45" s="153"/>
      <c r="FT45" s="153"/>
      <c r="FU45" s="153"/>
      <c r="FV45" s="153"/>
      <c r="FW45" s="153"/>
      <c r="FX45" s="153"/>
      <c r="FY45" s="153"/>
      <c r="FZ45" s="153"/>
      <c r="GA45" s="149"/>
      <c r="GB45" s="149"/>
      <c r="GC45" s="153"/>
      <c r="GD45" s="153"/>
      <c r="GE45" s="153"/>
      <c r="GF45" s="153"/>
      <c r="GG45" s="153"/>
      <c r="GH45" s="153"/>
      <c r="GI45" s="153"/>
      <c r="GJ45" s="153"/>
      <c r="GK45" s="153"/>
      <c r="GL45" s="153"/>
      <c r="GM45" s="153"/>
      <c r="GN45" s="149"/>
      <c r="GO45" s="149"/>
      <c r="GP45" s="153"/>
      <c r="GQ45" s="153"/>
      <c r="GR45" s="153"/>
      <c r="GS45" s="153"/>
      <c r="GT45" s="153"/>
      <c r="GU45" s="153"/>
      <c r="GV45" s="153"/>
      <c r="GW45" s="153"/>
      <c r="GX45" s="153"/>
      <c r="GY45" s="153"/>
      <c r="GZ45" s="153"/>
      <c r="HA45" s="149"/>
      <c r="HB45" s="149"/>
      <c r="HC45" s="153"/>
      <c r="HD45" s="153"/>
      <c r="HE45" s="153"/>
      <c r="HF45" s="153"/>
      <c r="HG45" s="153"/>
      <c r="HH45" s="153"/>
      <c r="HI45" s="153"/>
      <c r="HJ45" s="153"/>
      <c r="HK45" s="153"/>
      <c r="HL45" s="153"/>
      <c r="HM45" s="153"/>
      <c r="HN45" s="149"/>
      <c r="HO45" s="149"/>
      <c r="HP45" s="153"/>
      <c r="HQ45" s="153"/>
      <c r="HR45" s="153"/>
      <c r="HS45" s="153"/>
      <c r="HT45" s="153"/>
      <c r="HU45" s="153"/>
      <c r="HV45" s="153"/>
      <c r="HW45" s="153"/>
      <c r="HX45" s="153"/>
      <c r="HY45" s="153"/>
      <c r="HZ45" s="153"/>
      <c r="IA45" s="149"/>
      <c r="IB45" s="149"/>
      <c r="IC45" s="153"/>
      <c r="ID45" s="153"/>
      <c r="IE45" s="153"/>
      <c r="IF45" s="153"/>
      <c r="IG45" s="153"/>
      <c r="IH45" s="153"/>
      <c r="II45" s="153"/>
      <c r="IJ45" s="153"/>
      <c r="IK45" s="153"/>
      <c r="IL45" s="153"/>
      <c r="IM45" s="153"/>
      <c r="IN45" s="149"/>
      <c r="IO45" s="149"/>
      <c r="IP45" s="153"/>
      <c r="IQ45" s="153"/>
      <c r="IR45" s="153"/>
      <c r="IS45" s="153"/>
      <c r="IT45" s="153"/>
      <c r="IU45" s="153"/>
      <c r="IV45" s="153"/>
    </row>
    <row r="46" spans="1:256" x14ac:dyDescent="0.2">
      <c r="A46" s="158"/>
      <c r="B46" s="149"/>
      <c r="C46" s="332"/>
      <c r="D46" s="332"/>
      <c r="E46" s="332"/>
      <c r="F46" s="332"/>
      <c r="G46" s="332"/>
      <c r="H46" s="332"/>
      <c r="I46" s="332"/>
      <c r="J46" s="332"/>
      <c r="K46" s="332"/>
      <c r="L46" s="332"/>
      <c r="M46" s="333"/>
      <c r="N46" s="152"/>
      <c r="O46" s="152"/>
      <c r="P46" s="161"/>
      <c r="Q46" s="161"/>
      <c r="R46" s="161"/>
      <c r="S46" s="161"/>
      <c r="T46" s="161"/>
      <c r="U46" s="161"/>
      <c r="V46" s="161"/>
      <c r="W46" s="161"/>
      <c r="X46" s="161"/>
      <c r="Y46" s="161"/>
      <c r="Z46" s="161"/>
      <c r="AA46" s="149"/>
      <c r="AB46" s="149"/>
      <c r="AC46" s="153"/>
      <c r="AD46" s="153"/>
      <c r="AE46" s="153"/>
      <c r="AF46" s="153"/>
      <c r="AG46" s="153"/>
      <c r="AH46" s="153"/>
      <c r="AI46" s="153"/>
      <c r="AJ46" s="153"/>
      <c r="AK46" s="153"/>
      <c r="AL46" s="153"/>
      <c r="AM46" s="153"/>
      <c r="AN46" s="149"/>
      <c r="AO46" s="149"/>
      <c r="AP46" s="153"/>
      <c r="AQ46" s="153"/>
      <c r="AR46" s="153"/>
      <c r="AS46" s="153"/>
      <c r="AT46" s="153"/>
      <c r="AU46" s="153"/>
      <c r="AV46" s="153"/>
      <c r="AW46" s="153"/>
      <c r="AX46" s="153"/>
      <c r="AY46" s="153"/>
      <c r="AZ46" s="153"/>
      <c r="BA46" s="149"/>
      <c r="BB46" s="149"/>
      <c r="BC46" s="153"/>
      <c r="BD46" s="153"/>
      <c r="BE46" s="153"/>
      <c r="BF46" s="153"/>
      <c r="BG46" s="153"/>
      <c r="BH46" s="153"/>
      <c r="BI46" s="153"/>
      <c r="BJ46" s="153"/>
      <c r="BK46" s="153"/>
      <c r="BL46" s="153"/>
      <c r="BM46" s="153"/>
      <c r="BN46" s="149"/>
      <c r="BO46" s="149"/>
      <c r="BP46" s="153"/>
      <c r="BQ46" s="153"/>
      <c r="BR46" s="153"/>
      <c r="BS46" s="153"/>
      <c r="BT46" s="153"/>
      <c r="BU46" s="153"/>
      <c r="BV46" s="153"/>
      <c r="BW46" s="153"/>
      <c r="BX46" s="153"/>
      <c r="BY46" s="153"/>
      <c r="BZ46" s="153"/>
      <c r="CA46" s="149"/>
      <c r="CB46" s="149"/>
      <c r="CC46" s="153"/>
      <c r="CD46" s="153"/>
      <c r="CE46" s="153"/>
      <c r="CF46" s="153"/>
      <c r="CG46" s="153"/>
      <c r="CH46" s="153"/>
      <c r="CI46" s="153"/>
      <c r="CJ46" s="153"/>
      <c r="CK46" s="153"/>
      <c r="CL46" s="153"/>
      <c r="CM46" s="153"/>
      <c r="CN46" s="149"/>
      <c r="CO46" s="149"/>
      <c r="CP46" s="153"/>
      <c r="CQ46" s="153"/>
      <c r="CR46" s="153"/>
      <c r="CS46" s="153"/>
      <c r="CT46" s="153"/>
      <c r="CU46" s="153"/>
      <c r="CV46" s="153"/>
      <c r="CW46" s="153"/>
      <c r="CX46" s="153"/>
      <c r="CY46" s="153"/>
      <c r="CZ46" s="153"/>
      <c r="DA46" s="149"/>
      <c r="DB46" s="149"/>
      <c r="DC46" s="153"/>
      <c r="DD46" s="153"/>
      <c r="DE46" s="153"/>
      <c r="DF46" s="153"/>
      <c r="DG46" s="153"/>
      <c r="DH46" s="153"/>
      <c r="DI46" s="153"/>
      <c r="DJ46" s="153"/>
      <c r="DK46" s="153"/>
      <c r="DL46" s="153"/>
      <c r="DM46" s="153"/>
      <c r="DN46" s="149"/>
      <c r="DO46" s="149"/>
      <c r="DP46" s="153"/>
      <c r="DQ46" s="153"/>
      <c r="DR46" s="153"/>
      <c r="DS46" s="153"/>
      <c r="DT46" s="153"/>
      <c r="DU46" s="153"/>
      <c r="DV46" s="153"/>
      <c r="DW46" s="153"/>
      <c r="DX46" s="153"/>
      <c r="DY46" s="153"/>
      <c r="DZ46" s="153"/>
      <c r="EA46" s="149"/>
      <c r="EB46" s="149"/>
      <c r="EC46" s="153"/>
      <c r="ED46" s="153"/>
      <c r="EE46" s="153"/>
      <c r="EF46" s="153"/>
      <c r="EG46" s="153"/>
      <c r="EH46" s="153"/>
      <c r="EI46" s="153"/>
      <c r="EJ46" s="153"/>
      <c r="EK46" s="153"/>
      <c r="EL46" s="153"/>
      <c r="EM46" s="153"/>
      <c r="EN46" s="149"/>
      <c r="EO46" s="149"/>
      <c r="EP46" s="153"/>
      <c r="EQ46" s="153"/>
      <c r="ER46" s="153"/>
      <c r="ES46" s="153"/>
      <c r="ET46" s="153"/>
      <c r="EU46" s="153"/>
      <c r="EV46" s="153"/>
      <c r="EW46" s="153"/>
      <c r="EX46" s="153"/>
      <c r="EY46" s="153"/>
      <c r="EZ46" s="153"/>
      <c r="FA46" s="149"/>
      <c r="FB46" s="149"/>
      <c r="FC46" s="153"/>
      <c r="FD46" s="153"/>
      <c r="FE46" s="153"/>
      <c r="FF46" s="153"/>
      <c r="FG46" s="153"/>
      <c r="FH46" s="153"/>
      <c r="FI46" s="153"/>
      <c r="FJ46" s="153"/>
      <c r="FK46" s="153"/>
      <c r="FL46" s="153"/>
      <c r="FM46" s="153"/>
      <c r="FN46" s="149"/>
      <c r="FO46" s="149"/>
      <c r="FP46" s="153"/>
      <c r="FQ46" s="153"/>
      <c r="FR46" s="153"/>
      <c r="FS46" s="153"/>
      <c r="FT46" s="153"/>
      <c r="FU46" s="153"/>
      <c r="FV46" s="153"/>
      <c r="FW46" s="153"/>
      <c r="FX46" s="153"/>
      <c r="FY46" s="153"/>
      <c r="FZ46" s="153"/>
      <c r="GA46" s="149"/>
      <c r="GB46" s="149"/>
      <c r="GC46" s="153"/>
      <c r="GD46" s="153"/>
      <c r="GE46" s="153"/>
      <c r="GF46" s="153"/>
      <c r="GG46" s="153"/>
      <c r="GH46" s="153"/>
      <c r="GI46" s="153"/>
      <c r="GJ46" s="153"/>
      <c r="GK46" s="153"/>
      <c r="GL46" s="153"/>
      <c r="GM46" s="153"/>
      <c r="GN46" s="149"/>
      <c r="GO46" s="149"/>
      <c r="GP46" s="153"/>
      <c r="GQ46" s="153"/>
      <c r="GR46" s="153"/>
      <c r="GS46" s="153"/>
      <c r="GT46" s="153"/>
      <c r="GU46" s="153"/>
      <c r="GV46" s="153"/>
      <c r="GW46" s="153"/>
      <c r="GX46" s="153"/>
      <c r="GY46" s="153"/>
      <c r="GZ46" s="153"/>
      <c r="HA46" s="149"/>
      <c r="HB46" s="149"/>
      <c r="HC46" s="153"/>
      <c r="HD46" s="153"/>
      <c r="HE46" s="153"/>
      <c r="HF46" s="153"/>
      <c r="HG46" s="153"/>
      <c r="HH46" s="153"/>
      <c r="HI46" s="153"/>
      <c r="HJ46" s="153"/>
      <c r="HK46" s="153"/>
      <c r="HL46" s="153"/>
      <c r="HM46" s="153"/>
      <c r="HN46" s="149"/>
      <c r="HO46" s="149"/>
      <c r="HP46" s="153"/>
      <c r="HQ46" s="153"/>
      <c r="HR46" s="153"/>
      <c r="HS46" s="153"/>
      <c r="HT46" s="153"/>
      <c r="HU46" s="153"/>
      <c r="HV46" s="153"/>
      <c r="HW46" s="153"/>
      <c r="HX46" s="153"/>
      <c r="HY46" s="153"/>
      <c r="HZ46" s="153"/>
      <c r="IA46" s="149"/>
      <c r="IB46" s="149"/>
      <c r="IC46" s="153"/>
      <c r="ID46" s="153"/>
      <c r="IE46" s="153"/>
      <c r="IF46" s="153"/>
      <c r="IG46" s="153"/>
      <c r="IH46" s="153"/>
      <c r="II46" s="153"/>
      <c r="IJ46" s="153"/>
      <c r="IK46" s="153"/>
      <c r="IL46" s="153"/>
      <c r="IM46" s="153"/>
      <c r="IN46" s="149"/>
      <c r="IO46" s="149"/>
      <c r="IP46" s="153"/>
      <c r="IQ46" s="153"/>
      <c r="IR46" s="153"/>
      <c r="IS46" s="153"/>
      <c r="IT46" s="153"/>
      <c r="IU46" s="153"/>
      <c r="IV46" s="153"/>
    </row>
    <row r="47" spans="1:256" x14ac:dyDescent="0.2">
      <c r="A47" s="158"/>
      <c r="B47" s="149"/>
      <c r="C47" s="332"/>
      <c r="D47" s="332"/>
      <c r="E47" s="332"/>
      <c r="F47" s="332"/>
      <c r="G47" s="332"/>
      <c r="H47" s="332"/>
      <c r="I47" s="332"/>
      <c r="J47" s="332"/>
      <c r="K47" s="332"/>
      <c r="L47" s="332"/>
      <c r="M47" s="333"/>
      <c r="N47" s="152"/>
      <c r="O47" s="152"/>
      <c r="P47" s="161"/>
      <c r="Q47" s="161"/>
      <c r="R47" s="161"/>
      <c r="S47" s="161"/>
      <c r="T47" s="161"/>
      <c r="U47" s="161"/>
      <c r="V47" s="161"/>
      <c r="W47" s="161"/>
      <c r="X47" s="161"/>
      <c r="Y47" s="161"/>
      <c r="Z47" s="161"/>
      <c r="AA47" s="149"/>
      <c r="AB47" s="149"/>
      <c r="AC47" s="153"/>
      <c r="AD47" s="153"/>
      <c r="AE47" s="153"/>
      <c r="AF47" s="153"/>
      <c r="AG47" s="153"/>
      <c r="AH47" s="153"/>
      <c r="AI47" s="153"/>
      <c r="AJ47" s="153"/>
      <c r="AK47" s="153"/>
      <c r="AL47" s="153"/>
      <c r="AM47" s="153"/>
      <c r="AN47" s="149"/>
      <c r="AO47" s="149"/>
      <c r="AP47" s="153"/>
      <c r="AQ47" s="153"/>
      <c r="AR47" s="153"/>
      <c r="AS47" s="153"/>
      <c r="AT47" s="153"/>
      <c r="AU47" s="153"/>
      <c r="AV47" s="153"/>
      <c r="AW47" s="153"/>
      <c r="AX47" s="153"/>
      <c r="AY47" s="153"/>
      <c r="AZ47" s="153"/>
      <c r="BA47" s="149"/>
      <c r="BB47" s="149"/>
      <c r="BC47" s="153"/>
      <c r="BD47" s="153"/>
      <c r="BE47" s="153"/>
      <c r="BF47" s="153"/>
      <c r="BG47" s="153"/>
      <c r="BH47" s="153"/>
      <c r="BI47" s="153"/>
      <c r="BJ47" s="153"/>
      <c r="BK47" s="153"/>
      <c r="BL47" s="153"/>
      <c r="BM47" s="153"/>
      <c r="BN47" s="149"/>
      <c r="BO47" s="149"/>
      <c r="BP47" s="153"/>
      <c r="BQ47" s="153"/>
      <c r="BR47" s="153"/>
      <c r="BS47" s="153"/>
      <c r="BT47" s="153"/>
      <c r="BU47" s="153"/>
      <c r="BV47" s="153"/>
      <c r="BW47" s="153"/>
      <c r="BX47" s="153"/>
      <c r="BY47" s="153"/>
      <c r="BZ47" s="153"/>
      <c r="CA47" s="149"/>
      <c r="CB47" s="149"/>
      <c r="CC47" s="153"/>
      <c r="CD47" s="153"/>
      <c r="CE47" s="153"/>
      <c r="CF47" s="153"/>
      <c r="CG47" s="153"/>
      <c r="CH47" s="153"/>
      <c r="CI47" s="153"/>
      <c r="CJ47" s="153"/>
      <c r="CK47" s="153"/>
      <c r="CL47" s="153"/>
      <c r="CM47" s="153"/>
      <c r="CN47" s="149"/>
      <c r="CO47" s="149"/>
      <c r="CP47" s="153"/>
      <c r="CQ47" s="153"/>
      <c r="CR47" s="153"/>
      <c r="CS47" s="153"/>
      <c r="CT47" s="153"/>
      <c r="CU47" s="153"/>
      <c r="CV47" s="153"/>
      <c r="CW47" s="153"/>
      <c r="CX47" s="153"/>
      <c r="CY47" s="153"/>
      <c r="CZ47" s="153"/>
      <c r="DA47" s="149"/>
      <c r="DB47" s="149"/>
      <c r="DC47" s="153"/>
      <c r="DD47" s="153"/>
      <c r="DE47" s="153"/>
      <c r="DF47" s="153"/>
      <c r="DG47" s="153"/>
      <c r="DH47" s="153"/>
      <c r="DI47" s="153"/>
      <c r="DJ47" s="153"/>
      <c r="DK47" s="153"/>
      <c r="DL47" s="153"/>
      <c r="DM47" s="153"/>
      <c r="DN47" s="149"/>
      <c r="DO47" s="149"/>
      <c r="DP47" s="153"/>
      <c r="DQ47" s="153"/>
      <c r="DR47" s="153"/>
      <c r="DS47" s="153"/>
      <c r="DT47" s="153"/>
      <c r="DU47" s="153"/>
      <c r="DV47" s="153"/>
      <c r="DW47" s="153"/>
      <c r="DX47" s="153"/>
      <c r="DY47" s="153"/>
      <c r="DZ47" s="153"/>
      <c r="EA47" s="149"/>
      <c r="EB47" s="149"/>
      <c r="EC47" s="153"/>
      <c r="ED47" s="153"/>
      <c r="EE47" s="153"/>
      <c r="EF47" s="153"/>
      <c r="EG47" s="153"/>
      <c r="EH47" s="153"/>
      <c r="EI47" s="153"/>
      <c r="EJ47" s="153"/>
      <c r="EK47" s="153"/>
      <c r="EL47" s="153"/>
      <c r="EM47" s="153"/>
      <c r="EN47" s="149"/>
      <c r="EO47" s="149"/>
      <c r="EP47" s="153"/>
      <c r="EQ47" s="153"/>
      <c r="ER47" s="153"/>
      <c r="ES47" s="153"/>
      <c r="ET47" s="153"/>
      <c r="EU47" s="153"/>
      <c r="EV47" s="153"/>
      <c r="EW47" s="153"/>
      <c r="EX47" s="153"/>
      <c r="EY47" s="153"/>
      <c r="EZ47" s="153"/>
      <c r="FA47" s="149"/>
      <c r="FB47" s="149"/>
      <c r="FC47" s="153"/>
      <c r="FD47" s="153"/>
      <c r="FE47" s="153"/>
      <c r="FF47" s="153"/>
      <c r="FG47" s="153"/>
      <c r="FH47" s="153"/>
      <c r="FI47" s="153"/>
      <c r="FJ47" s="153"/>
      <c r="FK47" s="153"/>
      <c r="FL47" s="153"/>
      <c r="FM47" s="153"/>
      <c r="FN47" s="149"/>
      <c r="FO47" s="149"/>
      <c r="FP47" s="153"/>
      <c r="FQ47" s="153"/>
      <c r="FR47" s="153"/>
      <c r="FS47" s="153"/>
      <c r="FT47" s="153"/>
      <c r="FU47" s="153"/>
      <c r="FV47" s="153"/>
      <c r="FW47" s="153"/>
      <c r="FX47" s="153"/>
      <c r="FY47" s="153"/>
      <c r="FZ47" s="153"/>
      <c r="GA47" s="149"/>
      <c r="GB47" s="149"/>
      <c r="GC47" s="153"/>
      <c r="GD47" s="153"/>
      <c r="GE47" s="153"/>
      <c r="GF47" s="153"/>
      <c r="GG47" s="153"/>
      <c r="GH47" s="153"/>
      <c r="GI47" s="153"/>
      <c r="GJ47" s="153"/>
      <c r="GK47" s="153"/>
      <c r="GL47" s="153"/>
      <c r="GM47" s="153"/>
      <c r="GN47" s="149"/>
      <c r="GO47" s="149"/>
      <c r="GP47" s="153"/>
      <c r="GQ47" s="153"/>
      <c r="GR47" s="153"/>
      <c r="GS47" s="153"/>
      <c r="GT47" s="153"/>
      <c r="GU47" s="153"/>
      <c r="GV47" s="153"/>
      <c r="GW47" s="153"/>
      <c r="GX47" s="153"/>
      <c r="GY47" s="153"/>
      <c r="GZ47" s="153"/>
      <c r="HA47" s="149"/>
      <c r="HB47" s="149"/>
      <c r="HC47" s="153"/>
      <c r="HD47" s="153"/>
      <c r="HE47" s="153"/>
      <c r="HF47" s="153"/>
      <c r="HG47" s="153"/>
      <c r="HH47" s="153"/>
      <c r="HI47" s="153"/>
      <c r="HJ47" s="153"/>
      <c r="HK47" s="153"/>
      <c r="HL47" s="153"/>
      <c r="HM47" s="153"/>
      <c r="HN47" s="149"/>
      <c r="HO47" s="149"/>
      <c r="HP47" s="153"/>
      <c r="HQ47" s="153"/>
      <c r="HR47" s="153"/>
      <c r="HS47" s="153"/>
      <c r="HT47" s="153"/>
      <c r="HU47" s="153"/>
      <c r="HV47" s="153"/>
      <c r="HW47" s="153"/>
      <c r="HX47" s="153"/>
      <c r="HY47" s="153"/>
      <c r="HZ47" s="153"/>
      <c r="IA47" s="149"/>
      <c r="IB47" s="149"/>
      <c r="IC47" s="153"/>
      <c r="ID47" s="153"/>
      <c r="IE47" s="153"/>
      <c r="IF47" s="153"/>
      <c r="IG47" s="153"/>
      <c r="IH47" s="153"/>
      <c r="II47" s="153"/>
      <c r="IJ47" s="153"/>
      <c r="IK47" s="153"/>
      <c r="IL47" s="153"/>
      <c r="IM47" s="153"/>
      <c r="IN47" s="149"/>
      <c r="IO47" s="149"/>
      <c r="IP47" s="153"/>
      <c r="IQ47" s="153"/>
      <c r="IR47" s="153"/>
      <c r="IS47" s="153"/>
      <c r="IT47" s="153"/>
      <c r="IU47" s="153"/>
      <c r="IV47" s="153"/>
    </row>
    <row r="48" spans="1:256" x14ac:dyDescent="0.2">
      <c r="A48" s="158"/>
      <c r="B48" s="149"/>
      <c r="C48" s="332"/>
      <c r="D48" s="332"/>
      <c r="E48" s="332"/>
      <c r="F48" s="332"/>
      <c r="G48" s="332"/>
      <c r="H48" s="332"/>
      <c r="I48" s="332"/>
      <c r="J48" s="332"/>
      <c r="K48" s="332"/>
      <c r="L48" s="332"/>
      <c r="M48" s="333"/>
      <c r="N48" s="152"/>
      <c r="O48" s="152"/>
      <c r="P48" s="161"/>
      <c r="Q48" s="161"/>
      <c r="R48" s="161"/>
      <c r="S48" s="161"/>
      <c r="T48" s="161"/>
      <c r="U48" s="161"/>
      <c r="V48" s="161"/>
      <c r="W48" s="161"/>
      <c r="X48" s="161"/>
      <c r="Y48" s="161"/>
      <c r="Z48" s="161"/>
      <c r="AA48" s="149"/>
      <c r="AB48" s="149"/>
      <c r="AC48" s="153"/>
      <c r="AD48" s="153"/>
      <c r="AE48" s="153"/>
      <c r="AF48" s="153"/>
      <c r="AG48" s="153"/>
      <c r="AH48" s="153"/>
      <c r="AI48" s="153"/>
      <c r="AJ48" s="153"/>
      <c r="AK48" s="153"/>
      <c r="AL48" s="153"/>
      <c r="AM48" s="153"/>
      <c r="AN48" s="149"/>
      <c r="AO48" s="149"/>
      <c r="AP48" s="153"/>
      <c r="AQ48" s="153"/>
      <c r="AR48" s="153"/>
      <c r="AS48" s="153"/>
      <c r="AT48" s="153"/>
      <c r="AU48" s="153"/>
      <c r="AV48" s="153"/>
      <c r="AW48" s="153"/>
      <c r="AX48" s="153"/>
      <c r="AY48" s="153"/>
      <c r="AZ48" s="153"/>
      <c r="BA48" s="149"/>
      <c r="BB48" s="149"/>
      <c r="BC48" s="153"/>
      <c r="BD48" s="153"/>
      <c r="BE48" s="153"/>
      <c r="BF48" s="153"/>
      <c r="BG48" s="153"/>
      <c r="BH48" s="153"/>
      <c r="BI48" s="153"/>
      <c r="BJ48" s="153"/>
      <c r="BK48" s="153"/>
      <c r="BL48" s="153"/>
      <c r="BM48" s="153"/>
      <c r="BN48" s="149"/>
      <c r="BO48" s="149"/>
      <c r="BP48" s="153"/>
      <c r="BQ48" s="153"/>
      <c r="BR48" s="153"/>
      <c r="BS48" s="153"/>
      <c r="BT48" s="153"/>
      <c r="BU48" s="153"/>
      <c r="BV48" s="153"/>
      <c r="BW48" s="153"/>
      <c r="BX48" s="153"/>
      <c r="BY48" s="153"/>
      <c r="BZ48" s="153"/>
      <c r="CA48" s="149"/>
      <c r="CB48" s="149"/>
      <c r="CC48" s="153"/>
      <c r="CD48" s="153"/>
      <c r="CE48" s="153"/>
      <c r="CF48" s="153"/>
      <c r="CG48" s="153"/>
      <c r="CH48" s="153"/>
      <c r="CI48" s="153"/>
      <c r="CJ48" s="153"/>
      <c r="CK48" s="153"/>
      <c r="CL48" s="153"/>
      <c r="CM48" s="153"/>
      <c r="CN48" s="149"/>
      <c r="CO48" s="149"/>
      <c r="CP48" s="153"/>
      <c r="CQ48" s="153"/>
      <c r="CR48" s="153"/>
      <c r="CS48" s="153"/>
      <c r="CT48" s="153"/>
      <c r="CU48" s="153"/>
      <c r="CV48" s="153"/>
      <c r="CW48" s="153"/>
      <c r="CX48" s="153"/>
      <c r="CY48" s="153"/>
      <c r="CZ48" s="153"/>
      <c r="DA48" s="149"/>
      <c r="DB48" s="149"/>
      <c r="DC48" s="153"/>
      <c r="DD48" s="153"/>
      <c r="DE48" s="153"/>
      <c r="DF48" s="153"/>
      <c r="DG48" s="153"/>
      <c r="DH48" s="153"/>
      <c r="DI48" s="153"/>
      <c r="DJ48" s="153"/>
      <c r="DK48" s="153"/>
      <c r="DL48" s="153"/>
      <c r="DM48" s="153"/>
      <c r="DN48" s="149"/>
      <c r="DO48" s="149"/>
      <c r="DP48" s="153"/>
      <c r="DQ48" s="153"/>
      <c r="DR48" s="153"/>
      <c r="DS48" s="153"/>
      <c r="DT48" s="153"/>
      <c r="DU48" s="153"/>
      <c r="DV48" s="153"/>
      <c r="DW48" s="153"/>
      <c r="DX48" s="153"/>
      <c r="DY48" s="153"/>
      <c r="DZ48" s="153"/>
      <c r="EA48" s="149"/>
      <c r="EB48" s="149"/>
      <c r="EC48" s="153"/>
      <c r="ED48" s="153"/>
      <c r="EE48" s="153"/>
      <c r="EF48" s="153"/>
      <c r="EG48" s="153"/>
      <c r="EH48" s="153"/>
      <c r="EI48" s="153"/>
      <c r="EJ48" s="153"/>
      <c r="EK48" s="153"/>
      <c r="EL48" s="153"/>
      <c r="EM48" s="153"/>
      <c r="EN48" s="149"/>
      <c r="EO48" s="149"/>
      <c r="EP48" s="153"/>
      <c r="EQ48" s="153"/>
      <c r="ER48" s="153"/>
      <c r="ES48" s="153"/>
      <c r="ET48" s="153"/>
      <c r="EU48" s="153"/>
      <c r="EV48" s="153"/>
      <c r="EW48" s="153"/>
      <c r="EX48" s="153"/>
      <c r="EY48" s="153"/>
      <c r="EZ48" s="153"/>
      <c r="FA48" s="149"/>
      <c r="FB48" s="149"/>
      <c r="FC48" s="153"/>
      <c r="FD48" s="153"/>
      <c r="FE48" s="153"/>
      <c r="FF48" s="153"/>
      <c r="FG48" s="153"/>
      <c r="FH48" s="153"/>
      <c r="FI48" s="153"/>
      <c r="FJ48" s="153"/>
      <c r="FK48" s="153"/>
      <c r="FL48" s="153"/>
      <c r="FM48" s="153"/>
      <c r="FN48" s="149"/>
      <c r="FO48" s="149"/>
      <c r="FP48" s="153"/>
      <c r="FQ48" s="153"/>
      <c r="FR48" s="153"/>
      <c r="FS48" s="153"/>
      <c r="FT48" s="153"/>
      <c r="FU48" s="153"/>
      <c r="FV48" s="153"/>
      <c r="FW48" s="153"/>
      <c r="FX48" s="153"/>
      <c r="FY48" s="153"/>
      <c r="FZ48" s="153"/>
      <c r="GA48" s="149"/>
      <c r="GB48" s="149"/>
      <c r="GC48" s="153"/>
      <c r="GD48" s="153"/>
      <c r="GE48" s="153"/>
      <c r="GF48" s="153"/>
      <c r="GG48" s="153"/>
      <c r="GH48" s="153"/>
      <c r="GI48" s="153"/>
      <c r="GJ48" s="153"/>
      <c r="GK48" s="153"/>
      <c r="GL48" s="153"/>
      <c r="GM48" s="153"/>
      <c r="GN48" s="149"/>
      <c r="GO48" s="149"/>
      <c r="GP48" s="153"/>
      <c r="GQ48" s="153"/>
      <c r="GR48" s="153"/>
      <c r="GS48" s="153"/>
      <c r="GT48" s="153"/>
      <c r="GU48" s="153"/>
      <c r="GV48" s="153"/>
      <c r="GW48" s="153"/>
      <c r="GX48" s="153"/>
      <c r="GY48" s="153"/>
      <c r="GZ48" s="153"/>
      <c r="HA48" s="149"/>
      <c r="HB48" s="149"/>
      <c r="HC48" s="153"/>
      <c r="HD48" s="153"/>
      <c r="HE48" s="153"/>
      <c r="HF48" s="153"/>
      <c r="HG48" s="153"/>
      <c r="HH48" s="153"/>
      <c r="HI48" s="153"/>
      <c r="HJ48" s="153"/>
      <c r="HK48" s="153"/>
      <c r="HL48" s="153"/>
      <c r="HM48" s="153"/>
      <c r="HN48" s="149"/>
      <c r="HO48" s="149"/>
      <c r="HP48" s="153"/>
      <c r="HQ48" s="153"/>
      <c r="HR48" s="153"/>
      <c r="HS48" s="153"/>
      <c r="HT48" s="153"/>
      <c r="HU48" s="153"/>
      <c r="HV48" s="153"/>
      <c r="HW48" s="153"/>
      <c r="HX48" s="153"/>
      <c r="HY48" s="153"/>
      <c r="HZ48" s="153"/>
      <c r="IA48" s="149"/>
      <c r="IB48" s="149"/>
      <c r="IC48" s="153"/>
      <c r="ID48" s="153"/>
      <c r="IE48" s="153"/>
      <c r="IF48" s="153"/>
      <c r="IG48" s="153"/>
      <c r="IH48" s="153"/>
      <c r="II48" s="153"/>
      <c r="IJ48" s="153"/>
      <c r="IK48" s="153"/>
      <c r="IL48" s="153"/>
      <c r="IM48" s="153"/>
      <c r="IN48" s="149"/>
      <c r="IO48" s="149"/>
      <c r="IP48" s="153"/>
      <c r="IQ48" s="153"/>
      <c r="IR48" s="153"/>
      <c r="IS48" s="153"/>
      <c r="IT48" s="153"/>
      <c r="IU48" s="153"/>
      <c r="IV48" s="153"/>
    </row>
    <row r="49" spans="1:256" x14ac:dyDescent="0.2">
      <c r="A49" s="158"/>
      <c r="B49" s="149"/>
      <c r="C49" s="332"/>
      <c r="D49" s="332"/>
      <c r="E49" s="332"/>
      <c r="F49" s="332"/>
      <c r="G49" s="332"/>
      <c r="H49" s="332"/>
      <c r="I49" s="332"/>
      <c r="J49" s="332"/>
      <c r="K49" s="332"/>
      <c r="L49" s="332"/>
      <c r="M49" s="333"/>
      <c r="N49" s="152"/>
      <c r="O49" s="152"/>
      <c r="P49" s="161"/>
      <c r="Q49" s="161"/>
      <c r="R49" s="161"/>
      <c r="S49" s="161"/>
      <c r="T49" s="161"/>
      <c r="U49" s="161"/>
      <c r="V49" s="161"/>
      <c r="W49" s="161"/>
      <c r="X49" s="161"/>
      <c r="Y49" s="161"/>
      <c r="Z49" s="161"/>
      <c r="AA49" s="149"/>
      <c r="AB49" s="149"/>
      <c r="AC49" s="153"/>
      <c r="AD49" s="153"/>
      <c r="AE49" s="153"/>
      <c r="AF49" s="153"/>
      <c r="AG49" s="153"/>
      <c r="AH49" s="153"/>
      <c r="AI49" s="153"/>
      <c r="AJ49" s="153"/>
      <c r="AK49" s="153"/>
      <c r="AL49" s="153"/>
      <c r="AM49" s="153"/>
      <c r="AN49" s="149"/>
      <c r="AO49" s="149"/>
      <c r="AP49" s="153"/>
      <c r="AQ49" s="153"/>
      <c r="AR49" s="153"/>
      <c r="AS49" s="153"/>
      <c r="AT49" s="153"/>
      <c r="AU49" s="153"/>
      <c r="AV49" s="153"/>
      <c r="AW49" s="153"/>
      <c r="AX49" s="153"/>
      <c r="AY49" s="153"/>
      <c r="AZ49" s="153"/>
      <c r="BA49" s="149"/>
      <c r="BB49" s="149"/>
      <c r="BC49" s="153"/>
      <c r="BD49" s="153"/>
      <c r="BE49" s="153"/>
      <c r="BF49" s="153"/>
      <c r="BG49" s="153"/>
      <c r="BH49" s="153"/>
      <c r="BI49" s="153"/>
      <c r="BJ49" s="153"/>
      <c r="BK49" s="153"/>
      <c r="BL49" s="153"/>
      <c r="BM49" s="153"/>
      <c r="BN49" s="149"/>
      <c r="BO49" s="149"/>
      <c r="BP49" s="153"/>
      <c r="BQ49" s="153"/>
      <c r="BR49" s="153"/>
      <c r="BS49" s="153"/>
      <c r="BT49" s="153"/>
      <c r="BU49" s="153"/>
      <c r="BV49" s="153"/>
      <c r="BW49" s="153"/>
      <c r="BX49" s="153"/>
      <c r="BY49" s="153"/>
      <c r="BZ49" s="153"/>
      <c r="CA49" s="149"/>
      <c r="CB49" s="149"/>
      <c r="CC49" s="153"/>
      <c r="CD49" s="153"/>
      <c r="CE49" s="153"/>
      <c r="CF49" s="153"/>
      <c r="CG49" s="153"/>
      <c r="CH49" s="153"/>
      <c r="CI49" s="153"/>
      <c r="CJ49" s="153"/>
      <c r="CK49" s="153"/>
      <c r="CL49" s="153"/>
      <c r="CM49" s="153"/>
      <c r="CN49" s="149"/>
      <c r="CO49" s="149"/>
      <c r="CP49" s="153"/>
      <c r="CQ49" s="153"/>
      <c r="CR49" s="153"/>
      <c r="CS49" s="153"/>
      <c r="CT49" s="153"/>
      <c r="CU49" s="153"/>
      <c r="CV49" s="153"/>
      <c r="CW49" s="153"/>
      <c r="CX49" s="153"/>
      <c r="CY49" s="153"/>
      <c r="CZ49" s="153"/>
      <c r="DA49" s="149"/>
      <c r="DB49" s="149"/>
      <c r="DC49" s="153"/>
      <c r="DD49" s="153"/>
      <c r="DE49" s="153"/>
      <c r="DF49" s="153"/>
      <c r="DG49" s="153"/>
      <c r="DH49" s="153"/>
      <c r="DI49" s="153"/>
      <c r="DJ49" s="153"/>
      <c r="DK49" s="153"/>
      <c r="DL49" s="153"/>
      <c r="DM49" s="153"/>
      <c r="DN49" s="149"/>
      <c r="DO49" s="149"/>
      <c r="DP49" s="153"/>
      <c r="DQ49" s="153"/>
      <c r="DR49" s="153"/>
      <c r="DS49" s="153"/>
      <c r="DT49" s="153"/>
      <c r="DU49" s="153"/>
      <c r="DV49" s="153"/>
      <c r="DW49" s="153"/>
      <c r="DX49" s="153"/>
      <c r="DY49" s="153"/>
      <c r="DZ49" s="153"/>
      <c r="EA49" s="149"/>
      <c r="EB49" s="149"/>
      <c r="EC49" s="153"/>
      <c r="ED49" s="153"/>
      <c r="EE49" s="153"/>
      <c r="EF49" s="153"/>
      <c r="EG49" s="153"/>
      <c r="EH49" s="153"/>
      <c r="EI49" s="153"/>
      <c r="EJ49" s="153"/>
      <c r="EK49" s="153"/>
      <c r="EL49" s="153"/>
      <c r="EM49" s="153"/>
      <c r="EN49" s="149"/>
      <c r="EO49" s="149"/>
      <c r="EP49" s="153"/>
      <c r="EQ49" s="153"/>
      <c r="ER49" s="153"/>
      <c r="ES49" s="153"/>
      <c r="ET49" s="153"/>
      <c r="EU49" s="153"/>
      <c r="EV49" s="153"/>
      <c r="EW49" s="153"/>
      <c r="EX49" s="153"/>
      <c r="EY49" s="153"/>
      <c r="EZ49" s="153"/>
      <c r="FA49" s="149"/>
      <c r="FB49" s="149"/>
      <c r="FC49" s="153"/>
      <c r="FD49" s="153"/>
      <c r="FE49" s="153"/>
      <c r="FF49" s="153"/>
      <c r="FG49" s="153"/>
      <c r="FH49" s="153"/>
      <c r="FI49" s="153"/>
      <c r="FJ49" s="153"/>
      <c r="FK49" s="153"/>
      <c r="FL49" s="153"/>
      <c r="FM49" s="153"/>
      <c r="FN49" s="149"/>
      <c r="FO49" s="149"/>
      <c r="FP49" s="153"/>
      <c r="FQ49" s="153"/>
      <c r="FR49" s="153"/>
      <c r="FS49" s="153"/>
      <c r="FT49" s="153"/>
      <c r="FU49" s="153"/>
      <c r="FV49" s="153"/>
      <c r="FW49" s="153"/>
      <c r="FX49" s="153"/>
      <c r="FY49" s="153"/>
      <c r="FZ49" s="153"/>
      <c r="GA49" s="149"/>
      <c r="GB49" s="149"/>
      <c r="GC49" s="153"/>
      <c r="GD49" s="153"/>
      <c r="GE49" s="153"/>
      <c r="GF49" s="153"/>
      <c r="GG49" s="153"/>
      <c r="GH49" s="153"/>
      <c r="GI49" s="153"/>
      <c r="GJ49" s="153"/>
      <c r="GK49" s="153"/>
      <c r="GL49" s="153"/>
      <c r="GM49" s="153"/>
      <c r="GN49" s="149"/>
      <c r="GO49" s="149"/>
      <c r="GP49" s="153"/>
      <c r="GQ49" s="153"/>
      <c r="GR49" s="153"/>
      <c r="GS49" s="153"/>
      <c r="GT49" s="153"/>
      <c r="GU49" s="153"/>
      <c r="GV49" s="153"/>
      <c r="GW49" s="153"/>
      <c r="GX49" s="153"/>
      <c r="GY49" s="153"/>
      <c r="GZ49" s="153"/>
      <c r="HA49" s="149"/>
      <c r="HB49" s="149"/>
      <c r="HC49" s="153"/>
      <c r="HD49" s="153"/>
      <c r="HE49" s="153"/>
      <c r="HF49" s="153"/>
      <c r="HG49" s="153"/>
      <c r="HH49" s="153"/>
      <c r="HI49" s="153"/>
      <c r="HJ49" s="153"/>
      <c r="HK49" s="153"/>
      <c r="HL49" s="153"/>
      <c r="HM49" s="153"/>
      <c r="HN49" s="149"/>
      <c r="HO49" s="149"/>
      <c r="HP49" s="153"/>
      <c r="HQ49" s="153"/>
      <c r="HR49" s="153"/>
      <c r="HS49" s="153"/>
      <c r="HT49" s="153"/>
      <c r="HU49" s="153"/>
      <c r="HV49" s="153"/>
      <c r="HW49" s="153"/>
      <c r="HX49" s="153"/>
      <c r="HY49" s="153"/>
      <c r="HZ49" s="153"/>
      <c r="IA49" s="149"/>
      <c r="IB49" s="149"/>
      <c r="IC49" s="153"/>
      <c r="ID49" s="153"/>
      <c r="IE49" s="153"/>
      <c r="IF49" s="153"/>
      <c r="IG49" s="153"/>
      <c r="IH49" s="153"/>
      <c r="II49" s="153"/>
      <c r="IJ49" s="153"/>
      <c r="IK49" s="153"/>
      <c r="IL49" s="153"/>
      <c r="IM49" s="153"/>
      <c r="IN49" s="149"/>
      <c r="IO49" s="149"/>
      <c r="IP49" s="153"/>
      <c r="IQ49" s="153"/>
      <c r="IR49" s="153"/>
      <c r="IS49" s="153"/>
      <c r="IT49" s="153"/>
      <c r="IU49" s="153"/>
      <c r="IV49" s="153"/>
    </row>
    <row r="50" spans="1:256" x14ac:dyDescent="0.2">
      <c r="A50" s="158"/>
      <c r="B50" s="149"/>
      <c r="C50" s="332"/>
      <c r="D50" s="332"/>
      <c r="E50" s="332"/>
      <c r="F50" s="332"/>
      <c r="G50" s="332"/>
      <c r="H50" s="332"/>
      <c r="I50" s="332"/>
      <c r="J50" s="332"/>
      <c r="K50" s="332"/>
      <c r="L50" s="332"/>
      <c r="M50" s="333"/>
    </row>
    <row r="51" spans="1:256" x14ac:dyDescent="0.2">
      <c r="A51" s="158"/>
      <c r="B51" s="149"/>
      <c r="C51" s="332"/>
      <c r="D51" s="332"/>
      <c r="E51" s="332"/>
      <c r="F51" s="332"/>
      <c r="G51" s="332"/>
      <c r="H51" s="332"/>
      <c r="I51" s="332"/>
      <c r="J51" s="332"/>
      <c r="K51" s="332"/>
      <c r="L51" s="332"/>
      <c r="M51" s="333"/>
    </row>
    <row r="52" spans="1:256" x14ac:dyDescent="0.2">
      <c r="A52" s="158"/>
      <c r="B52" s="149"/>
      <c r="C52" s="332"/>
      <c r="D52" s="332"/>
      <c r="E52" s="332"/>
      <c r="F52" s="332"/>
      <c r="G52" s="332"/>
      <c r="H52" s="332"/>
      <c r="I52" s="332"/>
      <c r="J52" s="332"/>
      <c r="K52" s="332"/>
      <c r="L52" s="332"/>
      <c r="M52" s="333"/>
    </row>
    <row r="53" spans="1:256" x14ac:dyDescent="0.2">
      <c r="A53" s="158"/>
      <c r="B53" s="149"/>
      <c r="C53" s="332"/>
      <c r="D53" s="332"/>
      <c r="E53" s="332"/>
      <c r="F53" s="332"/>
      <c r="G53" s="332"/>
      <c r="H53" s="332"/>
      <c r="I53" s="332"/>
      <c r="J53" s="332"/>
      <c r="K53" s="332"/>
      <c r="L53" s="332"/>
      <c r="M53" s="333"/>
    </row>
    <row r="54" spans="1:256" x14ac:dyDescent="0.2">
      <c r="A54" s="158"/>
      <c r="B54" s="149"/>
      <c r="C54" s="332"/>
      <c r="D54" s="332"/>
      <c r="E54" s="332"/>
      <c r="F54" s="332"/>
      <c r="G54" s="332"/>
      <c r="H54" s="332"/>
      <c r="I54" s="332"/>
      <c r="J54" s="332"/>
      <c r="K54" s="332"/>
      <c r="L54" s="332"/>
      <c r="M54" s="333"/>
    </row>
    <row r="55" spans="1:256" x14ac:dyDescent="0.2">
      <c r="A55" s="158"/>
      <c r="B55" s="149"/>
      <c r="C55" s="332"/>
      <c r="D55" s="332"/>
      <c r="E55" s="332"/>
      <c r="F55" s="332"/>
      <c r="G55" s="332"/>
      <c r="H55" s="332"/>
      <c r="I55" s="332"/>
      <c r="J55" s="332"/>
      <c r="K55" s="332"/>
      <c r="L55" s="332"/>
      <c r="M55" s="333"/>
    </row>
    <row r="56" spans="1:256" x14ac:dyDescent="0.2">
      <c r="A56" s="158"/>
      <c r="B56" s="149"/>
      <c r="C56" s="332"/>
      <c r="D56" s="332"/>
      <c r="E56" s="332"/>
      <c r="F56" s="332"/>
      <c r="G56" s="332"/>
      <c r="H56" s="332"/>
      <c r="I56" s="332"/>
      <c r="J56" s="332"/>
      <c r="K56" s="332"/>
      <c r="L56" s="332"/>
      <c r="M56" s="333"/>
    </row>
    <row r="57" spans="1:256" x14ac:dyDescent="0.2">
      <c r="A57" s="158"/>
      <c r="B57" s="149"/>
      <c r="C57" s="332"/>
      <c r="D57" s="332"/>
      <c r="E57" s="332"/>
      <c r="F57" s="332"/>
      <c r="G57" s="332"/>
      <c r="H57" s="332"/>
      <c r="I57" s="332"/>
      <c r="J57" s="332"/>
      <c r="K57" s="332"/>
      <c r="L57" s="332"/>
      <c r="M57" s="333"/>
    </row>
    <row r="58" spans="1:256" x14ac:dyDescent="0.2">
      <c r="A58" s="158"/>
      <c r="B58" s="149"/>
      <c r="C58" s="332"/>
      <c r="D58" s="332"/>
      <c r="E58" s="332"/>
      <c r="F58" s="332"/>
      <c r="G58" s="332"/>
      <c r="H58" s="332"/>
      <c r="I58" s="332"/>
      <c r="J58" s="332"/>
      <c r="K58" s="332"/>
      <c r="L58" s="332"/>
      <c r="M58" s="333"/>
    </row>
    <row r="59" spans="1:256" x14ac:dyDescent="0.2">
      <c r="A59" s="158"/>
      <c r="B59" s="149"/>
      <c r="C59" s="332"/>
      <c r="D59" s="332"/>
      <c r="E59" s="332"/>
      <c r="F59" s="332"/>
      <c r="G59" s="332"/>
      <c r="H59" s="332"/>
      <c r="I59" s="332"/>
      <c r="J59" s="332"/>
      <c r="K59" s="332"/>
      <c r="L59" s="332"/>
      <c r="M59" s="333"/>
    </row>
    <row r="60" spans="1:256" x14ac:dyDescent="0.2">
      <c r="A60" s="158"/>
      <c r="B60" s="149"/>
      <c r="C60" s="332"/>
      <c r="D60" s="332"/>
      <c r="E60" s="332"/>
      <c r="F60" s="332"/>
      <c r="G60" s="332"/>
      <c r="H60" s="332"/>
      <c r="I60" s="332"/>
      <c r="J60" s="332"/>
      <c r="K60" s="332"/>
      <c r="L60" s="332"/>
      <c r="M60" s="333"/>
    </row>
    <row r="61" spans="1:256" x14ac:dyDescent="0.2">
      <c r="A61" s="158"/>
      <c r="B61" s="149"/>
      <c r="C61" s="332"/>
      <c r="D61" s="332"/>
      <c r="E61" s="332"/>
      <c r="F61" s="332"/>
      <c r="G61" s="332"/>
      <c r="H61" s="332"/>
      <c r="I61" s="332"/>
      <c r="J61" s="332"/>
      <c r="K61" s="332"/>
      <c r="L61" s="332"/>
      <c r="M61" s="333"/>
    </row>
    <row r="62" spans="1:256" x14ac:dyDescent="0.2">
      <c r="A62" s="158"/>
      <c r="B62" s="149"/>
      <c r="C62" s="332"/>
      <c r="D62" s="332"/>
      <c r="E62" s="332"/>
      <c r="F62" s="332"/>
      <c r="G62" s="332"/>
      <c r="H62" s="332"/>
      <c r="I62" s="332"/>
      <c r="J62" s="332"/>
      <c r="K62" s="332"/>
      <c r="L62" s="332"/>
      <c r="M62" s="333"/>
    </row>
    <row r="63" spans="1:256" x14ac:dyDescent="0.2">
      <c r="A63" s="158"/>
      <c r="B63" s="149"/>
      <c r="C63" s="332"/>
      <c r="D63" s="332"/>
      <c r="E63" s="332"/>
      <c r="F63" s="332"/>
      <c r="G63" s="332"/>
      <c r="H63" s="332"/>
      <c r="I63" s="332"/>
      <c r="J63" s="332"/>
      <c r="K63" s="332"/>
      <c r="L63" s="332"/>
      <c r="M63" s="333"/>
    </row>
    <row r="64" spans="1:256" x14ac:dyDescent="0.2">
      <c r="A64" s="158"/>
      <c r="B64" s="149"/>
      <c r="C64" s="332"/>
      <c r="D64" s="332"/>
      <c r="E64" s="332"/>
      <c r="F64" s="332"/>
      <c r="G64" s="332"/>
      <c r="H64" s="332"/>
      <c r="I64" s="332"/>
      <c r="J64" s="332"/>
      <c r="K64" s="332"/>
      <c r="L64" s="332"/>
      <c r="M64" s="333"/>
    </row>
    <row r="65" spans="1:13" x14ac:dyDescent="0.2">
      <c r="A65" s="158"/>
      <c r="B65" s="149"/>
      <c r="C65" s="332"/>
      <c r="D65" s="332"/>
      <c r="E65" s="332"/>
      <c r="F65" s="332"/>
      <c r="G65" s="332"/>
      <c r="H65" s="332"/>
      <c r="I65" s="332"/>
      <c r="J65" s="332"/>
      <c r="K65" s="332"/>
      <c r="L65" s="332"/>
      <c r="M65" s="333"/>
    </row>
    <row r="66" spans="1:13" x14ac:dyDescent="0.2">
      <c r="A66" s="158"/>
      <c r="B66" s="149"/>
      <c r="C66" s="332"/>
      <c r="D66" s="332"/>
      <c r="E66" s="332"/>
      <c r="F66" s="332"/>
      <c r="G66" s="332"/>
      <c r="H66" s="332"/>
      <c r="I66" s="332"/>
      <c r="J66" s="332"/>
      <c r="K66" s="332"/>
      <c r="L66" s="332"/>
      <c r="M66" s="333"/>
    </row>
    <row r="67" spans="1:13" x14ac:dyDescent="0.2">
      <c r="A67" s="158"/>
      <c r="B67" s="149"/>
      <c r="C67" s="332"/>
      <c r="D67" s="332"/>
      <c r="E67" s="332"/>
      <c r="F67" s="332"/>
      <c r="G67" s="332"/>
      <c r="H67" s="332"/>
      <c r="I67" s="332"/>
      <c r="J67" s="332"/>
      <c r="K67" s="332"/>
      <c r="L67" s="332"/>
      <c r="M67" s="333"/>
    </row>
    <row r="68" spans="1:13" x14ac:dyDescent="0.2">
      <c r="A68" s="158"/>
      <c r="B68" s="149"/>
      <c r="C68" s="332"/>
      <c r="D68" s="332"/>
      <c r="E68" s="332"/>
      <c r="F68" s="332"/>
      <c r="G68" s="332"/>
      <c r="H68" s="332"/>
      <c r="I68" s="332"/>
      <c r="J68" s="332"/>
      <c r="K68" s="332"/>
      <c r="L68" s="332"/>
      <c r="M68" s="333"/>
    </row>
    <row r="69" spans="1:13" x14ac:dyDescent="0.2">
      <c r="A69" s="158"/>
      <c r="B69" s="149"/>
      <c r="C69" s="332"/>
      <c r="D69" s="332"/>
      <c r="E69" s="332"/>
      <c r="F69" s="332"/>
      <c r="G69" s="332"/>
      <c r="H69" s="332"/>
      <c r="I69" s="332"/>
      <c r="J69" s="332"/>
      <c r="K69" s="332"/>
      <c r="L69" s="332"/>
      <c r="M69" s="333"/>
    </row>
    <row r="70" spans="1:13" ht="12" thickBot="1" x14ac:dyDescent="0.25">
      <c r="A70" s="159"/>
      <c r="B70" s="160"/>
      <c r="C70" s="334"/>
      <c r="D70" s="334"/>
      <c r="E70" s="334"/>
      <c r="F70" s="334"/>
      <c r="G70" s="334"/>
      <c r="H70" s="334"/>
      <c r="I70" s="334"/>
      <c r="J70" s="334"/>
      <c r="K70" s="334"/>
      <c r="L70" s="334"/>
      <c r="M70" s="335"/>
    </row>
    <row r="71" spans="1:13" ht="12" thickTop="1" x14ac:dyDescent="0.2">
      <c r="A71" s="150"/>
      <c r="B71" s="150"/>
      <c r="C71" s="151"/>
      <c r="D71" s="151"/>
      <c r="E71" s="151"/>
      <c r="F71" s="151"/>
      <c r="G71" s="151"/>
      <c r="H71" s="151"/>
      <c r="I71" s="151"/>
      <c r="J71" s="151"/>
      <c r="K71" s="151"/>
      <c r="L71" s="151"/>
    </row>
    <row r="72" spans="1:13" ht="12.75" x14ac:dyDescent="0.2">
      <c r="A72" s="336" t="s">
        <v>828</v>
      </c>
      <c r="B72" s="336"/>
      <c r="C72" s="336"/>
      <c r="D72" s="336"/>
      <c r="E72" s="336"/>
    </row>
    <row r="73" spans="1:13" x14ac:dyDescent="0.2">
      <c r="A73" s="130" t="s">
        <v>761</v>
      </c>
      <c r="B73" s="130" t="s">
        <v>762</v>
      </c>
      <c r="C73" s="318"/>
      <c r="D73" s="318"/>
      <c r="E73" s="318"/>
      <c r="F73" s="318"/>
      <c r="G73" s="318"/>
      <c r="H73" s="318"/>
      <c r="I73" s="318"/>
      <c r="J73" s="318"/>
      <c r="K73" s="318"/>
      <c r="L73" s="318"/>
      <c r="M73" s="318"/>
    </row>
    <row r="74" spans="1:13" x14ac:dyDescent="0.2">
      <c r="A74" s="152"/>
      <c r="B74" s="152"/>
      <c r="C74" s="318"/>
      <c r="D74" s="318"/>
      <c r="E74" s="318"/>
      <c r="F74" s="318"/>
      <c r="G74" s="318"/>
      <c r="H74" s="318"/>
      <c r="I74" s="318"/>
      <c r="J74" s="318"/>
      <c r="K74" s="318"/>
      <c r="L74" s="318"/>
      <c r="M74" s="318"/>
    </row>
    <row r="75" spans="1:13" x14ac:dyDescent="0.2">
      <c r="A75" s="152"/>
      <c r="B75" s="152"/>
      <c r="C75" s="318"/>
      <c r="D75" s="318"/>
      <c r="E75" s="318"/>
      <c r="F75" s="318"/>
      <c r="G75" s="318"/>
      <c r="H75" s="318"/>
      <c r="I75" s="318"/>
      <c r="J75" s="318"/>
      <c r="K75" s="318"/>
      <c r="L75" s="318"/>
      <c r="M75" s="318"/>
    </row>
    <row r="76" spans="1:13" x14ac:dyDescent="0.2">
      <c r="A76" s="152"/>
      <c r="B76" s="152"/>
      <c r="C76" s="318"/>
      <c r="D76" s="318"/>
      <c r="E76" s="318"/>
      <c r="F76" s="318"/>
      <c r="G76" s="318"/>
      <c r="H76" s="318"/>
      <c r="I76" s="318"/>
      <c r="J76" s="318"/>
      <c r="K76" s="318"/>
      <c r="L76" s="318"/>
      <c r="M76" s="318"/>
    </row>
    <row r="77" spans="1:13" x14ac:dyDescent="0.2">
      <c r="A77" s="152"/>
      <c r="B77" s="152"/>
      <c r="C77" s="318"/>
      <c r="D77" s="318"/>
      <c r="E77" s="318"/>
      <c r="F77" s="318"/>
      <c r="G77" s="318"/>
      <c r="H77" s="318"/>
      <c r="I77" s="318"/>
      <c r="J77" s="318"/>
      <c r="K77" s="318"/>
      <c r="L77" s="318"/>
      <c r="M77" s="318"/>
    </row>
    <row r="78" spans="1:13" x14ac:dyDescent="0.2">
      <c r="A78" s="152"/>
      <c r="B78" s="152"/>
      <c r="C78" s="318"/>
      <c r="D78" s="318"/>
      <c r="E78" s="318"/>
      <c r="F78" s="318"/>
      <c r="G78" s="318"/>
      <c r="H78" s="318"/>
      <c r="I78" s="318"/>
      <c r="J78" s="318"/>
      <c r="K78" s="318"/>
      <c r="L78" s="318"/>
      <c r="M78" s="318"/>
    </row>
    <row r="79" spans="1:13" x14ac:dyDescent="0.2">
      <c r="A79" s="152"/>
      <c r="B79" s="152"/>
      <c r="C79" s="318"/>
      <c r="D79" s="318"/>
      <c r="E79" s="318"/>
      <c r="F79" s="318"/>
      <c r="G79" s="318"/>
      <c r="H79" s="318"/>
      <c r="I79" s="318"/>
      <c r="J79" s="318"/>
      <c r="K79" s="318"/>
      <c r="L79" s="318"/>
      <c r="M79" s="318"/>
    </row>
    <row r="80" spans="1:13" x14ac:dyDescent="0.2">
      <c r="A80" s="152"/>
      <c r="B80" s="152"/>
      <c r="C80" s="318"/>
      <c r="D80" s="318"/>
      <c r="E80" s="318"/>
      <c r="F80" s="318"/>
      <c r="G80" s="318"/>
      <c r="H80" s="318"/>
      <c r="I80" s="318"/>
      <c r="J80" s="318"/>
      <c r="K80" s="318"/>
      <c r="L80" s="318"/>
      <c r="M80" s="318"/>
    </row>
    <row r="81" spans="1:13" x14ac:dyDescent="0.2">
      <c r="A81" s="152"/>
      <c r="B81" s="152"/>
      <c r="C81" s="318"/>
      <c r="D81" s="318"/>
      <c r="E81" s="318"/>
      <c r="F81" s="318"/>
      <c r="G81" s="318"/>
      <c r="H81" s="318"/>
      <c r="I81" s="318"/>
      <c r="J81" s="318"/>
      <c r="K81" s="318"/>
      <c r="L81" s="318"/>
      <c r="M81" s="318"/>
    </row>
    <row r="82" spans="1:13" x14ac:dyDescent="0.2">
      <c r="A82" s="152"/>
      <c r="B82" s="152"/>
      <c r="C82" s="318"/>
      <c r="D82" s="318"/>
      <c r="E82" s="318"/>
      <c r="F82" s="318"/>
      <c r="G82" s="318"/>
      <c r="H82" s="318"/>
      <c r="I82" s="318"/>
      <c r="J82" s="318"/>
      <c r="K82" s="318"/>
      <c r="L82" s="318"/>
      <c r="M82" s="318"/>
    </row>
    <row r="83" spans="1:13" x14ac:dyDescent="0.2">
      <c r="A83" s="152"/>
      <c r="B83" s="152"/>
      <c r="C83" s="318"/>
      <c r="D83" s="318"/>
      <c r="E83" s="318"/>
      <c r="F83" s="318"/>
      <c r="G83" s="318"/>
      <c r="H83" s="318"/>
      <c r="I83" s="318"/>
      <c r="J83" s="318"/>
      <c r="K83" s="318"/>
      <c r="L83" s="318"/>
      <c r="M83" s="318"/>
    </row>
    <row r="84" spans="1:13" x14ac:dyDescent="0.2">
      <c r="A84" s="152"/>
      <c r="B84" s="152"/>
      <c r="C84" s="318"/>
      <c r="D84" s="318"/>
      <c r="E84" s="318"/>
      <c r="F84" s="318"/>
      <c r="G84" s="318"/>
      <c r="H84" s="318"/>
      <c r="I84" s="318"/>
      <c r="J84" s="318"/>
      <c r="K84" s="318"/>
      <c r="L84" s="318"/>
      <c r="M84" s="318"/>
    </row>
    <row r="85" spans="1:13" x14ac:dyDescent="0.2">
      <c r="A85" s="152"/>
      <c r="B85" s="152"/>
      <c r="C85" s="318"/>
      <c r="D85" s="318"/>
      <c r="E85" s="318"/>
      <c r="F85" s="318"/>
      <c r="G85" s="318"/>
      <c r="H85" s="318"/>
      <c r="I85" s="318"/>
      <c r="J85" s="318"/>
      <c r="K85" s="318"/>
      <c r="L85" s="318"/>
      <c r="M85" s="318"/>
    </row>
    <row r="86" spans="1:13" x14ac:dyDescent="0.2">
      <c r="A86" s="152"/>
      <c r="B86" s="152"/>
      <c r="C86" s="318"/>
      <c r="D86" s="318"/>
      <c r="E86" s="318"/>
      <c r="F86" s="318"/>
      <c r="G86" s="318"/>
      <c r="H86" s="318"/>
      <c r="I86" s="318"/>
      <c r="J86" s="318"/>
      <c r="K86" s="318"/>
      <c r="L86" s="318"/>
      <c r="M86" s="318"/>
    </row>
    <row r="87" spans="1:13" x14ac:dyDescent="0.2">
      <c r="A87" s="152"/>
      <c r="B87" s="152"/>
      <c r="C87" s="318"/>
      <c r="D87" s="318"/>
      <c r="E87" s="318"/>
      <c r="F87" s="318"/>
      <c r="G87" s="318"/>
      <c r="H87" s="318"/>
      <c r="I87" s="318"/>
      <c r="J87" s="318"/>
      <c r="K87" s="318"/>
      <c r="L87" s="318"/>
      <c r="M87" s="318"/>
    </row>
    <row r="88" spans="1:13" x14ac:dyDescent="0.2">
      <c r="A88" s="152"/>
      <c r="B88" s="152"/>
      <c r="C88" s="318"/>
      <c r="D88" s="318"/>
      <c r="E88" s="318"/>
      <c r="F88" s="318"/>
      <c r="G88" s="318"/>
      <c r="H88" s="318"/>
      <c r="I88" s="318"/>
      <c r="J88" s="318"/>
      <c r="K88" s="318"/>
      <c r="L88" s="318"/>
      <c r="M88" s="318"/>
    </row>
    <row r="89" spans="1:13" x14ac:dyDescent="0.2">
      <c r="A89" s="152"/>
      <c r="B89" s="152"/>
      <c r="C89" s="318"/>
      <c r="D89" s="318"/>
      <c r="E89" s="318"/>
      <c r="F89" s="318"/>
      <c r="G89" s="318"/>
      <c r="H89" s="318"/>
      <c r="I89" s="318"/>
      <c r="J89" s="318"/>
      <c r="K89" s="318"/>
      <c r="L89" s="318"/>
      <c r="M89" s="318"/>
    </row>
    <row r="90" spans="1:13" x14ac:dyDescent="0.2">
      <c r="A90" s="152"/>
      <c r="B90" s="152"/>
      <c r="C90" s="318"/>
      <c r="D90" s="318"/>
      <c r="E90" s="318"/>
      <c r="F90" s="318"/>
      <c r="G90" s="318"/>
      <c r="H90" s="318"/>
      <c r="I90" s="318"/>
      <c r="J90" s="318"/>
      <c r="K90" s="318"/>
      <c r="L90" s="318"/>
      <c r="M90" s="318"/>
    </row>
  </sheetData>
  <sheetProtection algorithmName="SHA-512" hashValue="XKtvEPYBDegByDjjmC39vZSdW8pjjOXLZRoCtU7a228xluF7qWoXHcPOZPnzaOwJNghSUt4ynYy3D4AU87eIKQ==" saltValue="99BV4mXzVOvyJUN3ODS+ew==" spinCount="100000"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workbookViewId="0">
      <selection activeCell="A340" sqref="A340"/>
    </sheetView>
  </sheetViews>
  <sheetFormatPr defaultRowHeight="11.25" x14ac:dyDescent="0.2"/>
  <cols>
    <col min="2" max="2" width="35.1640625" customWidth="1"/>
    <col min="3" max="3" width="46.6640625" customWidth="1"/>
    <col min="4" max="4" width="10.33203125" customWidth="1"/>
    <col min="5" max="5" width="13.1640625" customWidth="1"/>
    <col min="7" max="7" width="37" customWidth="1"/>
    <col min="8" max="10" width="15.1640625" customWidth="1"/>
    <col min="11" max="11" width="16.6640625" customWidth="1"/>
    <col min="12" max="12" width="16" customWidth="1"/>
    <col min="13" max="13" width="17.5" customWidth="1"/>
    <col min="14" max="14" width="29.5" customWidth="1"/>
    <col min="17" max="17" width="15.33203125" customWidth="1"/>
    <col min="18" max="21" width="17.5" customWidth="1"/>
    <col min="22" max="22" width="13" customWidth="1"/>
    <col min="24" max="24" width="17.6640625" customWidth="1"/>
    <col min="25" max="25" width="31.6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284" t="s">
        <v>365</v>
      </c>
      <c r="B1" s="285"/>
      <c r="C1" s="285"/>
      <c r="D1" s="285"/>
      <c r="E1" s="285"/>
      <c r="F1" s="285"/>
      <c r="G1" s="285"/>
      <c r="H1" s="285"/>
      <c r="I1" s="285"/>
      <c r="J1" s="285"/>
      <c r="K1" s="286"/>
      <c r="L1" s="287" t="s">
        <v>1526</v>
      </c>
      <c r="M1" s="288"/>
      <c r="N1" s="288"/>
      <c r="O1" s="288"/>
      <c r="P1" s="288"/>
      <c r="Q1" s="288"/>
      <c r="R1" s="288"/>
      <c r="S1" s="288"/>
      <c r="T1" s="288"/>
      <c r="U1" s="288"/>
      <c r="V1" s="289"/>
      <c r="W1" s="290" t="s">
        <v>367</v>
      </c>
      <c r="X1" s="291"/>
      <c r="Y1" s="291"/>
      <c r="Z1" s="291"/>
      <c r="AA1" s="291"/>
      <c r="AB1" s="291"/>
      <c r="AC1" s="291"/>
      <c r="AD1" s="291"/>
      <c r="AE1" s="291"/>
      <c r="AF1" s="291"/>
      <c r="AG1" s="292"/>
      <c r="AH1" s="317" t="s">
        <v>1734</v>
      </c>
      <c r="AI1" s="301"/>
      <c r="AJ1" s="301"/>
      <c r="AK1" s="301"/>
      <c r="AL1" s="301"/>
    </row>
    <row r="2" spans="1:38" ht="57" x14ac:dyDescent="0.2">
      <c r="A2" s="277" t="s">
        <v>896</v>
      </c>
      <c r="B2" s="278" t="s">
        <v>1624</v>
      </c>
      <c r="C2" s="278" t="s">
        <v>898</v>
      </c>
      <c r="D2" s="277" t="s">
        <v>1625</v>
      </c>
      <c r="E2" s="278" t="s">
        <v>1626</v>
      </c>
      <c r="F2" s="277" t="s">
        <v>1627</v>
      </c>
      <c r="G2" s="278" t="s">
        <v>1628</v>
      </c>
      <c r="H2" s="280" t="s">
        <v>1736</v>
      </c>
      <c r="I2" s="280" t="s">
        <v>1737</v>
      </c>
      <c r="J2" s="280" t="s">
        <v>1738</v>
      </c>
      <c r="K2" s="280" t="s">
        <v>1764</v>
      </c>
      <c r="L2" s="277" t="s">
        <v>896</v>
      </c>
      <c r="M2" s="278" t="s">
        <v>1624</v>
      </c>
      <c r="N2" s="278" t="s">
        <v>898</v>
      </c>
      <c r="O2" s="277" t="s">
        <v>1625</v>
      </c>
      <c r="P2" s="278" t="s">
        <v>1626</v>
      </c>
      <c r="Q2" s="277" t="s">
        <v>1627</v>
      </c>
      <c r="R2" s="278" t="s">
        <v>1628</v>
      </c>
      <c r="S2" s="280" t="s">
        <v>1736</v>
      </c>
      <c r="T2" s="280" t="s">
        <v>1737</v>
      </c>
      <c r="U2" s="280" t="s">
        <v>1738</v>
      </c>
      <c r="V2" s="280" t="s">
        <v>1765</v>
      </c>
      <c r="W2" s="277" t="s">
        <v>896</v>
      </c>
      <c r="X2" s="278" t="s">
        <v>1624</v>
      </c>
      <c r="Y2" s="278" t="s">
        <v>898</v>
      </c>
      <c r="Z2" s="277" t="s">
        <v>1625</v>
      </c>
      <c r="AA2" s="278" t="s">
        <v>1626</v>
      </c>
      <c r="AB2" s="277" t="s">
        <v>1627</v>
      </c>
      <c r="AC2" s="278" t="s">
        <v>1628</v>
      </c>
      <c r="AD2" s="280" t="s">
        <v>1736</v>
      </c>
      <c r="AE2" s="280" t="s">
        <v>1737</v>
      </c>
      <c r="AF2" s="280" t="s">
        <v>1738</v>
      </c>
      <c r="AG2" s="280" t="s">
        <v>1765</v>
      </c>
      <c r="AH2" s="277" t="s">
        <v>896</v>
      </c>
      <c r="AI2" s="278" t="s">
        <v>1735</v>
      </c>
      <c r="AJ2" s="278" t="s">
        <v>1624</v>
      </c>
      <c r="AK2" s="277" t="s">
        <v>1627</v>
      </c>
      <c r="AL2" s="278" t="s">
        <v>1628</v>
      </c>
    </row>
    <row r="3" spans="1:38" ht="63.75" x14ac:dyDescent="0.25">
      <c r="A3" s="279">
        <v>999</v>
      </c>
      <c r="B3" s="279" t="s">
        <v>1531</v>
      </c>
      <c r="C3" s="279" t="s">
        <v>1531</v>
      </c>
      <c r="D3" s="279">
        <v>99991</v>
      </c>
      <c r="E3" s="279" t="s">
        <v>61</v>
      </c>
      <c r="F3" s="277"/>
      <c r="G3" s="278"/>
      <c r="H3" s="280"/>
      <c r="I3" s="280"/>
      <c r="J3" s="280"/>
      <c r="K3" s="235"/>
      <c r="L3" s="279">
        <v>999</v>
      </c>
      <c r="M3" s="279" t="s">
        <v>1531</v>
      </c>
      <c r="N3" s="279" t="s">
        <v>1531</v>
      </c>
      <c r="O3" s="279">
        <v>99992</v>
      </c>
      <c r="P3" s="279" t="s">
        <v>1517</v>
      </c>
      <c r="Q3" s="277"/>
      <c r="R3" s="278"/>
      <c r="S3" s="280"/>
      <c r="T3" s="280"/>
      <c r="U3" s="280"/>
      <c r="V3" s="236"/>
      <c r="W3" s="279">
        <v>999</v>
      </c>
      <c r="X3" s="279" t="s">
        <v>1531</v>
      </c>
      <c r="Y3" s="279" t="s">
        <v>1531</v>
      </c>
      <c r="Z3" s="279">
        <v>99993</v>
      </c>
      <c r="AA3" s="279" t="s">
        <v>1518</v>
      </c>
      <c r="AB3" s="277"/>
      <c r="AC3" s="278"/>
      <c r="AD3" s="280"/>
      <c r="AE3" s="280"/>
      <c r="AF3" s="280"/>
      <c r="AH3" s="282">
        <v>725</v>
      </c>
      <c r="AI3" s="282">
        <v>725</v>
      </c>
      <c r="AJ3" s="282" t="s">
        <v>1494</v>
      </c>
      <c r="AK3" s="282">
        <v>411</v>
      </c>
      <c r="AL3" s="282" t="s">
        <v>1494</v>
      </c>
    </row>
    <row r="4" spans="1:38" ht="12.75" x14ac:dyDescent="0.2">
      <c r="A4">
        <v>111</v>
      </c>
      <c r="B4" t="s">
        <v>958</v>
      </c>
      <c r="C4" t="s">
        <v>960</v>
      </c>
      <c r="D4">
        <v>20240</v>
      </c>
      <c r="E4" t="s">
        <v>61</v>
      </c>
      <c r="F4">
        <v>8</v>
      </c>
      <c r="G4" t="s">
        <v>1629</v>
      </c>
      <c r="H4" s="281">
        <f>ROWS($G$4:G4)</f>
        <v>1</v>
      </c>
      <c r="I4" s="281" t="str">
        <f>IF('School Level Expenditures'!$B$2=A4,'School Tables'!H4,"")</f>
        <v/>
      </c>
      <c r="J4" s="281">
        <f>IFERROR(SMALL($I$4:$I$325,ROWS($I$4:I4)),"")</f>
        <v>241</v>
      </c>
      <c r="K4" s="256" t="b">
        <f>C4=C5</f>
        <v>0</v>
      </c>
      <c r="L4">
        <v>113</v>
      </c>
      <c r="M4" t="s">
        <v>978</v>
      </c>
      <c r="N4" t="s">
        <v>1600</v>
      </c>
      <c r="O4">
        <v>27010</v>
      </c>
      <c r="P4" t="s">
        <v>1517</v>
      </c>
      <c r="Q4">
        <v>9</v>
      </c>
      <c r="R4" t="s">
        <v>1662</v>
      </c>
      <c r="S4" s="281">
        <f>ROWS($Q$4:Q4)</f>
        <v>1</v>
      </c>
      <c r="T4" s="281" t="str">
        <f>IF('School Level Expenditures'!$B$2='School Tables'!L4,'School Tables'!S4,"")</f>
        <v/>
      </c>
      <c r="U4" s="281" t="str">
        <f>IFERROR(SMALL($T$4:$T$75,ROWS($T$4:T4)),"")</f>
        <v/>
      </c>
      <c r="V4" s="256" t="b">
        <f>N4=N5</f>
        <v>0</v>
      </c>
      <c r="W4">
        <v>725</v>
      </c>
      <c r="X4" t="s">
        <v>1494</v>
      </c>
      <c r="Y4" t="s">
        <v>1495</v>
      </c>
      <c r="Z4">
        <v>28615</v>
      </c>
      <c r="AA4" t="s">
        <v>1518</v>
      </c>
      <c r="AB4">
        <v>411</v>
      </c>
      <c r="AC4" t="s">
        <v>1494</v>
      </c>
      <c r="AD4" s="281">
        <f>ROWS($AC$4:AC4)</f>
        <v>1</v>
      </c>
      <c r="AE4" s="281" t="str">
        <f>IF('School Level Expenditures'!$B$2='School Tables'!W4,'School Tables'!AD4,"")</f>
        <v/>
      </c>
      <c r="AF4" s="281">
        <f>IFERROR(SMALL(AE4:$AE$100,ROWS($AE$4:AE4)),"")</f>
        <v>74</v>
      </c>
      <c r="AG4" s="256" t="b">
        <f>Y4=Y5</f>
        <v>0</v>
      </c>
      <c r="AH4">
        <v>5</v>
      </c>
      <c r="AI4">
        <v>5</v>
      </c>
      <c r="AJ4" t="s">
        <v>1739</v>
      </c>
      <c r="AK4">
        <v>9</v>
      </c>
      <c r="AL4" t="s">
        <v>1662</v>
      </c>
    </row>
    <row r="5" spans="1:38" ht="12.75" x14ac:dyDescent="0.2">
      <c r="A5">
        <v>174</v>
      </c>
      <c r="B5" t="s">
        <v>1021</v>
      </c>
      <c r="C5" t="s">
        <v>1022</v>
      </c>
      <c r="D5">
        <v>22960</v>
      </c>
      <c r="E5" t="s">
        <v>61</v>
      </c>
      <c r="F5">
        <v>60</v>
      </c>
      <c r="G5" t="s">
        <v>1630</v>
      </c>
      <c r="H5" s="281">
        <f>ROWS($G$4:G5)</f>
        <v>2</v>
      </c>
      <c r="I5" s="281" t="str">
        <f>IF('School Level Expenditures'!$B$2=A5,'School Tables'!H5,"")</f>
        <v/>
      </c>
      <c r="J5" s="281">
        <f>IFERROR(SMALL($I$4:$I$325,ROWS($I$4:I5)),"")</f>
        <v>302</v>
      </c>
      <c r="K5" s="256" t="b">
        <f t="shared" ref="K5:K68" si="0">C5=C6</f>
        <v>0</v>
      </c>
      <c r="L5">
        <v>725</v>
      </c>
      <c r="M5" t="s">
        <v>1494</v>
      </c>
      <c r="N5" t="s">
        <v>1496</v>
      </c>
      <c r="O5">
        <v>28580</v>
      </c>
      <c r="P5" t="s">
        <v>1517</v>
      </c>
      <c r="Q5">
        <v>411</v>
      </c>
      <c r="R5" t="s">
        <v>1494</v>
      </c>
      <c r="S5" s="281">
        <f>ROWS($Q$4:Q5)</f>
        <v>2</v>
      </c>
      <c r="T5" s="281" t="str">
        <f>IF('School Level Expenditures'!$B$2='School Tables'!L5,'School Tables'!S5,"")</f>
        <v/>
      </c>
      <c r="U5" s="281" t="str">
        <f>IFERROR(SMALL($T$4:$T$75,ROWS($T$4:T5)),"")</f>
        <v/>
      </c>
      <c r="V5" s="256" t="b">
        <f t="shared" ref="V5:V61" si="1">N5=N6</f>
        <v>0</v>
      </c>
      <c r="W5">
        <v>267</v>
      </c>
      <c r="X5" t="s">
        <v>1117</v>
      </c>
      <c r="Y5" t="s">
        <v>1119</v>
      </c>
      <c r="Z5">
        <v>21050</v>
      </c>
      <c r="AA5" t="s">
        <v>1518</v>
      </c>
      <c r="AB5">
        <v>81</v>
      </c>
      <c r="AC5" t="s">
        <v>1668</v>
      </c>
      <c r="AD5" s="281">
        <f>ROWS($AC$4:AC5)</f>
        <v>2</v>
      </c>
      <c r="AE5" s="281" t="str">
        <f>IF('School Level Expenditures'!$B$2='School Tables'!W5,'School Tables'!AD5,"")</f>
        <v/>
      </c>
      <c r="AF5" s="281" t="str">
        <f>IFERROR(SMALL(AE5:$AE$100,ROWS($AE$4:AE5)),"")</f>
        <v/>
      </c>
      <c r="AG5" s="256" t="b">
        <f t="shared" ref="AG5:AG30" si="2">Y5=Y6</f>
        <v>0</v>
      </c>
      <c r="AH5">
        <v>9</v>
      </c>
      <c r="AI5">
        <v>9</v>
      </c>
      <c r="AJ5" t="s">
        <v>899</v>
      </c>
      <c r="AK5">
        <v>53</v>
      </c>
      <c r="AL5" t="s">
        <v>1632</v>
      </c>
    </row>
    <row r="6" spans="1:38" ht="12.75" x14ac:dyDescent="0.2">
      <c r="A6">
        <v>225</v>
      </c>
      <c r="B6" t="s">
        <v>1075</v>
      </c>
      <c r="C6" t="s">
        <v>1077</v>
      </c>
      <c r="D6">
        <v>20795</v>
      </c>
      <c r="E6" t="s">
        <v>61</v>
      </c>
      <c r="F6">
        <v>90</v>
      </c>
      <c r="G6" t="s">
        <v>1631</v>
      </c>
      <c r="H6" s="281">
        <f>ROWS($G$4:G6)</f>
        <v>3</v>
      </c>
      <c r="I6" s="281" t="str">
        <f>IF('School Level Expenditures'!$B$2=A6,'School Tables'!H6,"")</f>
        <v/>
      </c>
      <c r="J6" s="281" t="str">
        <f>IFERROR(SMALL($I$4:$I$325,ROWS($I$4:I6)),"")</f>
        <v/>
      </c>
      <c r="K6" s="256" t="b">
        <f t="shared" si="0"/>
        <v>0</v>
      </c>
      <c r="L6">
        <v>17</v>
      </c>
      <c r="M6" t="s">
        <v>904</v>
      </c>
      <c r="N6" t="s">
        <v>905</v>
      </c>
      <c r="O6">
        <v>21745</v>
      </c>
      <c r="P6" t="s">
        <v>1517</v>
      </c>
      <c r="Q6">
        <v>39</v>
      </c>
      <c r="R6" t="s">
        <v>1660</v>
      </c>
      <c r="S6" s="281">
        <f>ROWS($Q$4:Q6)</f>
        <v>3</v>
      </c>
      <c r="T6" s="281" t="str">
        <f>IF('School Level Expenditures'!$B$2='School Tables'!L6,'School Tables'!S6,"")</f>
        <v/>
      </c>
      <c r="U6" s="281" t="str">
        <f>IFERROR(SMALL($T$4:$T$75,ROWS($T$4:T6)),"")</f>
        <v/>
      </c>
      <c r="V6" s="256" t="b">
        <f t="shared" si="1"/>
        <v>0</v>
      </c>
      <c r="W6">
        <v>702</v>
      </c>
      <c r="X6" t="s">
        <v>1827</v>
      </c>
      <c r="Y6" t="s">
        <v>1828</v>
      </c>
      <c r="Z6">
        <v>29153</v>
      </c>
      <c r="AA6" t="s">
        <v>1518</v>
      </c>
      <c r="AB6">
        <v>426</v>
      </c>
      <c r="AC6" t="s">
        <v>1827</v>
      </c>
      <c r="AD6" s="281">
        <f>ROWS($AC$4:AC6)</f>
        <v>3</v>
      </c>
      <c r="AE6" s="281" t="str">
        <f>IF('School Level Expenditures'!$B$2='School Tables'!W6,'School Tables'!AD6,"")</f>
        <v/>
      </c>
      <c r="AF6" s="281" t="str">
        <f>IFERROR(SMALL(AE6:$AE$100,ROWS($AE$4:AE6)),"")</f>
        <v/>
      </c>
      <c r="AG6" s="256" t="b">
        <f t="shared" si="2"/>
        <v>0</v>
      </c>
      <c r="AH6">
        <v>15</v>
      </c>
      <c r="AI6">
        <v>15</v>
      </c>
      <c r="AJ6" t="s">
        <v>902</v>
      </c>
      <c r="AK6">
        <v>72</v>
      </c>
      <c r="AL6" t="s">
        <v>1633</v>
      </c>
    </row>
    <row r="7" spans="1:38" ht="12.75" x14ac:dyDescent="0.2">
      <c r="A7">
        <v>9</v>
      </c>
      <c r="B7" t="s">
        <v>899</v>
      </c>
      <c r="C7" t="s">
        <v>901</v>
      </c>
      <c r="D7">
        <v>22580</v>
      </c>
      <c r="E7" t="s">
        <v>61</v>
      </c>
      <c r="F7">
        <v>53</v>
      </c>
      <c r="G7" t="s">
        <v>1632</v>
      </c>
      <c r="H7" s="281">
        <f>ROWS($G$4:G7)</f>
        <v>4</v>
      </c>
      <c r="I7" s="281" t="str">
        <f>IF('School Level Expenditures'!$B$2=A7,'School Tables'!H7,"")</f>
        <v/>
      </c>
      <c r="J7" s="281" t="str">
        <f>IFERROR(SMALL($I$4:$I$325,ROWS($I$4:I7)),"")</f>
        <v/>
      </c>
      <c r="K7" s="256" t="b">
        <f t="shared" si="0"/>
        <v>0</v>
      </c>
      <c r="L7">
        <v>33</v>
      </c>
      <c r="M7" t="s">
        <v>915</v>
      </c>
      <c r="N7" t="s">
        <v>916</v>
      </c>
      <c r="O7">
        <v>22030</v>
      </c>
      <c r="P7" t="s">
        <v>1517</v>
      </c>
      <c r="Q7">
        <v>74</v>
      </c>
      <c r="R7" t="s">
        <v>1642</v>
      </c>
      <c r="S7" s="281">
        <f>ROWS($Q$4:Q7)</f>
        <v>4</v>
      </c>
      <c r="T7" s="281" t="str">
        <f>IF('School Level Expenditures'!$B$2='School Tables'!L7,'School Tables'!S7,"")</f>
        <v/>
      </c>
      <c r="U7" s="281" t="str">
        <f>IFERROR(SMALL($T$4:$T$75,ROWS($T$4:T7)),"")</f>
        <v/>
      </c>
      <c r="V7" s="256" t="b">
        <f t="shared" si="1"/>
        <v>0</v>
      </c>
      <c r="W7">
        <v>41</v>
      </c>
      <c r="X7" t="s">
        <v>923</v>
      </c>
      <c r="Y7" t="s">
        <v>927</v>
      </c>
      <c r="Z7">
        <v>28555</v>
      </c>
      <c r="AA7" t="s">
        <v>1518</v>
      </c>
      <c r="AB7">
        <v>25</v>
      </c>
      <c r="AC7" t="s">
        <v>1712</v>
      </c>
      <c r="AD7" s="281">
        <f>ROWS($AC$4:AC7)</f>
        <v>4</v>
      </c>
      <c r="AE7" s="281" t="str">
        <f>IF('School Level Expenditures'!$B$2='School Tables'!W7,'School Tables'!AD7,"")</f>
        <v/>
      </c>
      <c r="AF7" s="281" t="str">
        <f>IFERROR(SMALL(AE7:$AE$100,ROWS($AE$4:AE7)),"")</f>
        <v/>
      </c>
      <c r="AG7" s="256" t="b">
        <f t="shared" si="2"/>
        <v>0</v>
      </c>
      <c r="AH7">
        <v>17</v>
      </c>
      <c r="AI7">
        <v>17</v>
      </c>
      <c r="AJ7" t="s">
        <v>904</v>
      </c>
      <c r="AK7">
        <v>39</v>
      </c>
      <c r="AL7" t="s">
        <v>1660</v>
      </c>
    </row>
    <row r="8" spans="1:38" ht="12.75" x14ac:dyDescent="0.2">
      <c r="A8">
        <v>174</v>
      </c>
      <c r="B8" t="s">
        <v>1021</v>
      </c>
      <c r="C8" t="s">
        <v>1023</v>
      </c>
      <c r="D8">
        <v>22965</v>
      </c>
      <c r="E8" t="s">
        <v>61</v>
      </c>
      <c r="F8">
        <v>60</v>
      </c>
      <c r="G8" t="s">
        <v>1630</v>
      </c>
      <c r="H8" s="281">
        <f>ROWS($G$4:G8)</f>
        <v>5</v>
      </c>
      <c r="I8" s="281" t="str">
        <f>IF('School Level Expenditures'!$B$2=A8,'School Tables'!H8,"")</f>
        <v/>
      </c>
      <c r="J8" s="281" t="str">
        <f>IFERROR(SMALL($I$4:$I$325,ROWS($I$4:I8)),"")</f>
        <v/>
      </c>
      <c r="K8" s="256" t="b">
        <f t="shared" si="0"/>
        <v>0</v>
      </c>
      <c r="L8">
        <v>486</v>
      </c>
      <c r="M8" t="s">
        <v>1395</v>
      </c>
      <c r="N8" t="s">
        <v>1399</v>
      </c>
      <c r="O8">
        <v>22150</v>
      </c>
      <c r="P8" t="s">
        <v>1517</v>
      </c>
      <c r="Q8">
        <v>80</v>
      </c>
      <c r="R8" t="s">
        <v>1645</v>
      </c>
      <c r="S8" s="281">
        <f>ROWS($Q$4:Q8)</f>
        <v>5</v>
      </c>
      <c r="T8" s="281" t="str">
        <f>IF('School Level Expenditures'!$B$2='School Tables'!L8,'School Tables'!S8,"")</f>
        <v/>
      </c>
      <c r="U8" s="281" t="str">
        <f>IFERROR(SMALL($T$4:$T$75,ROWS($T$4:T8)),"")</f>
        <v/>
      </c>
      <c r="V8" s="256" t="b">
        <f t="shared" si="1"/>
        <v>0</v>
      </c>
      <c r="W8">
        <v>486</v>
      </c>
      <c r="X8" t="s">
        <v>1395</v>
      </c>
      <c r="Y8" t="s">
        <v>1398</v>
      </c>
      <c r="Z8">
        <v>22145</v>
      </c>
      <c r="AA8" t="s">
        <v>1518</v>
      </c>
      <c r="AB8">
        <v>80</v>
      </c>
      <c r="AC8" t="s">
        <v>1645</v>
      </c>
      <c r="AD8" s="281">
        <f>ROWS($AC$4:AC8)</f>
        <v>5</v>
      </c>
      <c r="AE8" s="281" t="str">
        <f>IF('School Level Expenditures'!$B$2='School Tables'!W8,'School Tables'!AD8,"")</f>
        <v/>
      </c>
      <c r="AF8" s="281" t="str">
        <f>IFERROR(SMALL(AE8:$AE$100,ROWS($AE$4:AE8)),"")</f>
        <v/>
      </c>
      <c r="AG8" s="256" t="b">
        <f t="shared" si="2"/>
        <v>0</v>
      </c>
      <c r="AH8">
        <v>19</v>
      </c>
      <c r="AI8">
        <v>19</v>
      </c>
      <c r="AJ8" t="s">
        <v>907</v>
      </c>
      <c r="AK8">
        <v>46</v>
      </c>
      <c r="AL8" t="s">
        <v>1635</v>
      </c>
    </row>
    <row r="9" spans="1:38" ht="12.75" x14ac:dyDescent="0.2">
      <c r="A9">
        <v>15</v>
      </c>
      <c r="B9" t="s">
        <v>902</v>
      </c>
      <c r="C9" t="s">
        <v>903</v>
      </c>
      <c r="D9">
        <v>22480</v>
      </c>
      <c r="E9" t="s">
        <v>61</v>
      </c>
      <c r="F9">
        <v>72</v>
      </c>
      <c r="G9" t="s">
        <v>1633</v>
      </c>
      <c r="H9" s="281">
        <f>ROWS($G$4:G9)</f>
        <v>6</v>
      </c>
      <c r="I9" s="281" t="str">
        <f>IF('School Level Expenditures'!$B$2=A9,'School Tables'!H9,"")</f>
        <v/>
      </c>
      <c r="J9" s="281" t="str">
        <f>IFERROR(SMALL($I$4:$I$325,ROWS($I$4:I9)),"")</f>
        <v/>
      </c>
      <c r="K9" s="256" t="b">
        <f t="shared" si="0"/>
        <v>0</v>
      </c>
      <c r="L9">
        <v>726</v>
      </c>
      <c r="M9" s="71" t="s">
        <v>1839</v>
      </c>
      <c r="N9" s="71" t="s">
        <v>1837</v>
      </c>
      <c r="O9">
        <v>29261</v>
      </c>
      <c r="P9" t="s">
        <v>1517</v>
      </c>
      <c r="Q9">
        <v>455</v>
      </c>
      <c r="R9" t="s">
        <v>1822</v>
      </c>
      <c r="S9" s="281">
        <f>ROWS($Q$4:Q9)</f>
        <v>6</v>
      </c>
      <c r="T9" s="281" t="str">
        <f>IF('School Level Expenditures'!$B$2='School Tables'!L9,'School Tables'!S9,"")</f>
        <v/>
      </c>
      <c r="U9" s="281" t="str">
        <f>IFERROR(SMALL($T$4:$T$75,ROWS($T$4:T9)),"")</f>
        <v/>
      </c>
      <c r="V9" s="256" t="b">
        <f t="shared" si="1"/>
        <v>0</v>
      </c>
      <c r="W9">
        <v>726</v>
      </c>
      <c r="X9" s="71" t="s">
        <v>1839</v>
      </c>
      <c r="Y9" s="71" t="s">
        <v>1838</v>
      </c>
      <c r="Z9">
        <v>29262</v>
      </c>
      <c r="AA9" t="s">
        <v>1518</v>
      </c>
      <c r="AB9">
        <v>455</v>
      </c>
      <c r="AC9" t="s">
        <v>1822</v>
      </c>
      <c r="AD9" s="281">
        <f>ROWS($AC$4:AC9)</f>
        <v>6</v>
      </c>
      <c r="AE9" s="281" t="str">
        <f>IF('School Level Expenditures'!$B$2='School Tables'!W9,'School Tables'!AD9,"")</f>
        <v/>
      </c>
      <c r="AF9" s="281" t="str">
        <f>IFERROR(SMALL(AE9:$AE$100,ROWS($AE$4:AE9)),"")</f>
        <v/>
      </c>
      <c r="AG9" s="256" t="b">
        <f t="shared" si="2"/>
        <v>0</v>
      </c>
      <c r="AH9">
        <v>23</v>
      </c>
      <c r="AI9">
        <v>23</v>
      </c>
      <c r="AJ9" t="s">
        <v>909</v>
      </c>
      <c r="AK9">
        <v>2</v>
      </c>
      <c r="AL9" t="s">
        <v>1637</v>
      </c>
    </row>
    <row r="10" spans="1:38" ht="12.75" x14ac:dyDescent="0.2">
      <c r="A10">
        <v>371</v>
      </c>
      <c r="B10" t="s">
        <v>1268</v>
      </c>
      <c r="C10" t="s">
        <v>1284</v>
      </c>
      <c r="D10">
        <v>21940</v>
      </c>
      <c r="E10" t="s">
        <v>61</v>
      </c>
      <c r="F10">
        <v>42</v>
      </c>
      <c r="G10" t="s">
        <v>1634</v>
      </c>
      <c r="H10" s="281">
        <f>ROWS($G$4:G10)</f>
        <v>7</v>
      </c>
      <c r="I10" s="281" t="str">
        <f>IF('School Level Expenditures'!$B$2=A10,'School Tables'!H10,"")</f>
        <v/>
      </c>
      <c r="J10" s="281" t="str">
        <f>IFERROR(SMALL($I$4:$I$325,ROWS($I$4:I10)),"")</f>
        <v/>
      </c>
      <c r="K10" s="256" t="b">
        <f t="shared" si="0"/>
        <v>0</v>
      </c>
      <c r="L10">
        <v>51</v>
      </c>
      <c r="M10" t="s">
        <v>929</v>
      </c>
      <c r="N10" t="s">
        <v>930</v>
      </c>
      <c r="O10">
        <v>20045</v>
      </c>
      <c r="P10" t="s">
        <v>1517</v>
      </c>
      <c r="Q10">
        <v>3</v>
      </c>
      <c r="R10" t="s">
        <v>1646</v>
      </c>
      <c r="S10" s="281">
        <f>ROWS($Q$4:Q10)</f>
        <v>7</v>
      </c>
      <c r="T10" s="281" t="str">
        <f>IF('School Level Expenditures'!$B$2='School Tables'!L10,'School Tables'!S10,"")</f>
        <v/>
      </c>
      <c r="U10" s="281" t="str">
        <f>IFERROR(SMALL($T$4:$T$75,ROWS($T$4:T10)),"")</f>
        <v/>
      </c>
      <c r="V10" s="256" t="b">
        <f t="shared" si="1"/>
        <v>0</v>
      </c>
      <c r="W10">
        <v>51</v>
      </c>
      <c r="X10" t="s">
        <v>929</v>
      </c>
      <c r="Y10" t="s">
        <v>931</v>
      </c>
      <c r="Z10">
        <v>20050</v>
      </c>
      <c r="AA10" t="s">
        <v>1518</v>
      </c>
      <c r="AB10">
        <v>3</v>
      </c>
      <c r="AC10" t="s">
        <v>1646</v>
      </c>
      <c r="AD10" s="281">
        <f>ROWS($AC$4:AC10)</f>
        <v>7</v>
      </c>
      <c r="AE10" s="281" t="str">
        <f>IF('School Level Expenditures'!$B$2='School Tables'!W10,'School Tables'!AD10,"")</f>
        <v/>
      </c>
      <c r="AF10" s="281" t="str">
        <f>IFERROR(SMALL(AE10:$AE$100,ROWS($AE$4:AE10)),"")</f>
        <v/>
      </c>
      <c r="AG10" s="256" t="b">
        <f t="shared" si="2"/>
        <v>0</v>
      </c>
      <c r="AH10">
        <v>29</v>
      </c>
      <c r="AI10">
        <v>29</v>
      </c>
      <c r="AJ10" t="s">
        <v>911</v>
      </c>
      <c r="AK10">
        <v>15</v>
      </c>
      <c r="AL10" t="s">
        <v>1639</v>
      </c>
    </row>
    <row r="11" spans="1:38" ht="12.75" x14ac:dyDescent="0.2">
      <c r="A11">
        <v>19</v>
      </c>
      <c r="B11" t="s">
        <v>907</v>
      </c>
      <c r="C11" t="s">
        <v>908</v>
      </c>
      <c r="D11">
        <v>22130</v>
      </c>
      <c r="E11" t="s">
        <v>61</v>
      </c>
      <c r="F11">
        <v>46</v>
      </c>
      <c r="G11" t="s">
        <v>1635</v>
      </c>
      <c r="H11" s="281">
        <f>ROWS($G$4:G11)</f>
        <v>8</v>
      </c>
      <c r="I11" s="281" t="str">
        <f>IF('School Level Expenditures'!$B$2=A11,'School Tables'!H11,"")</f>
        <v/>
      </c>
      <c r="J11" s="281" t="str">
        <f>IFERROR(SMALL($I$4:$I$325,ROWS($I$4:I11)),"")</f>
        <v/>
      </c>
      <c r="K11" s="256" t="b">
        <f t="shared" si="0"/>
        <v>0</v>
      </c>
      <c r="L11">
        <v>57</v>
      </c>
      <c r="M11" t="s">
        <v>934</v>
      </c>
      <c r="N11" t="s">
        <v>935</v>
      </c>
      <c r="O11">
        <v>20675</v>
      </c>
      <c r="P11" t="s">
        <v>1517</v>
      </c>
      <c r="Q11">
        <v>67</v>
      </c>
      <c r="R11" t="s">
        <v>1650</v>
      </c>
      <c r="S11" s="281">
        <f>ROWS($Q$4:Q11)</f>
        <v>8</v>
      </c>
      <c r="T11" s="281" t="str">
        <f>IF('School Level Expenditures'!$B$2='School Tables'!L11,'School Tables'!S11,"")</f>
        <v/>
      </c>
      <c r="U11" s="281" t="str">
        <f>IFERROR(SMALL($T$4:$T$75,ROWS($T$4:T11)),"")</f>
        <v/>
      </c>
      <c r="V11" s="256" t="b">
        <f t="shared" si="1"/>
        <v>0</v>
      </c>
      <c r="W11">
        <v>57</v>
      </c>
      <c r="X11" t="s">
        <v>934</v>
      </c>
      <c r="Y11" t="s">
        <v>937</v>
      </c>
      <c r="Z11">
        <v>27375</v>
      </c>
      <c r="AA11" t="s">
        <v>1518</v>
      </c>
      <c r="AB11">
        <v>67</v>
      </c>
      <c r="AC11" t="s">
        <v>1650</v>
      </c>
      <c r="AD11" s="281">
        <f>ROWS($AC$4:AC11)</f>
        <v>8</v>
      </c>
      <c r="AE11" s="281" t="str">
        <f>IF('School Level Expenditures'!$B$2='School Tables'!W11,'School Tables'!AD11,"")</f>
        <v/>
      </c>
      <c r="AF11" s="281" t="str">
        <f>IFERROR(SMALL(AE11:$AE$100,ROWS($AE$4:AE11)),"")</f>
        <v/>
      </c>
      <c r="AG11" s="256" t="b">
        <f t="shared" si="2"/>
        <v>0</v>
      </c>
      <c r="AH11">
        <v>31</v>
      </c>
      <c r="AI11">
        <v>31</v>
      </c>
      <c r="AJ11" t="s">
        <v>913</v>
      </c>
      <c r="AK11">
        <v>86</v>
      </c>
      <c r="AL11" t="s">
        <v>1641</v>
      </c>
    </row>
    <row r="12" spans="1:38" ht="12.75" x14ac:dyDescent="0.2">
      <c r="A12">
        <v>112</v>
      </c>
      <c r="B12" t="s">
        <v>966</v>
      </c>
      <c r="C12" t="s">
        <v>968</v>
      </c>
      <c r="D12">
        <v>22215</v>
      </c>
      <c r="E12" t="s">
        <v>61</v>
      </c>
      <c r="F12">
        <v>1</v>
      </c>
      <c r="G12" t="s">
        <v>1636</v>
      </c>
      <c r="H12" s="281">
        <f>ROWS($G$4:G12)</f>
        <v>9</v>
      </c>
      <c r="I12" s="281" t="str">
        <f>IF('School Level Expenditures'!$B$2=A12,'School Tables'!H12,"")</f>
        <v/>
      </c>
      <c r="J12" s="281" t="str">
        <f>IFERROR(SMALL($I$4:$I$325,ROWS($I$4:I12)),"")</f>
        <v/>
      </c>
      <c r="K12" s="256" t="b">
        <f t="shared" si="0"/>
        <v>0</v>
      </c>
      <c r="L12">
        <v>342</v>
      </c>
      <c r="M12" t="s">
        <v>1217</v>
      </c>
      <c r="N12" t="s">
        <v>1218</v>
      </c>
      <c r="O12">
        <v>26685</v>
      </c>
      <c r="P12" t="s">
        <v>1517</v>
      </c>
      <c r="Q12">
        <v>87</v>
      </c>
      <c r="R12" t="s">
        <v>1694</v>
      </c>
      <c r="S12" s="281">
        <f>ROWS($Q$4:Q12)</f>
        <v>9</v>
      </c>
      <c r="T12" s="281" t="str">
        <f>IF('School Level Expenditures'!$B$2='School Tables'!L12,'School Tables'!S12,"")</f>
        <v/>
      </c>
      <c r="U12" s="281" t="str">
        <f>IFERROR(SMALL($T$4:$T$75,ROWS($T$4:T12)),"")</f>
        <v/>
      </c>
      <c r="V12" s="256" t="b">
        <f t="shared" si="1"/>
        <v>0</v>
      </c>
      <c r="W12">
        <v>371</v>
      </c>
      <c r="X12" t="s">
        <v>1268</v>
      </c>
      <c r="Y12" t="s">
        <v>1829</v>
      </c>
      <c r="Z12">
        <v>29263</v>
      </c>
      <c r="AA12" t="s">
        <v>1518</v>
      </c>
      <c r="AB12">
        <v>42</v>
      </c>
      <c r="AC12" t="s">
        <v>1634</v>
      </c>
      <c r="AD12" s="281">
        <f>ROWS($AC$4:AC12)</f>
        <v>9</v>
      </c>
      <c r="AE12" s="281" t="str">
        <f>IF('School Level Expenditures'!$B$2='School Tables'!W12,'School Tables'!AD12,"")</f>
        <v/>
      </c>
      <c r="AF12" s="281" t="str">
        <f>IFERROR(SMALL(AE12:$AE$100,ROWS($AE$4:AE12)),"")</f>
        <v/>
      </c>
      <c r="AG12" s="256" t="b">
        <f t="shared" si="2"/>
        <v>0</v>
      </c>
      <c r="AH12">
        <v>33</v>
      </c>
      <c r="AI12">
        <v>33</v>
      </c>
      <c r="AJ12" t="s">
        <v>915</v>
      </c>
      <c r="AK12">
        <v>74</v>
      </c>
      <c r="AL12" t="s">
        <v>1642</v>
      </c>
    </row>
    <row r="13" spans="1:38" ht="12.75" x14ac:dyDescent="0.2">
      <c r="A13">
        <v>9</v>
      </c>
      <c r="B13" t="s">
        <v>899</v>
      </c>
      <c r="C13" t="s">
        <v>900</v>
      </c>
      <c r="D13">
        <v>22575</v>
      </c>
      <c r="E13" t="s">
        <v>61</v>
      </c>
      <c r="F13">
        <v>53</v>
      </c>
      <c r="G13" t="s">
        <v>1632</v>
      </c>
      <c r="H13" s="281">
        <f>ROWS($G$4:G13)</f>
        <v>10</v>
      </c>
      <c r="I13" s="281" t="str">
        <f>IF('School Level Expenditures'!$B$2=A13,'School Tables'!H13,"")</f>
        <v/>
      </c>
      <c r="J13" s="281" t="str">
        <f>IFERROR(SMALL($I$4:$I$325,ROWS($I$4:I13)),"")</f>
        <v/>
      </c>
      <c r="K13" s="256" t="b">
        <f t="shared" si="0"/>
        <v>0</v>
      </c>
      <c r="L13">
        <v>101</v>
      </c>
      <c r="M13" t="s">
        <v>952</v>
      </c>
      <c r="N13" t="s">
        <v>953</v>
      </c>
      <c r="O13">
        <v>20115</v>
      </c>
      <c r="P13" t="s">
        <v>1517</v>
      </c>
      <c r="Q13">
        <v>6</v>
      </c>
      <c r="R13" t="s">
        <v>1649</v>
      </c>
      <c r="S13" s="281">
        <f>ROWS($Q$4:Q13)</f>
        <v>10</v>
      </c>
      <c r="T13" s="281" t="str">
        <f>IF('School Level Expenditures'!$B$2='School Tables'!L13,'School Tables'!S13,"")</f>
        <v/>
      </c>
      <c r="U13" s="281" t="str">
        <f>IFERROR(SMALL($T$4:$T$75,ROWS($T$4:T13)),"")</f>
        <v/>
      </c>
      <c r="V13" s="256" t="b">
        <f t="shared" si="1"/>
        <v>0</v>
      </c>
      <c r="W13">
        <v>461</v>
      </c>
      <c r="X13" t="s">
        <v>1361</v>
      </c>
      <c r="Y13" t="s">
        <v>1365</v>
      </c>
      <c r="Z13">
        <v>22675</v>
      </c>
      <c r="AA13" t="s">
        <v>1518</v>
      </c>
      <c r="AB13">
        <v>54</v>
      </c>
      <c r="AC13" t="s">
        <v>1657</v>
      </c>
      <c r="AD13" s="281">
        <f>ROWS($AC$4:AC13)</f>
        <v>10</v>
      </c>
      <c r="AE13" s="281" t="str">
        <f>IF('School Level Expenditures'!$B$2='School Tables'!W13,'School Tables'!AD13,"")</f>
        <v/>
      </c>
      <c r="AF13" s="281" t="str">
        <f>IFERROR(SMALL(AE13:$AE$100,ROWS($AE$4:AE13)),"")</f>
        <v/>
      </c>
      <c r="AG13" s="256" t="b">
        <f t="shared" si="2"/>
        <v>0</v>
      </c>
      <c r="AH13">
        <v>35</v>
      </c>
      <c r="AI13">
        <v>35</v>
      </c>
      <c r="AJ13" t="s">
        <v>919</v>
      </c>
      <c r="AK13">
        <v>9</v>
      </c>
      <c r="AL13" t="s">
        <v>1662</v>
      </c>
    </row>
    <row r="14" spans="1:38" ht="12.75" x14ac:dyDescent="0.2">
      <c r="A14">
        <v>23</v>
      </c>
      <c r="B14" t="s">
        <v>909</v>
      </c>
      <c r="C14" t="s">
        <v>910</v>
      </c>
      <c r="D14">
        <v>20010</v>
      </c>
      <c r="E14" t="s">
        <v>61</v>
      </c>
      <c r="F14">
        <v>2</v>
      </c>
      <c r="G14" t="s">
        <v>1637</v>
      </c>
      <c r="H14" s="281">
        <f>ROWS($G$4:G14)</f>
        <v>11</v>
      </c>
      <c r="I14" s="281" t="str">
        <f>IF('School Level Expenditures'!$B$2=A14,'School Tables'!H14,"")</f>
        <v/>
      </c>
      <c r="J14" s="281" t="str">
        <f>IFERROR(SMALL($I$4:$I$325,ROWS($I$4:I14)),"")</f>
        <v/>
      </c>
      <c r="K14" s="256" t="b">
        <f t="shared" si="0"/>
        <v>0</v>
      </c>
      <c r="L14">
        <v>274</v>
      </c>
      <c r="M14" t="s">
        <v>1130</v>
      </c>
      <c r="N14" t="s">
        <v>1823</v>
      </c>
      <c r="O14">
        <v>22280</v>
      </c>
      <c r="P14" t="s">
        <v>1517</v>
      </c>
      <c r="Q14">
        <v>47</v>
      </c>
      <c r="R14" t="s">
        <v>1698</v>
      </c>
      <c r="S14" s="281">
        <f>ROWS($Q$4:Q14)</f>
        <v>11</v>
      </c>
      <c r="T14" s="281" t="str">
        <f>IF('School Level Expenditures'!$B$2='School Tables'!L14,'School Tables'!S14,"")</f>
        <v/>
      </c>
      <c r="U14" s="281" t="str">
        <f>IFERROR(SMALL($T$4:$T$75,ROWS($T$4:T14)),"")</f>
        <v/>
      </c>
      <c r="V14" s="256" t="b">
        <f t="shared" si="1"/>
        <v>0</v>
      </c>
      <c r="W14">
        <v>315</v>
      </c>
      <c r="X14" t="s">
        <v>1176</v>
      </c>
      <c r="Y14" t="s">
        <v>1178</v>
      </c>
      <c r="Z14">
        <v>27715</v>
      </c>
      <c r="AA14" t="s">
        <v>1518</v>
      </c>
      <c r="AB14">
        <v>27</v>
      </c>
      <c r="AC14" t="s">
        <v>1687</v>
      </c>
      <c r="AD14" s="281">
        <f>ROWS($AC$4:AC14)</f>
        <v>11</v>
      </c>
      <c r="AE14" s="281" t="str">
        <f>IF('School Level Expenditures'!$B$2='School Tables'!W14,'School Tables'!AD14,"")</f>
        <v/>
      </c>
      <c r="AF14" s="281" t="str">
        <f>IFERROR(SMALL(AE14:$AE$100,ROWS($AE$4:AE14)),"")</f>
        <v/>
      </c>
      <c r="AG14" s="256" t="b">
        <f t="shared" si="2"/>
        <v>0</v>
      </c>
      <c r="AH14">
        <v>39</v>
      </c>
      <c r="AI14">
        <v>39</v>
      </c>
      <c r="AJ14" t="s">
        <v>921</v>
      </c>
      <c r="AK14">
        <v>23</v>
      </c>
      <c r="AL14" t="s">
        <v>1644</v>
      </c>
    </row>
    <row r="15" spans="1:38" ht="12.75" x14ac:dyDescent="0.2">
      <c r="A15">
        <v>534</v>
      </c>
      <c r="B15" t="s">
        <v>1428</v>
      </c>
      <c r="C15" t="s">
        <v>1430</v>
      </c>
      <c r="D15">
        <v>22740</v>
      </c>
      <c r="E15" t="s">
        <v>61</v>
      </c>
      <c r="F15">
        <v>106</v>
      </c>
      <c r="G15" t="s">
        <v>1638</v>
      </c>
      <c r="H15" s="281">
        <f>ROWS($G$4:G15)</f>
        <v>12</v>
      </c>
      <c r="I15" s="281" t="str">
        <f>IF('School Level Expenditures'!$B$2=A15,'School Tables'!H15,"")</f>
        <v/>
      </c>
      <c r="J15" s="281" t="str">
        <f>IFERROR(SMALL($I$4:$I$325,ROWS($I$4:I15)),"")</f>
        <v/>
      </c>
      <c r="K15" s="256" t="b">
        <f t="shared" si="0"/>
        <v>0</v>
      </c>
      <c r="L15">
        <v>172</v>
      </c>
      <c r="M15" t="s">
        <v>1015</v>
      </c>
      <c r="N15" t="s">
        <v>1016</v>
      </c>
      <c r="O15">
        <v>20590</v>
      </c>
      <c r="P15" t="s">
        <v>1517</v>
      </c>
      <c r="Q15">
        <v>16</v>
      </c>
      <c r="R15" t="s">
        <v>1670</v>
      </c>
      <c r="S15" s="281">
        <f>ROWS($Q$4:Q15)</f>
        <v>12</v>
      </c>
      <c r="T15" s="281" t="str">
        <f>IF('School Level Expenditures'!$B$2='School Tables'!L15,'School Tables'!S15,"")</f>
        <v/>
      </c>
      <c r="U15" s="281" t="str">
        <f>IFERROR(SMALL($T$4:$T$75,ROWS($T$4:T15)),"")</f>
        <v/>
      </c>
      <c r="V15" s="256" t="b">
        <f t="shared" si="1"/>
        <v>0</v>
      </c>
      <c r="W15">
        <v>720</v>
      </c>
      <c r="X15" t="s">
        <v>1807</v>
      </c>
      <c r="Y15" t="s">
        <v>1830</v>
      </c>
      <c r="Z15">
        <v>29248</v>
      </c>
      <c r="AA15" t="s">
        <v>1518</v>
      </c>
      <c r="AB15">
        <v>452</v>
      </c>
      <c r="AC15" t="s">
        <v>1807</v>
      </c>
      <c r="AD15" s="281">
        <f>ROWS($AC$4:AC15)</f>
        <v>12</v>
      </c>
      <c r="AE15" s="281" t="str">
        <f>IF('School Level Expenditures'!$B$2='School Tables'!W15,'School Tables'!AD15,"")</f>
        <v/>
      </c>
      <c r="AF15" s="281" t="str">
        <f>IFERROR(SMALL(AE15:$AE$100,ROWS($AE$4:AE15)),"")</f>
        <v/>
      </c>
      <c r="AG15" s="256" t="b">
        <f t="shared" si="2"/>
        <v>0</v>
      </c>
      <c r="AH15">
        <v>41</v>
      </c>
      <c r="AI15">
        <v>41</v>
      </c>
      <c r="AJ15" t="s">
        <v>923</v>
      </c>
      <c r="AK15">
        <v>25</v>
      </c>
      <c r="AL15" t="s">
        <v>1712</v>
      </c>
    </row>
    <row r="16" spans="1:38" ht="12.75" x14ac:dyDescent="0.2">
      <c r="A16">
        <v>29</v>
      </c>
      <c r="B16" t="s">
        <v>911</v>
      </c>
      <c r="C16" t="s">
        <v>912</v>
      </c>
      <c r="D16">
        <v>20530</v>
      </c>
      <c r="E16" t="s">
        <v>61</v>
      </c>
      <c r="F16">
        <v>15</v>
      </c>
      <c r="G16" t="s">
        <v>1639</v>
      </c>
      <c r="H16" s="281">
        <f>ROWS($G$4:G16)</f>
        <v>13</v>
      </c>
      <c r="I16" s="281" t="str">
        <f>IF('School Level Expenditures'!$B$2=A16,'School Tables'!H16,"")</f>
        <v/>
      </c>
      <c r="J16" s="281" t="str">
        <f>IFERROR(SMALL($I$4:$I$325,ROWS($I$4:I16)),"")</f>
        <v/>
      </c>
      <c r="K16" s="256" t="b">
        <f t="shared" si="0"/>
        <v>0</v>
      </c>
      <c r="L16">
        <v>317</v>
      </c>
      <c r="M16" t="s">
        <v>1180</v>
      </c>
      <c r="N16" t="s">
        <v>1181</v>
      </c>
      <c r="O16">
        <v>21440</v>
      </c>
      <c r="P16" t="s">
        <v>1517</v>
      </c>
      <c r="Q16">
        <v>84</v>
      </c>
      <c r="R16" t="s">
        <v>1714</v>
      </c>
      <c r="S16" s="281">
        <f>ROWS($Q$4:Q16)</f>
        <v>13</v>
      </c>
      <c r="T16" s="281" t="str">
        <f>IF('School Level Expenditures'!$B$2='School Tables'!L16,'School Tables'!S16,"")</f>
        <v/>
      </c>
      <c r="U16" s="281" t="str">
        <f>IFERROR(SMALL($T$4:$T$75,ROWS($T$4:T16)),"")</f>
        <v/>
      </c>
      <c r="V16" s="256" t="b">
        <f t="shared" si="1"/>
        <v>0</v>
      </c>
      <c r="W16">
        <v>105</v>
      </c>
      <c r="X16" t="s">
        <v>957</v>
      </c>
      <c r="Y16" t="s">
        <v>1589</v>
      </c>
      <c r="Z16">
        <v>20185</v>
      </c>
      <c r="AA16" t="s">
        <v>1518</v>
      </c>
      <c r="AB16">
        <v>7</v>
      </c>
      <c r="AC16" t="s">
        <v>1661</v>
      </c>
      <c r="AD16" s="281">
        <f>ROWS($AC$4:AC16)</f>
        <v>13</v>
      </c>
      <c r="AE16" s="281" t="str">
        <f>IF('School Level Expenditures'!$B$2='School Tables'!W16,'School Tables'!AD16,"")</f>
        <v/>
      </c>
      <c r="AF16" s="281" t="str">
        <f>IFERROR(SMALL(AE16:$AE$100,ROWS($AE$4:AE16)),"")</f>
        <v/>
      </c>
      <c r="AG16" s="256" t="b">
        <f t="shared" si="2"/>
        <v>0</v>
      </c>
      <c r="AH16">
        <v>47</v>
      </c>
      <c r="AI16">
        <v>47</v>
      </c>
      <c r="AJ16" t="s">
        <v>1740</v>
      </c>
      <c r="AK16">
        <v>23</v>
      </c>
      <c r="AL16" t="s">
        <v>1644</v>
      </c>
    </row>
    <row r="17" spans="1:38" ht="12.75" x14ac:dyDescent="0.2">
      <c r="A17">
        <v>335</v>
      </c>
      <c r="B17" t="s">
        <v>895</v>
      </c>
      <c r="C17" t="s">
        <v>1201</v>
      </c>
      <c r="D17">
        <v>21545</v>
      </c>
      <c r="E17" t="s">
        <v>61</v>
      </c>
      <c r="F17">
        <v>37</v>
      </c>
      <c r="G17" t="s">
        <v>1640</v>
      </c>
      <c r="H17" s="281">
        <f>ROWS($G$4:G17)</f>
        <v>14</v>
      </c>
      <c r="I17" s="281" t="str">
        <f>IF('School Level Expenditures'!$B$2=A17,'School Tables'!H17,"")</f>
        <v/>
      </c>
      <c r="J17" s="281" t="str">
        <f>IFERROR(SMALL($I$4:$I$325,ROWS($I$4:I17)),"")</f>
        <v/>
      </c>
      <c r="K17" s="256" t="b">
        <f t="shared" si="0"/>
        <v>0</v>
      </c>
      <c r="L17">
        <v>261</v>
      </c>
      <c r="M17" t="s">
        <v>1108</v>
      </c>
      <c r="N17" t="s">
        <v>1111</v>
      </c>
      <c r="O17">
        <v>28050</v>
      </c>
      <c r="P17" t="s">
        <v>1517</v>
      </c>
      <c r="Q17">
        <v>15</v>
      </c>
      <c r="R17" t="s">
        <v>1639</v>
      </c>
      <c r="S17" s="281">
        <f>ROWS($Q$4:Q17)</f>
        <v>14</v>
      </c>
      <c r="T17" s="281" t="str">
        <f>IF('School Level Expenditures'!$B$2='School Tables'!L17,'School Tables'!S17,"")</f>
        <v/>
      </c>
      <c r="U17" s="281" t="str">
        <f>IFERROR(SMALL($T$4:$T$75,ROWS($T$4:T17)),"")</f>
        <v/>
      </c>
      <c r="V17" s="256" t="b">
        <f t="shared" si="1"/>
        <v>0</v>
      </c>
      <c r="W17">
        <v>743</v>
      </c>
      <c r="X17" t="s">
        <v>1513</v>
      </c>
      <c r="Y17" t="s">
        <v>1732</v>
      </c>
      <c r="Z17">
        <v>29224</v>
      </c>
      <c r="AA17" t="s">
        <v>1518</v>
      </c>
      <c r="AB17">
        <v>429</v>
      </c>
      <c r="AC17" t="s">
        <v>1513</v>
      </c>
      <c r="AD17" s="281">
        <f>ROWS($AC$4:AC17)</f>
        <v>14</v>
      </c>
      <c r="AE17" s="281" t="str">
        <f>IF('School Level Expenditures'!$B$2='School Tables'!W17,'School Tables'!AD17,"")</f>
        <v/>
      </c>
      <c r="AF17" s="281" t="str">
        <f>IFERROR(SMALL(AE17:$AE$100,ROWS($AE$4:AE17)),"")</f>
        <v/>
      </c>
      <c r="AG17" s="256" t="b">
        <f t="shared" si="2"/>
        <v>0</v>
      </c>
      <c r="AH17">
        <v>51</v>
      </c>
      <c r="AI17">
        <v>51</v>
      </c>
      <c r="AJ17" t="s">
        <v>929</v>
      </c>
      <c r="AK17">
        <v>3</v>
      </c>
      <c r="AL17" t="s">
        <v>1646</v>
      </c>
    </row>
    <row r="18" spans="1:38" ht="12.75" x14ac:dyDescent="0.2">
      <c r="A18">
        <v>31</v>
      </c>
      <c r="B18" t="s">
        <v>913</v>
      </c>
      <c r="C18" t="s">
        <v>914</v>
      </c>
      <c r="D18">
        <v>22485</v>
      </c>
      <c r="E18" t="s">
        <v>61</v>
      </c>
      <c r="F18">
        <v>86</v>
      </c>
      <c r="G18" t="s">
        <v>1641</v>
      </c>
      <c r="H18" s="281">
        <f>ROWS($G$4:G18)</f>
        <v>15</v>
      </c>
      <c r="I18" s="281" t="str">
        <f>IF('School Level Expenditures'!$B$2=A18,'School Tables'!H18,"")</f>
        <v/>
      </c>
      <c r="J18" s="281" t="str">
        <f>IFERROR(SMALL($I$4:$I$325,ROWS($I$4:I18)),"")</f>
        <v/>
      </c>
      <c r="K18" s="256" t="b">
        <f t="shared" si="0"/>
        <v>0</v>
      </c>
      <c r="L18">
        <v>141</v>
      </c>
      <c r="M18" t="s">
        <v>997</v>
      </c>
      <c r="N18" t="s">
        <v>999</v>
      </c>
      <c r="O18">
        <v>20435</v>
      </c>
      <c r="P18" t="s">
        <v>1517</v>
      </c>
      <c r="Q18">
        <v>11</v>
      </c>
      <c r="R18" t="s">
        <v>1678</v>
      </c>
      <c r="S18" s="281">
        <f>ROWS($Q$4:Q18)</f>
        <v>15</v>
      </c>
      <c r="T18" s="281" t="str">
        <f>IF('School Level Expenditures'!$B$2='School Tables'!L18,'School Tables'!S18,"")</f>
        <v/>
      </c>
      <c r="U18" s="281" t="str">
        <f>IFERROR(SMALL($T$4:$T$75,ROWS($T$4:T18)),"")</f>
        <v/>
      </c>
      <c r="V18" s="256" t="b">
        <f t="shared" si="1"/>
        <v>0</v>
      </c>
      <c r="W18">
        <v>274</v>
      </c>
      <c r="X18" t="s">
        <v>1130</v>
      </c>
      <c r="Y18" t="s">
        <v>1831</v>
      </c>
      <c r="Z18">
        <v>22265</v>
      </c>
      <c r="AA18" t="s">
        <v>1518</v>
      </c>
      <c r="AB18">
        <v>47</v>
      </c>
      <c r="AC18" t="s">
        <v>1698</v>
      </c>
      <c r="AD18" s="281">
        <f>ROWS($AC$4:AC18)</f>
        <v>15</v>
      </c>
      <c r="AE18" s="281" t="str">
        <f>IF('School Level Expenditures'!$B$2='School Tables'!W18,'School Tables'!AD18,"")</f>
        <v/>
      </c>
      <c r="AF18" s="281" t="str">
        <f>IFERROR(SMALL(AE18:$AE$100,ROWS($AE$4:AE18)),"")</f>
        <v/>
      </c>
      <c r="AG18" s="256" t="b">
        <f t="shared" si="2"/>
        <v>0</v>
      </c>
      <c r="AH18">
        <v>726</v>
      </c>
      <c r="AI18">
        <v>726</v>
      </c>
      <c r="AJ18" t="s">
        <v>1836</v>
      </c>
      <c r="AK18">
        <v>455</v>
      </c>
      <c r="AL18" t="s">
        <v>1836</v>
      </c>
    </row>
    <row r="19" spans="1:38" ht="12.75" x14ac:dyDescent="0.2">
      <c r="A19">
        <v>33</v>
      </c>
      <c r="B19" t="s">
        <v>915</v>
      </c>
      <c r="C19" t="s">
        <v>917</v>
      </c>
      <c r="D19">
        <v>22045</v>
      </c>
      <c r="E19" t="s">
        <v>61</v>
      </c>
      <c r="F19">
        <v>74</v>
      </c>
      <c r="G19" t="s">
        <v>1642</v>
      </c>
      <c r="H19" s="281">
        <f>ROWS($G$4:G19)</f>
        <v>16</v>
      </c>
      <c r="I19" s="281" t="str">
        <f>IF('School Level Expenditures'!$B$2=A19,'School Tables'!H19,"")</f>
        <v/>
      </c>
      <c r="J19" s="281" t="str">
        <f>IFERROR(SMALL($I$4:$I$325,ROWS($I$4:I19)),"")</f>
        <v/>
      </c>
      <c r="K19" s="256" t="b">
        <f t="shared" si="0"/>
        <v>0</v>
      </c>
      <c r="L19">
        <v>371</v>
      </c>
      <c r="M19" t="s">
        <v>1268</v>
      </c>
      <c r="N19" t="s">
        <v>1278</v>
      </c>
      <c r="O19">
        <v>21890</v>
      </c>
      <c r="P19" t="s">
        <v>1517</v>
      </c>
      <c r="Q19">
        <v>42</v>
      </c>
      <c r="R19" t="s">
        <v>1634</v>
      </c>
      <c r="S19" s="281">
        <f>ROWS($Q$4:Q19)</f>
        <v>16</v>
      </c>
      <c r="T19" s="281" t="str">
        <f>IF('School Level Expenditures'!$B$2='School Tables'!L19,'School Tables'!S19,"")</f>
        <v/>
      </c>
      <c r="U19" s="281" t="str">
        <f>IFERROR(SMALL($T$4:$T$75,ROWS($T$4:T19)),"")</f>
        <v/>
      </c>
      <c r="V19" s="256" t="b">
        <f t="shared" si="1"/>
        <v>0</v>
      </c>
      <c r="W19">
        <v>111</v>
      </c>
      <c r="X19" t="s">
        <v>958</v>
      </c>
      <c r="Y19" t="s">
        <v>964</v>
      </c>
      <c r="Z19">
        <v>20285</v>
      </c>
      <c r="AA19" t="s">
        <v>1518</v>
      </c>
      <c r="AB19">
        <v>8</v>
      </c>
      <c r="AC19" t="s">
        <v>1629</v>
      </c>
      <c r="AD19" s="281">
        <f>ROWS($AC$4:AC19)</f>
        <v>16</v>
      </c>
      <c r="AE19" s="281" t="str">
        <f>IF('School Level Expenditures'!$B$2='School Tables'!W19,'School Tables'!AD19,"")</f>
        <v/>
      </c>
      <c r="AF19" s="281" t="str">
        <f>IFERROR(SMALL(AE19:$AE$100,ROWS($AE$4:AE19)),"")</f>
        <v/>
      </c>
      <c r="AG19" s="256" t="b">
        <f t="shared" si="2"/>
        <v>0</v>
      </c>
      <c r="AH19">
        <v>53</v>
      </c>
      <c r="AI19">
        <v>53</v>
      </c>
      <c r="AJ19" t="s">
        <v>932</v>
      </c>
      <c r="AK19">
        <v>35</v>
      </c>
      <c r="AL19" t="s">
        <v>1648</v>
      </c>
    </row>
    <row r="20" spans="1:38" ht="12.75" x14ac:dyDescent="0.2">
      <c r="A20">
        <v>199</v>
      </c>
      <c r="B20" t="s">
        <v>1051</v>
      </c>
      <c r="C20" t="s">
        <v>1054</v>
      </c>
      <c r="D20">
        <v>20695</v>
      </c>
      <c r="E20" t="s">
        <v>61</v>
      </c>
      <c r="F20">
        <v>19</v>
      </c>
      <c r="G20" t="s">
        <v>1643</v>
      </c>
      <c r="H20" s="281">
        <f>ROWS($G$4:G20)</f>
        <v>17</v>
      </c>
      <c r="I20" s="281" t="str">
        <f>IF('School Level Expenditures'!$B$2=A20,'School Tables'!H20,"")</f>
        <v/>
      </c>
      <c r="J20" s="281" t="str">
        <f>IFERROR(SMALL($I$4:$I$325,ROWS($I$4:I20)),"")</f>
        <v/>
      </c>
      <c r="K20" s="256" t="b">
        <f t="shared" si="0"/>
        <v>0</v>
      </c>
      <c r="L20">
        <v>165</v>
      </c>
      <c r="M20" t="s">
        <v>1009</v>
      </c>
      <c r="N20" t="s">
        <v>1824</v>
      </c>
      <c r="O20">
        <v>26505</v>
      </c>
      <c r="P20" t="s">
        <v>1517</v>
      </c>
      <c r="Q20">
        <v>14</v>
      </c>
      <c r="R20" t="s">
        <v>1674</v>
      </c>
      <c r="S20" s="281">
        <f>ROWS($Q$4:Q20)</f>
        <v>17</v>
      </c>
      <c r="T20" s="281" t="str">
        <f>IF('School Level Expenditures'!$B$2='School Tables'!L20,'School Tables'!S20,"")</f>
        <v/>
      </c>
      <c r="U20" s="281" t="str">
        <f>IFERROR(SMALL($T$4:$T$75,ROWS($T$4:T20)),"")</f>
        <v/>
      </c>
      <c r="V20" s="256" t="b">
        <f t="shared" si="1"/>
        <v>0</v>
      </c>
      <c r="W20">
        <v>112</v>
      </c>
      <c r="X20" t="s">
        <v>966</v>
      </c>
      <c r="Y20" t="s">
        <v>974</v>
      </c>
      <c r="Z20">
        <v>22290</v>
      </c>
      <c r="AA20" t="s">
        <v>1518</v>
      </c>
      <c r="AB20">
        <v>1</v>
      </c>
      <c r="AC20" t="s">
        <v>1636</v>
      </c>
      <c r="AD20" s="281">
        <f>ROWS($AC$4:AC20)</f>
        <v>17</v>
      </c>
      <c r="AE20" s="281" t="str">
        <f>IF('School Level Expenditures'!$B$2='School Tables'!W20,'School Tables'!AD20,"")</f>
        <v/>
      </c>
      <c r="AF20" s="281" t="str">
        <f>IFERROR(SMALL(AE20:$AE$100,ROWS($AE$4:AE20)),"")</f>
        <v/>
      </c>
      <c r="AG20" s="256" t="b">
        <f t="shared" si="2"/>
        <v>0</v>
      </c>
      <c r="AH20">
        <v>57</v>
      </c>
      <c r="AI20">
        <v>57</v>
      </c>
      <c r="AJ20" t="s">
        <v>934</v>
      </c>
      <c r="AK20">
        <v>67</v>
      </c>
      <c r="AL20" t="s">
        <v>1650</v>
      </c>
    </row>
    <row r="21" spans="1:38" ht="12.75" x14ac:dyDescent="0.2">
      <c r="A21">
        <v>39</v>
      </c>
      <c r="B21" t="s">
        <v>921</v>
      </c>
      <c r="C21" t="s">
        <v>922</v>
      </c>
      <c r="D21">
        <v>20860</v>
      </c>
      <c r="E21" t="s">
        <v>61</v>
      </c>
      <c r="F21">
        <v>23</v>
      </c>
      <c r="G21" t="s">
        <v>1644</v>
      </c>
      <c r="H21" s="281">
        <f>ROWS($G$4:G21)</f>
        <v>18</v>
      </c>
      <c r="I21" s="281" t="str">
        <f>IF('School Level Expenditures'!$B$2=A21,'School Tables'!H21,"")</f>
        <v/>
      </c>
      <c r="J21" s="281" t="str">
        <f>IFERROR(SMALL($I$4:$I$325,ROWS($I$4:I21)),"")</f>
        <v/>
      </c>
      <c r="K21" s="256" t="b">
        <f t="shared" si="0"/>
        <v>0</v>
      </c>
      <c r="L21">
        <v>371</v>
      </c>
      <c r="M21" t="s">
        <v>1268</v>
      </c>
      <c r="N21" t="s">
        <v>1276</v>
      </c>
      <c r="O21">
        <v>21875</v>
      </c>
      <c r="P21" t="s">
        <v>1517</v>
      </c>
      <c r="Q21">
        <v>42</v>
      </c>
      <c r="R21" t="s">
        <v>1634</v>
      </c>
      <c r="S21" s="281">
        <f>ROWS($Q$4:Q21)</f>
        <v>18</v>
      </c>
      <c r="T21" s="281" t="str">
        <f>IF('School Level Expenditures'!$B$2='School Tables'!L21,'School Tables'!S21,"")</f>
        <v/>
      </c>
      <c r="U21" s="281" t="str">
        <f>IFERROR(SMALL($T$4:$T$75,ROWS($T$4:T21)),"")</f>
        <v/>
      </c>
      <c r="V21" s="256" t="b">
        <f t="shared" si="1"/>
        <v>0</v>
      </c>
      <c r="W21">
        <v>723</v>
      </c>
      <c r="X21" t="s">
        <v>1493</v>
      </c>
      <c r="Y21" t="s">
        <v>1493</v>
      </c>
      <c r="Z21">
        <v>28575</v>
      </c>
      <c r="AA21" t="s">
        <v>1518</v>
      </c>
      <c r="AB21">
        <v>410</v>
      </c>
      <c r="AC21" t="s">
        <v>1493</v>
      </c>
      <c r="AD21" s="281">
        <f>ROWS($AC$4:AC21)</f>
        <v>18</v>
      </c>
      <c r="AE21" s="281" t="str">
        <f>IF('School Level Expenditures'!$B$2='School Tables'!W21,'School Tables'!AD21,"")</f>
        <v/>
      </c>
      <c r="AF21" s="281" t="str">
        <f>IFERROR(SMALL(AE21:$AE$100,ROWS($AE$4:AE21)),"")</f>
        <v/>
      </c>
      <c r="AG21" s="256" t="b">
        <f t="shared" si="2"/>
        <v>0</v>
      </c>
      <c r="AH21">
        <v>63</v>
      </c>
      <c r="AI21">
        <v>63</v>
      </c>
      <c r="AJ21" t="s">
        <v>938</v>
      </c>
      <c r="AK21">
        <v>16</v>
      </c>
      <c r="AL21" t="s">
        <v>1670</v>
      </c>
    </row>
    <row r="22" spans="1:38" ht="12.75" x14ac:dyDescent="0.2">
      <c r="A22">
        <v>111</v>
      </c>
      <c r="B22" t="s">
        <v>958</v>
      </c>
      <c r="C22" t="s">
        <v>959</v>
      </c>
      <c r="D22">
        <v>26490</v>
      </c>
      <c r="E22" t="s">
        <v>61</v>
      </c>
      <c r="F22">
        <v>8</v>
      </c>
      <c r="G22" t="s">
        <v>1629</v>
      </c>
      <c r="H22" s="281">
        <f>ROWS($G$4:G22)</f>
        <v>19</v>
      </c>
      <c r="I22" s="281" t="str">
        <f>IF('School Level Expenditures'!$B$2=A22,'School Tables'!H22,"")</f>
        <v/>
      </c>
      <c r="J22" s="281" t="str">
        <f>IFERROR(SMALL($I$4:$I$325,ROWS($I$4:I22)),"")</f>
        <v/>
      </c>
      <c r="K22" s="256" t="b">
        <f t="shared" si="0"/>
        <v>0</v>
      </c>
      <c r="L22">
        <v>131</v>
      </c>
      <c r="M22" t="s">
        <v>989</v>
      </c>
      <c r="N22" t="s">
        <v>996</v>
      </c>
      <c r="O22">
        <v>20420</v>
      </c>
      <c r="P22" t="s">
        <v>1517</v>
      </c>
      <c r="Q22">
        <v>10</v>
      </c>
      <c r="R22" t="s">
        <v>1667</v>
      </c>
      <c r="S22" s="281">
        <f>ROWS($Q$4:Q22)</f>
        <v>19</v>
      </c>
      <c r="T22" s="281" t="str">
        <f>IF('School Level Expenditures'!$B$2='School Tables'!L22,'School Tables'!S22,"")</f>
        <v/>
      </c>
      <c r="U22" s="281" t="str">
        <f>IFERROR(SMALL($T$4:$T$75,ROWS($T$4:T22)),"")</f>
        <v/>
      </c>
      <c r="V22" s="256" t="b">
        <f t="shared" si="1"/>
        <v>0</v>
      </c>
      <c r="W22">
        <v>141</v>
      </c>
      <c r="X22" t="s">
        <v>997</v>
      </c>
      <c r="Y22" t="s">
        <v>1000</v>
      </c>
      <c r="Z22">
        <v>20455</v>
      </c>
      <c r="AA22" t="s">
        <v>1518</v>
      </c>
      <c r="AB22">
        <v>11</v>
      </c>
      <c r="AC22" t="s">
        <v>1678</v>
      </c>
      <c r="AD22" s="281">
        <f>ROWS($AC$4:AC22)</f>
        <v>19</v>
      </c>
      <c r="AE22" s="281" t="str">
        <f>IF('School Level Expenditures'!$B$2='School Tables'!W22,'School Tables'!AD22,"")</f>
        <v/>
      </c>
      <c r="AF22" s="281" t="str">
        <f>IFERROR(SMALL(AE22:$AE$100,ROWS($AE$4:AE22)),"")</f>
        <v/>
      </c>
      <c r="AG22" s="256" t="b">
        <f t="shared" si="2"/>
        <v>0</v>
      </c>
      <c r="AH22">
        <v>71</v>
      </c>
      <c r="AI22">
        <v>71</v>
      </c>
      <c r="AJ22" t="s">
        <v>939</v>
      </c>
      <c r="AK22">
        <v>41</v>
      </c>
      <c r="AL22" t="s">
        <v>1654</v>
      </c>
    </row>
    <row r="23" spans="1:38" ht="12.75" x14ac:dyDescent="0.2">
      <c r="A23">
        <v>335</v>
      </c>
      <c r="B23" t="s">
        <v>895</v>
      </c>
      <c r="C23" t="s">
        <v>1207</v>
      </c>
      <c r="D23">
        <v>21600</v>
      </c>
      <c r="E23" t="s">
        <v>61</v>
      </c>
      <c r="F23">
        <v>37</v>
      </c>
      <c r="G23" t="s">
        <v>1640</v>
      </c>
      <c r="H23" s="281">
        <f>ROWS($G$4:G23)</f>
        <v>20</v>
      </c>
      <c r="I23" s="281" t="str">
        <f>IF('School Level Expenditures'!$B$2=A23,'School Tables'!H23,"")</f>
        <v/>
      </c>
      <c r="J23" s="281" t="str">
        <f>IFERROR(SMALL($I$4:$I$325,ROWS($I$4:I23)),"")</f>
        <v/>
      </c>
      <c r="K23" s="256" t="b">
        <f t="shared" si="0"/>
        <v>0</v>
      </c>
      <c r="L23">
        <v>191</v>
      </c>
      <c r="M23" t="s">
        <v>1045</v>
      </c>
      <c r="N23" t="s">
        <v>1048</v>
      </c>
      <c r="O23">
        <v>26995</v>
      </c>
      <c r="P23" t="s">
        <v>1517</v>
      </c>
      <c r="Q23">
        <v>73</v>
      </c>
      <c r="R23" t="s">
        <v>1682</v>
      </c>
      <c r="S23" s="281">
        <f>ROWS($Q$4:Q23)</f>
        <v>20</v>
      </c>
      <c r="T23" s="281" t="str">
        <f>IF('School Level Expenditures'!$B$2='School Tables'!L23,'School Tables'!S23,"")</f>
        <v/>
      </c>
      <c r="U23" s="281" t="str">
        <f>IFERROR(SMALL($T$4:$T$75,ROWS($T$4:T23)),"")</f>
        <v/>
      </c>
      <c r="V23" s="256" t="b">
        <f t="shared" si="1"/>
        <v>0</v>
      </c>
      <c r="W23">
        <v>165</v>
      </c>
      <c r="X23" t="s">
        <v>1009</v>
      </c>
      <c r="Y23" t="s">
        <v>1832</v>
      </c>
      <c r="Z23">
        <v>20515</v>
      </c>
      <c r="AA23" t="s">
        <v>1518</v>
      </c>
      <c r="AB23">
        <v>14</v>
      </c>
      <c r="AC23" t="s">
        <v>1674</v>
      </c>
      <c r="AD23" s="281">
        <f>ROWS($AC$4:AC23)</f>
        <v>20</v>
      </c>
      <c r="AE23" s="281" t="str">
        <f>IF('School Level Expenditures'!$B$2='School Tables'!W23,'School Tables'!AD23,"")</f>
        <v/>
      </c>
      <c r="AF23" s="281" t="str">
        <f>IFERROR(SMALL(AE23:$AE$100,ROWS($AE$4:AE23)),"")</f>
        <v/>
      </c>
      <c r="AG23" s="256" t="b">
        <f t="shared" si="2"/>
        <v>0</v>
      </c>
      <c r="AH23">
        <v>75</v>
      </c>
      <c r="AI23">
        <v>75</v>
      </c>
      <c r="AJ23" t="s">
        <v>942</v>
      </c>
      <c r="AK23">
        <v>48</v>
      </c>
      <c r="AL23" t="s">
        <v>1652</v>
      </c>
    </row>
    <row r="24" spans="1:38" ht="12.75" x14ac:dyDescent="0.2">
      <c r="A24">
        <v>486</v>
      </c>
      <c r="B24" t="s">
        <v>1395</v>
      </c>
      <c r="C24" t="s">
        <v>1397</v>
      </c>
      <c r="D24">
        <v>22135</v>
      </c>
      <c r="E24" t="s">
        <v>61</v>
      </c>
      <c r="F24">
        <v>80</v>
      </c>
      <c r="G24" t="s">
        <v>1645</v>
      </c>
      <c r="H24" s="281">
        <f>ROWS($G$4:G24)</f>
        <v>21</v>
      </c>
      <c r="I24" s="281" t="str">
        <f>IF('School Level Expenditures'!$B$2=A24,'School Tables'!H24,"")</f>
        <v/>
      </c>
      <c r="J24" s="281" t="str">
        <f>IFERROR(SMALL($I$4:$I$325,ROWS($I$4:I24)),"")</f>
        <v/>
      </c>
      <c r="K24" s="256" t="b">
        <f t="shared" si="0"/>
        <v>0</v>
      </c>
      <c r="L24">
        <v>203</v>
      </c>
      <c r="M24" t="s">
        <v>1056</v>
      </c>
      <c r="N24" t="s">
        <v>1059</v>
      </c>
      <c r="O24">
        <v>27005</v>
      </c>
      <c r="P24" t="s">
        <v>1517</v>
      </c>
      <c r="Q24">
        <v>20</v>
      </c>
      <c r="R24" t="s">
        <v>1671</v>
      </c>
      <c r="S24" s="281">
        <f>ROWS($Q$4:Q24)</f>
        <v>21</v>
      </c>
      <c r="T24" s="281" t="str">
        <f>IF('School Level Expenditures'!$B$2='School Tables'!L24,'School Tables'!S24,"")</f>
        <v/>
      </c>
      <c r="U24" s="281" t="str">
        <f>IFERROR(SMALL($T$4:$T$75,ROWS($T$4:T24)),"")</f>
        <v/>
      </c>
      <c r="V24" s="256" t="b">
        <f t="shared" si="1"/>
        <v>0</v>
      </c>
      <c r="W24">
        <v>172</v>
      </c>
      <c r="X24" t="s">
        <v>1015</v>
      </c>
      <c r="Y24" t="s">
        <v>1017</v>
      </c>
      <c r="Z24">
        <v>20600</v>
      </c>
      <c r="AA24" t="s">
        <v>1518</v>
      </c>
      <c r="AB24">
        <v>16</v>
      </c>
      <c r="AC24" t="s">
        <v>1670</v>
      </c>
      <c r="AD24" s="281">
        <f>ROWS($AC$4:AC24)</f>
        <v>21</v>
      </c>
      <c r="AE24" s="281" t="str">
        <f>IF('School Level Expenditures'!$B$2='School Tables'!W24,'School Tables'!AD24,"")</f>
        <v/>
      </c>
      <c r="AF24" s="281" t="str">
        <f>IFERROR(SMALL(AE24:$AE$100,ROWS($AE$4:AE24)),"")</f>
        <v/>
      </c>
      <c r="AG24" s="256" t="b">
        <f t="shared" si="2"/>
        <v>0</v>
      </c>
      <c r="AH24">
        <v>79</v>
      </c>
      <c r="AI24">
        <v>79</v>
      </c>
      <c r="AJ24" t="s">
        <v>944</v>
      </c>
      <c r="AK24">
        <v>15</v>
      </c>
      <c r="AL24" t="s">
        <v>1639</v>
      </c>
    </row>
    <row r="25" spans="1:38" ht="12.75" x14ac:dyDescent="0.2">
      <c r="A25">
        <v>51</v>
      </c>
      <c r="B25" t="s">
        <v>929</v>
      </c>
      <c r="C25" t="s">
        <v>1577</v>
      </c>
      <c r="D25">
        <v>27035</v>
      </c>
      <c r="E25" t="s">
        <v>61</v>
      </c>
      <c r="F25">
        <v>3</v>
      </c>
      <c r="G25" t="s">
        <v>1646</v>
      </c>
      <c r="H25" s="281">
        <f>ROWS($G$4:G25)</f>
        <v>22</v>
      </c>
      <c r="I25" s="281" t="str">
        <f>IF('School Level Expenditures'!$B$2=A25,'School Tables'!H25,"")</f>
        <v/>
      </c>
      <c r="J25" s="281" t="str">
        <f>IFERROR(SMALL($I$4:$I$325,ROWS($I$4:I25)),"")</f>
        <v/>
      </c>
      <c r="K25" s="256" t="b">
        <f t="shared" si="0"/>
        <v>0</v>
      </c>
      <c r="L25">
        <v>709</v>
      </c>
      <c r="M25" t="s">
        <v>1486</v>
      </c>
      <c r="N25" t="s">
        <v>1488</v>
      </c>
      <c r="O25">
        <v>28620</v>
      </c>
      <c r="P25" t="s">
        <v>1517</v>
      </c>
      <c r="Q25">
        <v>404</v>
      </c>
      <c r="R25" t="s">
        <v>1486</v>
      </c>
      <c r="S25" s="281">
        <f>ROWS($Q$4:Q25)</f>
        <v>22</v>
      </c>
      <c r="T25" s="281" t="str">
        <f>IF('School Level Expenditures'!$B$2='School Tables'!L25,'School Tables'!S25,"")</f>
        <v/>
      </c>
      <c r="U25" s="281" t="str">
        <f>IFERROR(SMALL($T$4:$T$75,ROWS($T$4:T25)),"")</f>
        <v/>
      </c>
      <c r="V25" s="256" t="b">
        <f t="shared" si="1"/>
        <v>0</v>
      </c>
      <c r="W25">
        <v>174</v>
      </c>
      <c r="X25" t="s">
        <v>1021</v>
      </c>
      <c r="Y25" t="s">
        <v>1028</v>
      </c>
      <c r="Z25">
        <v>22990</v>
      </c>
      <c r="AA25" t="s">
        <v>1518</v>
      </c>
      <c r="AB25">
        <v>60</v>
      </c>
      <c r="AC25" t="s">
        <v>1630</v>
      </c>
      <c r="AD25" s="281">
        <f>ROWS($AC$4:AC25)</f>
        <v>22</v>
      </c>
      <c r="AE25" s="281" t="str">
        <f>IF('School Level Expenditures'!$B$2='School Tables'!W25,'School Tables'!AD25,"")</f>
        <v/>
      </c>
      <c r="AF25" s="281" t="str">
        <f>IFERROR(SMALL(AE25:$AE$100,ROWS($AE$4:AE25)),"")</f>
        <v/>
      </c>
      <c r="AG25" s="256" t="b">
        <f t="shared" si="2"/>
        <v>0</v>
      </c>
      <c r="AH25">
        <v>91</v>
      </c>
      <c r="AI25">
        <v>91</v>
      </c>
      <c r="AJ25" t="s">
        <v>1741</v>
      </c>
      <c r="AK25">
        <v>9</v>
      </c>
      <c r="AL25" t="s">
        <v>1662</v>
      </c>
    </row>
    <row r="26" spans="1:38" ht="12.75" x14ac:dyDescent="0.2">
      <c r="A26">
        <v>233</v>
      </c>
      <c r="B26" t="s">
        <v>1080</v>
      </c>
      <c r="C26" t="s">
        <v>1081</v>
      </c>
      <c r="D26">
        <v>20830</v>
      </c>
      <c r="E26" t="s">
        <v>61</v>
      </c>
      <c r="F26">
        <v>70</v>
      </c>
      <c r="G26" t="s">
        <v>1647</v>
      </c>
      <c r="H26" s="281">
        <f>ROWS($G$4:G26)</f>
        <v>23</v>
      </c>
      <c r="I26" s="281" t="str">
        <f>IF('School Level Expenditures'!$B$2=A26,'School Tables'!H26,"")</f>
        <v/>
      </c>
      <c r="J26" s="281" t="str">
        <f>IFERROR(SMALL($I$4:$I$325,ROWS($I$4:I26)),"")</f>
        <v/>
      </c>
      <c r="K26" s="256" t="b">
        <f t="shared" si="0"/>
        <v>0</v>
      </c>
      <c r="L26">
        <v>112</v>
      </c>
      <c r="M26" t="s">
        <v>966</v>
      </c>
      <c r="N26" t="s">
        <v>967</v>
      </c>
      <c r="O26">
        <v>22210</v>
      </c>
      <c r="P26" t="s">
        <v>1517</v>
      </c>
      <c r="Q26">
        <v>1</v>
      </c>
      <c r="R26" t="s">
        <v>1636</v>
      </c>
      <c r="S26" s="281">
        <f>ROWS($Q$4:Q26)</f>
        <v>23</v>
      </c>
      <c r="T26" s="281" t="str">
        <f>IF('School Level Expenditures'!$B$2='School Tables'!L26,'School Tables'!S26,"")</f>
        <v/>
      </c>
      <c r="U26" s="281" t="str">
        <f>IFERROR(SMALL($T$4:$T$75,ROWS($T$4:T26)),"")</f>
        <v/>
      </c>
      <c r="V26" s="256" t="b">
        <f t="shared" si="1"/>
        <v>0</v>
      </c>
      <c r="W26">
        <v>175</v>
      </c>
      <c r="X26" t="s">
        <v>1033</v>
      </c>
      <c r="Y26" t="s">
        <v>1035</v>
      </c>
      <c r="Z26">
        <v>22050</v>
      </c>
      <c r="AA26" t="s">
        <v>1518</v>
      </c>
      <c r="AB26">
        <v>61</v>
      </c>
      <c r="AC26" t="s">
        <v>1692</v>
      </c>
      <c r="AD26" s="281">
        <f>ROWS($AC$4:AC26)</f>
        <v>23</v>
      </c>
      <c r="AE26" s="281" t="str">
        <f>IF('School Level Expenditures'!$B$2='School Tables'!W26,'School Tables'!AD26,"")</f>
        <v/>
      </c>
      <c r="AF26" s="281" t="str">
        <f>IFERROR(SMALL(AE26:$AE$100,ROWS($AE$4:AE26)),"")</f>
        <v/>
      </c>
      <c r="AG26" s="256" t="b">
        <f t="shared" si="2"/>
        <v>0</v>
      </c>
      <c r="AH26">
        <v>93</v>
      </c>
      <c r="AI26">
        <v>93</v>
      </c>
      <c r="AJ26" t="s">
        <v>946</v>
      </c>
      <c r="AK26">
        <v>82</v>
      </c>
      <c r="AL26" t="s">
        <v>1658</v>
      </c>
    </row>
    <row r="27" spans="1:38" ht="12.75" x14ac:dyDescent="0.2">
      <c r="A27">
        <v>53</v>
      </c>
      <c r="B27" t="s">
        <v>932</v>
      </c>
      <c r="C27" t="s">
        <v>933</v>
      </c>
      <c r="D27">
        <v>21400</v>
      </c>
      <c r="E27" t="s">
        <v>61</v>
      </c>
      <c r="F27">
        <v>35</v>
      </c>
      <c r="G27" t="s">
        <v>1648</v>
      </c>
      <c r="H27" s="281">
        <f>ROWS($G$4:G27)</f>
        <v>24</v>
      </c>
      <c r="I27" s="281" t="str">
        <f>IF('School Level Expenditures'!$B$2=A27,'School Tables'!H27,"")</f>
        <v/>
      </c>
      <c r="J27" s="281" t="str">
        <f>IFERROR(SMALL($I$4:$I$325,ROWS($I$4:I27)),"")</f>
        <v/>
      </c>
      <c r="K27" s="256" t="b">
        <f t="shared" si="0"/>
        <v>0</v>
      </c>
      <c r="L27">
        <v>223</v>
      </c>
      <c r="M27" t="s">
        <v>1072</v>
      </c>
      <c r="N27" t="s">
        <v>1073</v>
      </c>
      <c r="O27">
        <v>22750</v>
      </c>
      <c r="P27" t="s">
        <v>1517</v>
      </c>
      <c r="Q27">
        <v>55</v>
      </c>
      <c r="R27" t="s">
        <v>1689</v>
      </c>
      <c r="S27" s="281">
        <f>ROWS($Q$4:Q27)</f>
        <v>24</v>
      </c>
      <c r="T27" s="281" t="str">
        <f>IF('School Level Expenditures'!$B$2='School Tables'!L27,'School Tables'!S27,"")</f>
        <v/>
      </c>
      <c r="U27" s="281" t="str">
        <f>IFERROR(SMALL($T$4:$T$75,ROWS($T$4:T27)),"")</f>
        <v/>
      </c>
      <c r="V27" s="256" t="b">
        <f t="shared" si="1"/>
        <v>0</v>
      </c>
      <c r="W27">
        <v>185</v>
      </c>
      <c r="X27" t="s">
        <v>1037</v>
      </c>
      <c r="Y27" t="s">
        <v>1039</v>
      </c>
      <c r="Z27">
        <v>20660</v>
      </c>
      <c r="AA27" t="s">
        <v>1518</v>
      </c>
      <c r="AB27">
        <v>18</v>
      </c>
      <c r="AC27" t="s">
        <v>1676</v>
      </c>
      <c r="AD27" s="281">
        <f>ROWS($AC$4:AC27)</f>
        <v>24</v>
      </c>
      <c r="AE27" s="281" t="str">
        <f>IF('School Level Expenditures'!$B$2='School Tables'!W27,'School Tables'!AD27,"")</f>
        <v/>
      </c>
      <c r="AF27" s="281" t="str">
        <f>IFERROR(SMALL(AE27:$AE$100,ROWS($AE$4:AE27)),"")</f>
        <v/>
      </c>
      <c r="AG27" s="256" t="b">
        <f t="shared" si="2"/>
        <v>0</v>
      </c>
      <c r="AH27">
        <v>95</v>
      </c>
      <c r="AI27">
        <v>95</v>
      </c>
      <c r="AJ27" t="s">
        <v>948</v>
      </c>
      <c r="AK27">
        <v>29</v>
      </c>
      <c r="AL27" t="s">
        <v>1659</v>
      </c>
    </row>
    <row r="28" spans="1:38" ht="12.75" x14ac:dyDescent="0.2">
      <c r="A28">
        <v>371</v>
      </c>
      <c r="B28" t="s">
        <v>1268</v>
      </c>
      <c r="C28" t="s">
        <v>1275</v>
      </c>
      <c r="D28">
        <v>21865</v>
      </c>
      <c r="E28" t="s">
        <v>61</v>
      </c>
      <c r="F28">
        <v>42</v>
      </c>
      <c r="G28" t="s">
        <v>1634</v>
      </c>
      <c r="H28" s="281">
        <f>ROWS($G$4:G28)</f>
        <v>25</v>
      </c>
      <c r="I28" s="281" t="str">
        <f>IF('School Level Expenditures'!$B$2=A28,'School Tables'!H28,"")</f>
        <v/>
      </c>
      <c r="J28" s="281" t="str">
        <f>IFERROR(SMALL($I$4:$I$325,ROWS($I$4:I28)),"")</f>
        <v/>
      </c>
      <c r="K28" s="256" t="b">
        <f t="shared" si="0"/>
        <v>0</v>
      </c>
      <c r="L28">
        <v>238</v>
      </c>
      <c r="M28" t="s">
        <v>1084</v>
      </c>
      <c r="N28" t="s">
        <v>1087</v>
      </c>
      <c r="O28">
        <v>26875</v>
      </c>
      <c r="P28" t="s">
        <v>1517</v>
      </c>
      <c r="Q28">
        <v>23</v>
      </c>
      <c r="R28" t="s">
        <v>1644</v>
      </c>
      <c r="S28" s="281">
        <f>ROWS($Q$4:Q28)</f>
        <v>25</v>
      </c>
      <c r="T28" s="281" t="str">
        <f>IF('School Level Expenditures'!$B$2='School Tables'!L28,'School Tables'!S28,"")</f>
        <v/>
      </c>
      <c r="U28" s="281" t="str">
        <f>IFERROR(SMALL($T$4:$T$75,ROWS($T$4:T28)),"")</f>
        <v/>
      </c>
      <c r="V28" s="256" t="b">
        <f t="shared" si="1"/>
        <v>0</v>
      </c>
      <c r="W28">
        <v>750</v>
      </c>
      <c r="X28" t="s">
        <v>1679</v>
      </c>
      <c r="Y28" t="s">
        <v>1733</v>
      </c>
      <c r="Z28">
        <v>29239</v>
      </c>
      <c r="AA28" t="s">
        <v>1518</v>
      </c>
      <c r="AB28">
        <v>450</v>
      </c>
      <c r="AC28" t="s">
        <v>1681</v>
      </c>
      <c r="AD28" s="281">
        <f>ROWS($AC$4:AC28)</f>
        <v>25</v>
      </c>
      <c r="AE28" s="281" t="str">
        <f>IF('School Level Expenditures'!$B$2='School Tables'!W28,'School Tables'!AD28,"")</f>
        <v/>
      </c>
      <c r="AF28" s="281" t="str">
        <f>IFERROR(SMALL(AE28:$AE$100,ROWS($AE$4:AE28)),"")</f>
        <v/>
      </c>
      <c r="AG28" s="256" t="b">
        <f t="shared" si="2"/>
        <v>0</v>
      </c>
      <c r="AH28">
        <v>99</v>
      </c>
      <c r="AI28">
        <v>99</v>
      </c>
      <c r="AJ28" t="s">
        <v>950</v>
      </c>
      <c r="AK28">
        <v>53</v>
      </c>
      <c r="AL28" t="s">
        <v>1632</v>
      </c>
    </row>
    <row r="29" spans="1:38" ht="12.75" x14ac:dyDescent="0.2">
      <c r="A29">
        <v>371</v>
      </c>
      <c r="B29" t="s">
        <v>1268</v>
      </c>
      <c r="C29" t="s">
        <v>1279</v>
      </c>
      <c r="D29">
        <v>21895</v>
      </c>
      <c r="E29" t="s">
        <v>61</v>
      </c>
      <c r="F29">
        <v>42</v>
      </c>
      <c r="G29" t="s">
        <v>1634</v>
      </c>
      <c r="H29" s="281">
        <f>ROWS($G$4:G29)</f>
        <v>26</v>
      </c>
      <c r="I29" s="281" t="str">
        <f>IF('School Level Expenditures'!$B$2=A29,'School Tables'!H29,"")</f>
        <v/>
      </c>
      <c r="J29" s="281" t="str">
        <f>IFERROR(SMALL($I$4:$I$325,ROWS($I$4:I29)),"")</f>
        <v/>
      </c>
      <c r="K29" s="256" t="b">
        <f t="shared" si="0"/>
        <v>0</v>
      </c>
      <c r="L29">
        <v>335</v>
      </c>
      <c r="M29" t="s">
        <v>895</v>
      </c>
      <c r="N29" t="s">
        <v>1587</v>
      </c>
      <c r="O29">
        <v>27595</v>
      </c>
      <c r="P29" t="s">
        <v>1517</v>
      </c>
      <c r="Q29">
        <v>37</v>
      </c>
      <c r="R29" t="s">
        <v>1640</v>
      </c>
      <c r="S29" s="281">
        <f>ROWS($Q$4:Q29)</f>
        <v>26</v>
      </c>
      <c r="T29" s="281" t="str">
        <f>IF('School Level Expenditures'!$B$2='School Tables'!L29,'School Tables'!S29,"")</f>
        <v/>
      </c>
      <c r="U29" s="281" t="str">
        <f>IFERROR(SMALL($T$4:$T$75,ROWS($T$4:T29)),"")</f>
        <v/>
      </c>
      <c r="V29" s="256" t="b">
        <f t="shared" si="1"/>
        <v>0</v>
      </c>
      <c r="W29">
        <v>191</v>
      </c>
      <c r="X29" t="s">
        <v>1045</v>
      </c>
      <c r="Y29" t="s">
        <v>1046</v>
      </c>
      <c r="Z29">
        <v>21240</v>
      </c>
      <c r="AA29" t="s">
        <v>1518</v>
      </c>
      <c r="AB29">
        <v>73</v>
      </c>
      <c r="AC29" t="s">
        <v>1682</v>
      </c>
      <c r="AD29" s="281">
        <f>ROWS($AC$4:AC29)</f>
        <v>26</v>
      </c>
      <c r="AE29" s="281" t="str">
        <f>IF('School Level Expenditures'!$B$2='School Tables'!W29,'School Tables'!AD29,"")</f>
        <v/>
      </c>
      <c r="AF29" s="281" t="str">
        <f>IFERROR(SMALL(AE29:$AE$100,ROWS($AE$4:AE29)),"")</f>
        <v/>
      </c>
      <c r="AG29" s="256" t="b">
        <f t="shared" si="2"/>
        <v>0</v>
      </c>
      <c r="AH29">
        <v>101</v>
      </c>
      <c r="AI29">
        <v>101</v>
      </c>
      <c r="AJ29" t="s">
        <v>952</v>
      </c>
      <c r="AK29">
        <v>6</v>
      </c>
      <c r="AL29" t="s">
        <v>1649</v>
      </c>
    </row>
    <row r="30" spans="1:38" ht="12.75" x14ac:dyDescent="0.2">
      <c r="A30">
        <v>101</v>
      </c>
      <c r="B30" t="s">
        <v>952</v>
      </c>
      <c r="C30" t="s">
        <v>955</v>
      </c>
      <c r="D30">
        <v>20145</v>
      </c>
      <c r="E30" t="s">
        <v>61</v>
      </c>
      <c r="F30">
        <v>6</v>
      </c>
      <c r="G30" t="s">
        <v>1649</v>
      </c>
      <c r="H30" s="281">
        <f>ROWS($G$4:G30)</f>
        <v>27</v>
      </c>
      <c r="I30" s="281" t="str">
        <f>IF('School Level Expenditures'!$B$2=A30,'School Tables'!H30,"")</f>
        <v/>
      </c>
      <c r="J30" s="281" t="str">
        <f>IFERROR(SMALL($I$4:$I$325,ROWS($I$4:I30)),"")</f>
        <v/>
      </c>
      <c r="K30" s="256" t="b">
        <f t="shared" si="0"/>
        <v>0</v>
      </c>
      <c r="L30">
        <v>251</v>
      </c>
      <c r="M30" t="s">
        <v>1092</v>
      </c>
      <c r="N30" t="s">
        <v>1095</v>
      </c>
      <c r="O30">
        <v>20960</v>
      </c>
      <c r="P30" t="s">
        <v>1517</v>
      </c>
      <c r="Q30">
        <v>34</v>
      </c>
      <c r="R30" t="s">
        <v>1695</v>
      </c>
      <c r="S30" s="281">
        <f>ROWS($Q$4:Q30)</f>
        <v>27</v>
      </c>
      <c r="T30" s="281" t="str">
        <f>IF('School Level Expenditures'!$B$2='School Tables'!L30,'School Tables'!S30,"")</f>
        <v/>
      </c>
      <c r="U30" s="281" t="str">
        <f>IFERROR(SMALL($T$4:$T$75,ROWS($T$4:T30)),"")</f>
        <v/>
      </c>
      <c r="V30" s="256" t="b">
        <f t="shared" si="1"/>
        <v>0</v>
      </c>
      <c r="W30">
        <v>199</v>
      </c>
      <c r="X30" t="s">
        <v>1051</v>
      </c>
      <c r="Y30" t="s">
        <v>1055</v>
      </c>
      <c r="Z30">
        <v>20700</v>
      </c>
      <c r="AA30" t="s">
        <v>1518</v>
      </c>
      <c r="AB30">
        <v>19</v>
      </c>
      <c r="AC30" t="s">
        <v>1643</v>
      </c>
      <c r="AD30" s="281">
        <f>ROWS($AC$4:AC30)</f>
        <v>27</v>
      </c>
      <c r="AE30" s="281" t="str">
        <f>IF('School Level Expenditures'!$B$2='School Tables'!W30,'School Tables'!AD30,"")</f>
        <v/>
      </c>
      <c r="AF30" s="281" t="str">
        <f>IFERROR(SMALL(AE30:$AE$100,ROWS($AE$4:AE30)),"")</f>
        <v/>
      </c>
      <c r="AG30" s="256" t="b">
        <f t="shared" si="2"/>
        <v>0</v>
      </c>
      <c r="AH30">
        <v>103</v>
      </c>
      <c r="AI30">
        <v>103</v>
      </c>
      <c r="AJ30" t="s">
        <v>1742</v>
      </c>
      <c r="AK30">
        <v>7</v>
      </c>
      <c r="AL30" t="s">
        <v>1661</v>
      </c>
    </row>
    <row r="31" spans="1:38" ht="38.25" x14ac:dyDescent="0.2">
      <c r="A31">
        <v>352</v>
      </c>
      <c r="B31" t="s">
        <v>1235</v>
      </c>
      <c r="C31" t="s">
        <v>1237</v>
      </c>
      <c r="D31">
        <v>22155</v>
      </c>
      <c r="E31" t="s">
        <v>61</v>
      </c>
      <c r="F31">
        <v>46</v>
      </c>
      <c r="G31" t="s">
        <v>1635</v>
      </c>
      <c r="H31" s="281">
        <f>ROWS($G$4:G31)</f>
        <v>28</v>
      </c>
      <c r="I31" s="281" t="str">
        <f>IF('School Level Expenditures'!$B$2=A31,'School Tables'!H31,"")</f>
        <v/>
      </c>
      <c r="J31" s="281" t="str">
        <f>IFERROR(SMALL($I$4:$I$325,ROWS($I$4:I31)),"")</f>
        <v/>
      </c>
      <c r="K31" s="256" t="b">
        <f t="shared" si="0"/>
        <v>0</v>
      </c>
      <c r="L31">
        <v>335</v>
      </c>
      <c r="M31" t="s">
        <v>895</v>
      </c>
      <c r="N31" t="s">
        <v>1197</v>
      </c>
      <c r="O31">
        <v>21520</v>
      </c>
      <c r="P31" t="s">
        <v>1517</v>
      </c>
      <c r="Q31">
        <v>37</v>
      </c>
      <c r="R31" t="s">
        <v>1640</v>
      </c>
      <c r="S31" s="281">
        <f>ROWS($Q$4:Q31)</f>
        <v>28</v>
      </c>
      <c r="T31" s="281" t="str">
        <f>IF('School Level Expenditures'!$B$2='School Tables'!L31,'School Tables'!S31,"")</f>
        <v/>
      </c>
      <c r="U31" s="281" t="str">
        <f>IFERROR(SMALL($T$4:$T$75,ROWS($T$4:T31)),"")</f>
        <v/>
      </c>
      <c r="V31" s="256" t="b">
        <f t="shared" si="1"/>
        <v>0</v>
      </c>
      <c r="W31">
        <v>203</v>
      </c>
      <c r="X31" t="s">
        <v>1056</v>
      </c>
      <c r="Y31" t="s">
        <v>1058</v>
      </c>
      <c r="Z31">
        <v>20750</v>
      </c>
      <c r="AA31" t="s">
        <v>1518</v>
      </c>
      <c r="AB31">
        <v>20</v>
      </c>
      <c r="AC31" t="s">
        <v>1671</v>
      </c>
      <c r="AD31" s="281">
        <f>ROWS($AC$4:AC31)</f>
        <v>28</v>
      </c>
      <c r="AE31" s="281" t="str">
        <f>IF('School Level Expenditures'!$B$2='School Tables'!W31,'School Tables'!AD31,"")</f>
        <v/>
      </c>
      <c r="AF31" s="281" t="str">
        <f>IFERROR(SMALL(AE31:$AE$100,ROWS($AE$4:AE31)),"")</f>
        <v/>
      </c>
      <c r="AG31" s="256" t="b">
        <f t="shared" ref="AG31:AG67" si="3">Y32=Y33</f>
        <v>0</v>
      </c>
      <c r="AH31" s="282">
        <v>707</v>
      </c>
      <c r="AI31" s="282">
        <v>707</v>
      </c>
      <c r="AJ31" s="282" t="s">
        <v>1482</v>
      </c>
      <c r="AK31" s="282">
        <v>405</v>
      </c>
      <c r="AL31" s="282" t="s">
        <v>1482</v>
      </c>
    </row>
    <row r="32" spans="1:38" ht="12.75" x14ac:dyDescent="0.2">
      <c r="A32">
        <v>57</v>
      </c>
      <c r="B32" t="s">
        <v>934</v>
      </c>
      <c r="C32" t="s">
        <v>936</v>
      </c>
      <c r="D32">
        <v>20680</v>
      </c>
      <c r="E32" t="s">
        <v>61</v>
      </c>
      <c r="F32">
        <v>67</v>
      </c>
      <c r="G32" t="s">
        <v>1650</v>
      </c>
      <c r="H32" s="281">
        <f>ROWS($G$4:G32)</f>
        <v>29</v>
      </c>
      <c r="I32" s="281" t="str">
        <f>IF('School Level Expenditures'!$B$2=A32,'School Tables'!H32,"")</f>
        <v/>
      </c>
      <c r="J32" s="281" t="str">
        <f>IFERROR(SMALL($I$4:$I$325,ROWS($I$4:I32)),"")</f>
        <v/>
      </c>
      <c r="K32" s="256" t="b">
        <f t="shared" si="0"/>
        <v>0</v>
      </c>
      <c r="L32">
        <v>255</v>
      </c>
      <c r="M32" t="s">
        <v>1096</v>
      </c>
      <c r="N32" t="s">
        <v>1099</v>
      </c>
      <c r="O32">
        <v>26985</v>
      </c>
      <c r="P32" t="s">
        <v>1517</v>
      </c>
      <c r="Q32">
        <v>92</v>
      </c>
      <c r="R32" t="s">
        <v>1696</v>
      </c>
      <c r="S32" s="281">
        <f>ROWS($Q$4:Q32)</f>
        <v>29</v>
      </c>
      <c r="T32" s="281" t="str">
        <f>IF('School Level Expenditures'!$B$2='School Tables'!L32,'School Tables'!S32,"")</f>
        <v/>
      </c>
      <c r="U32" s="281" t="str">
        <f>IFERROR(SMALL($T$4:$T$75,ROWS($T$4:T32)),"")</f>
        <v/>
      </c>
      <c r="V32" s="256" t="b">
        <f t="shared" si="1"/>
        <v>0</v>
      </c>
      <c r="W32">
        <v>709</v>
      </c>
      <c r="X32" t="s">
        <v>1486</v>
      </c>
      <c r="Y32" t="s">
        <v>1487</v>
      </c>
      <c r="Z32">
        <v>28445</v>
      </c>
      <c r="AA32" t="s">
        <v>1518</v>
      </c>
      <c r="AB32">
        <v>404</v>
      </c>
      <c r="AC32" t="s">
        <v>1486</v>
      </c>
      <c r="AD32" s="281">
        <f>ROWS($AC$4:AC32)</f>
        <v>29</v>
      </c>
      <c r="AE32" s="281" t="str">
        <f>IF('School Level Expenditures'!$B$2='School Tables'!W32,'School Tables'!AD32,"")</f>
        <v/>
      </c>
      <c r="AF32" s="281" t="str">
        <f>IFERROR(SMALL(AE32:$AE$100,ROWS($AE$4:AE32)),"")</f>
        <v/>
      </c>
      <c r="AG32" s="256" t="b">
        <f t="shared" si="3"/>
        <v>0</v>
      </c>
      <c r="AH32">
        <v>105</v>
      </c>
      <c r="AI32">
        <v>105</v>
      </c>
      <c r="AJ32" t="s">
        <v>957</v>
      </c>
      <c r="AK32">
        <v>7</v>
      </c>
      <c r="AL32" t="s">
        <v>1661</v>
      </c>
    </row>
    <row r="33" spans="1:38" ht="12.75" x14ac:dyDescent="0.2">
      <c r="A33">
        <v>57</v>
      </c>
      <c r="B33" t="s">
        <v>934</v>
      </c>
      <c r="C33" t="s">
        <v>1805</v>
      </c>
      <c r="D33">
        <v>29264</v>
      </c>
      <c r="E33" t="s">
        <v>61</v>
      </c>
      <c r="F33">
        <v>67</v>
      </c>
      <c r="G33" t="s">
        <v>1650</v>
      </c>
      <c r="H33" s="281">
        <f>ROWS($G$4:G33)</f>
        <v>30</v>
      </c>
      <c r="I33" s="281" t="str">
        <f>IF('School Level Expenditures'!$B$2=A33,'School Tables'!H33,"")</f>
        <v/>
      </c>
      <c r="J33" s="281" t="str">
        <f>IFERROR(SMALL($I$4:$I$325,ROWS($I$4:I33)),"")</f>
        <v/>
      </c>
      <c r="K33" s="256" t="b">
        <f t="shared" si="0"/>
        <v>0</v>
      </c>
      <c r="L33">
        <v>260</v>
      </c>
      <c r="M33" t="s">
        <v>1105</v>
      </c>
      <c r="N33" t="s">
        <v>1106</v>
      </c>
      <c r="O33">
        <v>21805</v>
      </c>
      <c r="P33" t="s">
        <v>1517</v>
      </c>
      <c r="Q33">
        <v>41</v>
      </c>
      <c r="R33" t="s">
        <v>1654</v>
      </c>
      <c r="S33" s="281">
        <f>ROWS($Q$4:Q33)</f>
        <v>30</v>
      </c>
      <c r="T33" s="281" t="str">
        <f>IF('School Level Expenditures'!$B$2='School Tables'!L33,'School Tables'!S33,"")</f>
        <v/>
      </c>
      <c r="U33" s="281" t="str">
        <f>IFERROR(SMALL($T$4:$T$75,ROWS($T$4:T33)),"")</f>
        <v/>
      </c>
      <c r="V33" s="256" t="b">
        <f t="shared" si="1"/>
        <v>0</v>
      </c>
      <c r="W33">
        <v>407</v>
      </c>
      <c r="X33" t="s">
        <v>1312</v>
      </c>
      <c r="Y33" t="s">
        <v>1313</v>
      </c>
      <c r="Z33">
        <v>22900</v>
      </c>
      <c r="AA33" t="s">
        <v>1518</v>
      </c>
      <c r="AB33">
        <v>58</v>
      </c>
      <c r="AC33" t="s">
        <v>1688</v>
      </c>
      <c r="AD33" s="281">
        <f>ROWS($AC$4:AC33)</f>
        <v>30</v>
      </c>
      <c r="AE33" s="281" t="str">
        <f>IF('School Level Expenditures'!$B$2='School Tables'!W33,'School Tables'!AD33,"")</f>
        <v/>
      </c>
      <c r="AF33" s="281" t="str">
        <f>IFERROR(SMALL(AE33:$AE$100,ROWS($AE$4:AE33)),"")</f>
        <v/>
      </c>
      <c r="AG33" s="256" t="b">
        <f t="shared" si="3"/>
        <v>0</v>
      </c>
      <c r="AH33">
        <v>107</v>
      </c>
      <c r="AI33">
        <v>107</v>
      </c>
      <c r="AJ33" t="s">
        <v>1743</v>
      </c>
      <c r="AK33">
        <v>7</v>
      </c>
      <c r="AL33" t="s">
        <v>1661</v>
      </c>
    </row>
    <row r="34" spans="1:38" ht="63.75" x14ac:dyDescent="0.2">
      <c r="A34">
        <v>388</v>
      </c>
      <c r="B34" t="s">
        <v>1754</v>
      </c>
      <c r="C34" t="s">
        <v>1294</v>
      </c>
      <c r="D34">
        <v>27685</v>
      </c>
      <c r="E34" t="s">
        <v>61</v>
      </c>
      <c r="F34">
        <v>4</v>
      </c>
      <c r="G34" t="s">
        <v>1651</v>
      </c>
      <c r="H34" s="281">
        <f>ROWS($G$4:G34)</f>
        <v>31</v>
      </c>
      <c r="I34" s="281" t="str">
        <f>IF('School Level Expenditures'!$B$2=A34,'School Tables'!H34,"")</f>
        <v/>
      </c>
      <c r="J34" s="281" t="str">
        <f>IFERROR(SMALL($I$4:$I$325,ROWS($I$4:I34)),"")</f>
        <v/>
      </c>
      <c r="K34" s="256" t="b">
        <f t="shared" si="0"/>
        <v>0</v>
      </c>
      <c r="L34">
        <v>263</v>
      </c>
      <c r="M34" t="s">
        <v>1112</v>
      </c>
      <c r="N34" t="s">
        <v>1113</v>
      </c>
      <c r="O34">
        <v>27000</v>
      </c>
      <c r="P34" t="s">
        <v>1517</v>
      </c>
      <c r="Q34">
        <v>66</v>
      </c>
      <c r="R34" t="s">
        <v>1691</v>
      </c>
      <c r="S34" s="281">
        <f>ROWS($Q$4:Q34)</f>
        <v>31</v>
      </c>
      <c r="T34" s="281" t="str">
        <f>IF('School Level Expenditures'!$B$2='School Tables'!L34,'School Tables'!S34,"")</f>
        <v/>
      </c>
      <c r="U34" s="281" t="str">
        <f>IFERROR(SMALL($T$4:$T$75,ROWS($T$4:T34)),"")</f>
        <v/>
      </c>
      <c r="V34" s="256" t="b">
        <f t="shared" si="1"/>
        <v>0</v>
      </c>
      <c r="W34">
        <v>142</v>
      </c>
      <c r="X34" t="s">
        <v>1002</v>
      </c>
      <c r="Y34" t="s">
        <v>1003</v>
      </c>
      <c r="Z34">
        <v>20820</v>
      </c>
      <c r="AA34" t="s">
        <v>1518</v>
      </c>
      <c r="AB34">
        <v>70</v>
      </c>
      <c r="AC34" t="s">
        <v>1647</v>
      </c>
      <c r="AD34" s="281">
        <f>ROWS($AC$4:AC34)</f>
        <v>31</v>
      </c>
      <c r="AE34" s="281" t="str">
        <f>IF('School Level Expenditures'!$B$2='School Tables'!W34,'School Tables'!AD34,"")</f>
        <v/>
      </c>
      <c r="AF34" s="281" t="str">
        <f>IFERROR(SMALL(AE34:$AE$100,ROWS($AE$4:AE34)),"")</f>
        <v/>
      </c>
      <c r="AG34" s="256" t="b">
        <f t="shared" si="3"/>
        <v>0</v>
      </c>
      <c r="AH34" s="282">
        <v>743</v>
      </c>
      <c r="AI34" s="282">
        <v>743</v>
      </c>
      <c r="AJ34" s="282" t="s">
        <v>1513</v>
      </c>
      <c r="AK34" s="282">
        <v>429</v>
      </c>
      <c r="AL34" s="282" t="s">
        <v>1513</v>
      </c>
    </row>
    <row r="35" spans="1:38" ht="12.75" x14ac:dyDescent="0.2">
      <c r="A35">
        <v>388</v>
      </c>
      <c r="B35" t="s">
        <v>1754</v>
      </c>
      <c r="C35" t="s">
        <v>1297</v>
      </c>
      <c r="D35">
        <v>20090</v>
      </c>
      <c r="E35" t="s">
        <v>61</v>
      </c>
      <c r="F35">
        <v>4</v>
      </c>
      <c r="G35" t="s">
        <v>1651</v>
      </c>
      <c r="H35" s="281">
        <f>ROWS($G$4:G35)</f>
        <v>32</v>
      </c>
      <c r="I35" s="281" t="str">
        <f>IF('School Level Expenditures'!$B$2=A35,'School Tables'!H35,"")</f>
        <v/>
      </c>
      <c r="J35" s="281" t="str">
        <f>IFERROR(SMALL($I$4:$I$325,ROWS($I$4:I35)),"")</f>
        <v/>
      </c>
      <c r="K35" s="256" t="b">
        <f t="shared" si="0"/>
        <v>0</v>
      </c>
      <c r="L35">
        <v>267</v>
      </c>
      <c r="M35" t="s">
        <v>1117</v>
      </c>
      <c r="N35" t="s">
        <v>1120</v>
      </c>
      <c r="O35">
        <v>21060</v>
      </c>
      <c r="P35" t="s">
        <v>1517</v>
      </c>
      <c r="Q35">
        <v>81</v>
      </c>
      <c r="R35" t="s">
        <v>1668</v>
      </c>
      <c r="S35" s="281">
        <f>ROWS($Q$4:Q35)</f>
        <v>32</v>
      </c>
      <c r="T35" s="281" t="str">
        <f>IF('School Level Expenditures'!$B$2='School Tables'!L35,'School Tables'!S35,"")</f>
        <v/>
      </c>
      <c r="U35" s="281" t="str">
        <f>IFERROR(SMALL($T$4:$T$75,ROWS($T$4:T35)),"")</f>
        <v/>
      </c>
      <c r="V35" s="256" t="b">
        <f t="shared" si="1"/>
        <v>0</v>
      </c>
      <c r="W35">
        <v>251</v>
      </c>
      <c r="X35" t="s">
        <v>1092</v>
      </c>
      <c r="Y35" t="s">
        <v>1093</v>
      </c>
      <c r="Z35">
        <v>20950</v>
      </c>
      <c r="AA35" t="s">
        <v>1518</v>
      </c>
      <c r="AB35">
        <v>34</v>
      </c>
      <c r="AC35" t="s">
        <v>1695</v>
      </c>
      <c r="AD35" s="281">
        <f>ROWS($AC$4:AC35)</f>
        <v>32</v>
      </c>
      <c r="AE35" s="281" t="str">
        <f>IF('School Level Expenditures'!$B$2='School Tables'!W35,'School Tables'!AD35,"")</f>
        <v/>
      </c>
      <c r="AF35" s="281" t="str">
        <f>IFERROR(SMALL(AE35:$AE$100,ROWS($AE$4:AE35)),"")</f>
        <v/>
      </c>
      <c r="AG35" s="256" t="b">
        <f t="shared" si="3"/>
        <v>0</v>
      </c>
      <c r="AH35">
        <v>111</v>
      </c>
      <c r="AI35">
        <v>111</v>
      </c>
      <c r="AJ35" t="s">
        <v>958</v>
      </c>
      <c r="AK35">
        <v>8</v>
      </c>
      <c r="AL35" t="s">
        <v>1629</v>
      </c>
    </row>
    <row r="36" spans="1:38" ht="12.75" x14ac:dyDescent="0.2">
      <c r="A36">
        <v>371</v>
      </c>
      <c r="B36" t="s">
        <v>1268</v>
      </c>
      <c r="C36" t="s">
        <v>1281</v>
      </c>
      <c r="D36">
        <v>21925</v>
      </c>
      <c r="E36" t="s">
        <v>61</v>
      </c>
      <c r="F36">
        <v>42</v>
      </c>
      <c r="G36" t="s">
        <v>1634</v>
      </c>
      <c r="H36" s="281">
        <f>ROWS($G$4:G36)</f>
        <v>33</v>
      </c>
      <c r="I36" s="281" t="str">
        <f>IF('School Level Expenditures'!$B$2=A36,'School Tables'!H36,"")</f>
        <v/>
      </c>
      <c r="J36" s="281" t="str">
        <f>IFERROR(SMALL($I$4:$I$325,ROWS($I$4:I36)),"")</f>
        <v/>
      </c>
      <c r="K36" s="256" t="b">
        <f t="shared" si="0"/>
        <v>0</v>
      </c>
      <c r="L36">
        <v>453</v>
      </c>
      <c r="M36" t="s">
        <v>1357</v>
      </c>
      <c r="N36" t="s">
        <v>1360</v>
      </c>
      <c r="O36">
        <v>26525</v>
      </c>
      <c r="P36" t="s">
        <v>1517</v>
      </c>
      <c r="Q36">
        <v>33</v>
      </c>
      <c r="R36" t="s">
        <v>1702</v>
      </c>
      <c r="S36" s="281">
        <f>ROWS($Q$4:Q36)</f>
        <v>33</v>
      </c>
      <c r="T36" s="281" t="str">
        <f>IF('School Level Expenditures'!$B$2='School Tables'!L36,'School Tables'!S36,"")</f>
        <v/>
      </c>
      <c r="U36" s="281" t="str">
        <f>IFERROR(SMALL($T$4:$T$75,ROWS($T$4:T36)),"")</f>
        <v/>
      </c>
      <c r="V36" s="256" t="b">
        <f t="shared" si="1"/>
        <v>0</v>
      </c>
      <c r="W36">
        <v>255</v>
      </c>
      <c r="X36" t="s">
        <v>1096</v>
      </c>
      <c r="Y36" t="s">
        <v>1097</v>
      </c>
      <c r="Z36">
        <v>21675</v>
      </c>
      <c r="AA36" t="s">
        <v>1518</v>
      </c>
      <c r="AB36">
        <v>92</v>
      </c>
      <c r="AC36" t="s">
        <v>1696</v>
      </c>
      <c r="AD36" s="281">
        <f>ROWS($AC$4:AC36)</f>
        <v>33</v>
      </c>
      <c r="AE36" s="281" t="str">
        <f>IF('School Level Expenditures'!$B$2='School Tables'!W36,'School Tables'!AD36,"")</f>
        <v/>
      </c>
      <c r="AF36" s="281" t="str">
        <f>IFERROR(SMALL(AE36:$AE$100,ROWS($AE$4:AE36)),"")</f>
        <v/>
      </c>
      <c r="AG36" s="256" t="b">
        <f t="shared" si="3"/>
        <v>0</v>
      </c>
      <c r="AH36">
        <v>112</v>
      </c>
      <c r="AI36">
        <v>0</v>
      </c>
      <c r="AJ36" t="s">
        <v>966</v>
      </c>
      <c r="AK36">
        <v>1</v>
      </c>
      <c r="AL36" t="s">
        <v>1636</v>
      </c>
    </row>
    <row r="37" spans="1:38" ht="12.75" x14ac:dyDescent="0.2">
      <c r="A37">
        <v>111</v>
      </c>
      <c r="B37" t="s">
        <v>958</v>
      </c>
      <c r="C37" t="s">
        <v>962</v>
      </c>
      <c r="D37">
        <v>20260</v>
      </c>
      <c r="E37" t="s">
        <v>61</v>
      </c>
      <c r="F37">
        <v>8</v>
      </c>
      <c r="G37" t="s">
        <v>1629</v>
      </c>
      <c r="H37" s="281">
        <f>ROWS($G$4:G37)</f>
        <v>34</v>
      </c>
      <c r="I37" s="281" t="str">
        <f>IF('School Level Expenditures'!$B$2=A37,'School Tables'!H37,"")</f>
        <v/>
      </c>
      <c r="J37" s="281" t="str">
        <f>IFERROR(SMALL($I$4:$I$325,ROWS($I$4:I37)),"")</f>
        <v/>
      </c>
      <c r="K37" s="256" t="b">
        <f t="shared" si="0"/>
        <v>0</v>
      </c>
      <c r="L37">
        <v>276</v>
      </c>
      <c r="M37" t="s">
        <v>1135</v>
      </c>
      <c r="N37" t="s">
        <v>1141</v>
      </c>
      <c r="O37">
        <v>26535</v>
      </c>
      <c r="P37" t="s">
        <v>1517</v>
      </c>
      <c r="Q37">
        <v>65</v>
      </c>
      <c r="R37" t="s">
        <v>1699</v>
      </c>
      <c r="S37" s="281">
        <f>ROWS($Q$4:Q37)</f>
        <v>34</v>
      </c>
      <c r="T37" s="281" t="str">
        <f>IF('School Level Expenditures'!$B$2='School Tables'!L37,'School Tables'!S37,"")</f>
        <v/>
      </c>
      <c r="U37" s="281" t="str">
        <f>IFERROR(SMALL($T$4:$T$75,ROWS($T$4:T37)),"")</f>
        <v/>
      </c>
      <c r="V37" s="256" t="b">
        <f t="shared" si="1"/>
        <v>0</v>
      </c>
      <c r="W37">
        <v>260</v>
      </c>
      <c r="X37" t="s">
        <v>1105</v>
      </c>
      <c r="Y37" t="s">
        <v>1107</v>
      </c>
      <c r="Z37">
        <v>21810</v>
      </c>
      <c r="AA37" t="s">
        <v>1518</v>
      </c>
      <c r="AB37">
        <v>41</v>
      </c>
      <c r="AC37" t="s">
        <v>1654</v>
      </c>
      <c r="AD37" s="281">
        <f>ROWS($AC$4:AC37)</f>
        <v>34</v>
      </c>
      <c r="AE37" s="281" t="str">
        <f>IF('School Level Expenditures'!$B$2='School Tables'!W37,'School Tables'!AD37,"")</f>
        <v/>
      </c>
      <c r="AF37" s="281" t="str">
        <f>IFERROR(SMALL(AE37:$AE$100,ROWS($AE$4:AE37)),"")</f>
        <v/>
      </c>
      <c r="AG37" s="256" t="b">
        <f t="shared" si="3"/>
        <v>0</v>
      </c>
      <c r="AH37">
        <v>113</v>
      </c>
      <c r="AI37">
        <v>113</v>
      </c>
      <c r="AJ37" t="s">
        <v>978</v>
      </c>
      <c r="AK37">
        <v>9</v>
      </c>
      <c r="AL37" t="s">
        <v>1662</v>
      </c>
    </row>
    <row r="38" spans="1:38" ht="12.75" x14ac:dyDescent="0.2">
      <c r="A38">
        <v>75</v>
      </c>
      <c r="B38" t="s">
        <v>942</v>
      </c>
      <c r="C38" t="s">
        <v>943</v>
      </c>
      <c r="D38">
        <v>22335</v>
      </c>
      <c r="E38" t="s">
        <v>61</v>
      </c>
      <c r="F38">
        <v>48</v>
      </c>
      <c r="G38" t="s">
        <v>1652</v>
      </c>
      <c r="H38" s="281">
        <f>ROWS($G$4:G38)</f>
        <v>35</v>
      </c>
      <c r="I38" s="281" t="str">
        <f>IF('School Level Expenditures'!$B$2=A38,'School Tables'!H38,"")</f>
        <v/>
      </c>
      <c r="J38" s="281" t="str">
        <f>IFERROR(SMALL($I$4:$I$325,ROWS($I$4:I38)),"")</f>
        <v/>
      </c>
      <c r="K38" s="256" t="b">
        <f t="shared" si="0"/>
        <v>0</v>
      </c>
      <c r="L38">
        <v>279</v>
      </c>
      <c r="M38" t="s">
        <v>1142</v>
      </c>
      <c r="N38" t="s">
        <v>1145</v>
      </c>
      <c r="O38">
        <v>21185</v>
      </c>
      <c r="P38" t="s">
        <v>1517</v>
      </c>
      <c r="Q38">
        <v>29</v>
      </c>
      <c r="R38" t="s">
        <v>1659</v>
      </c>
      <c r="S38" s="281">
        <f>ROWS($Q$4:Q38)</f>
        <v>35</v>
      </c>
      <c r="T38" s="281" t="str">
        <f>IF('School Level Expenditures'!$B$2='School Tables'!L38,'School Tables'!S38,"")</f>
        <v/>
      </c>
      <c r="U38" s="281" t="str">
        <f>IFERROR(SMALL($T$4:$T$75,ROWS($T$4:T38)),"")</f>
        <v/>
      </c>
      <c r="V38" s="256" t="b">
        <f t="shared" si="1"/>
        <v>0</v>
      </c>
      <c r="W38">
        <v>263</v>
      </c>
      <c r="X38" t="s">
        <v>1112</v>
      </c>
      <c r="Y38" t="s">
        <v>1115</v>
      </c>
      <c r="Z38">
        <v>20970</v>
      </c>
      <c r="AA38" t="s">
        <v>1518</v>
      </c>
      <c r="AB38">
        <v>66</v>
      </c>
      <c r="AC38" t="s">
        <v>1691</v>
      </c>
      <c r="AD38" s="281">
        <f>ROWS($AC$4:AC38)</f>
        <v>35</v>
      </c>
      <c r="AE38" s="281" t="str">
        <f>IF('School Level Expenditures'!$B$2='School Tables'!W38,'School Tables'!AD38,"")</f>
        <v/>
      </c>
      <c r="AF38" s="281" t="str">
        <f>IFERROR(SMALL(AE38:$AE$100,ROWS($AE$4:AE38)),"")</f>
        <v/>
      </c>
      <c r="AG38" s="256" t="b">
        <f t="shared" si="3"/>
        <v>0</v>
      </c>
      <c r="AH38">
        <v>114</v>
      </c>
      <c r="AI38">
        <v>0</v>
      </c>
      <c r="AJ38" t="s">
        <v>1744</v>
      </c>
      <c r="AK38">
        <v>98</v>
      </c>
      <c r="AL38" t="s">
        <v>1745</v>
      </c>
    </row>
    <row r="39" spans="1:38" ht="12.75" x14ac:dyDescent="0.2">
      <c r="A39">
        <v>343</v>
      </c>
      <c r="B39" t="s">
        <v>1221</v>
      </c>
      <c r="C39" t="s">
        <v>1223</v>
      </c>
      <c r="D39">
        <v>21315</v>
      </c>
      <c r="E39" t="s">
        <v>61</v>
      </c>
      <c r="F39">
        <v>62</v>
      </c>
      <c r="G39" t="s">
        <v>1653</v>
      </c>
      <c r="H39" s="281">
        <f>ROWS($G$4:G39)</f>
        <v>36</v>
      </c>
      <c r="I39" s="281" t="str">
        <f>IF('School Level Expenditures'!$B$2=A39,'School Tables'!H39,"")</f>
        <v/>
      </c>
      <c r="J39" s="281" t="str">
        <f>IFERROR(SMALL($I$4:$I$325,ROWS($I$4:I39)),"")</f>
        <v/>
      </c>
      <c r="K39" s="256" t="b">
        <f t="shared" si="0"/>
        <v>0</v>
      </c>
      <c r="L39">
        <v>208</v>
      </c>
      <c r="M39" t="s">
        <v>1060</v>
      </c>
      <c r="N39" t="s">
        <v>1066</v>
      </c>
      <c r="O39">
        <v>22440</v>
      </c>
      <c r="P39" t="s">
        <v>1517</v>
      </c>
      <c r="Q39">
        <v>49</v>
      </c>
      <c r="R39" t="s">
        <v>1655</v>
      </c>
      <c r="S39" s="281">
        <f>ROWS($Q$4:Q39)</f>
        <v>36</v>
      </c>
      <c r="T39" s="281" t="str">
        <f>IF('School Level Expenditures'!$B$2='School Tables'!L39,'School Tables'!S39,"")</f>
        <v/>
      </c>
      <c r="U39" s="281" t="str">
        <f>IFERROR(SMALL($T$4:$T$75,ROWS($T$4:T39)),"")</f>
        <v/>
      </c>
      <c r="V39" s="256" t="b">
        <f t="shared" si="1"/>
        <v>0</v>
      </c>
      <c r="W39">
        <v>269</v>
      </c>
      <c r="X39" t="s">
        <v>1123</v>
      </c>
      <c r="Y39" t="s">
        <v>1126</v>
      </c>
      <c r="Z39">
        <v>20035</v>
      </c>
      <c r="AA39" t="s">
        <v>1518</v>
      </c>
      <c r="AB39">
        <v>2</v>
      </c>
      <c r="AC39" t="s">
        <v>1637</v>
      </c>
      <c r="AD39" s="281">
        <f>ROWS($AC$4:AC39)</f>
        <v>36</v>
      </c>
      <c r="AE39" s="281" t="str">
        <f>IF('School Level Expenditures'!$B$2='School Tables'!W39,'School Tables'!AD39,"")</f>
        <v/>
      </c>
      <c r="AF39" s="281" t="str">
        <f>IFERROR(SMALL(AE39:$AE$100,ROWS($AE$4:AE39)),"")</f>
        <v/>
      </c>
      <c r="AG39" s="256" t="b">
        <f t="shared" si="3"/>
        <v>0</v>
      </c>
      <c r="AH39">
        <v>115</v>
      </c>
      <c r="AI39">
        <v>115</v>
      </c>
      <c r="AJ39" t="s">
        <v>983</v>
      </c>
      <c r="AK39">
        <v>100</v>
      </c>
      <c r="AL39" t="s">
        <v>1663</v>
      </c>
    </row>
    <row r="40" spans="1:38" ht="12.75" x14ac:dyDescent="0.2">
      <c r="A40">
        <v>486</v>
      </c>
      <c r="B40" t="s">
        <v>1395</v>
      </c>
      <c r="C40" t="s">
        <v>1396</v>
      </c>
      <c r="D40">
        <v>22165</v>
      </c>
      <c r="E40" t="s">
        <v>61</v>
      </c>
      <c r="F40">
        <v>80</v>
      </c>
      <c r="G40" t="s">
        <v>1645</v>
      </c>
      <c r="H40" s="281">
        <f>ROWS($G$4:G40)</f>
        <v>37</v>
      </c>
      <c r="I40" s="281" t="str">
        <f>IF('School Level Expenditures'!$B$2=A40,'School Tables'!H40,"")</f>
        <v/>
      </c>
      <c r="J40" s="281" t="str">
        <f>IFERROR(SMALL($I$4:$I$325,ROWS($I$4:I40)),"")</f>
        <v/>
      </c>
      <c r="K40" s="256" t="b">
        <f t="shared" si="0"/>
        <v>0</v>
      </c>
      <c r="L40">
        <v>708</v>
      </c>
      <c r="M40" t="s">
        <v>1825</v>
      </c>
      <c r="N40" t="s">
        <v>1484</v>
      </c>
      <c r="O40">
        <v>29191</v>
      </c>
      <c r="P40" t="s">
        <v>1517</v>
      </c>
      <c r="Q40">
        <v>432</v>
      </c>
      <c r="R40" t="s">
        <v>1825</v>
      </c>
      <c r="S40" s="281">
        <f>ROWS($Q$4:Q40)</f>
        <v>37</v>
      </c>
      <c r="T40" s="281" t="str">
        <f>IF('School Level Expenditures'!$B$2='School Tables'!L40,'School Tables'!S40,"")</f>
        <v/>
      </c>
      <c r="U40" s="281" t="str">
        <f>IFERROR(SMALL($T$4:$T$75,ROWS($T$4:T40)),"")</f>
        <v/>
      </c>
      <c r="V40" s="256" t="b">
        <f t="shared" si="1"/>
        <v>0</v>
      </c>
      <c r="W40">
        <v>275</v>
      </c>
      <c r="X40" t="s">
        <v>1133</v>
      </c>
      <c r="Y40" t="s">
        <v>1134</v>
      </c>
      <c r="Z40">
        <v>26380</v>
      </c>
      <c r="AA40" t="s">
        <v>1518</v>
      </c>
      <c r="AB40">
        <v>24</v>
      </c>
      <c r="AC40" t="s">
        <v>1656</v>
      </c>
      <c r="AD40" s="281">
        <f>ROWS($AC$4:AC40)</f>
        <v>37</v>
      </c>
      <c r="AE40" s="281" t="str">
        <f>IF('School Level Expenditures'!$B$2='School Tables'!W40,'School Tables'!AD40,"")</f>
        <v/>
      </c>
      <c r="AF40" s="281" t="str">
        <f>IFERROR(SMALL(AE40:$AE$100,ROWS($AE$4:AE40)),"")</f>
        <v/>
      </c>
      <c r="AG40" s="256" t="b">
        <f t="shared" si="3"/>
        <v>0</v>
      </c>
      <c r="AH40">
        <v>117</v>
      </c>
      <c r="AI40">
        <v>117</v>
      </c>
      <c r="AJ40" t="s">
        <v>985</v>
      </c>
      <c r="AK40">
        <v>99</v>
      </c>
      <c r="AL40" t="s">
        <v>1664</v>
      </c>
    </row>
    <row r="41" spans="1:38" ht="25.5" x14ac:dyDescent="0.2">
      <c r="A41">
        <v>71</v>
      </c>
      <c r="B41" t="s">
        <v>939</v>
      </c>
      <c r="C41" t="s">
        <v>940</v>
      </c>
      <c r="D41">
        <v>27765</v>
      </c>
      <c r="E41" t="s">
        <v>61</v>
      </c>
      <c r="F41">
        <v>41</v>
      </c>
      <c r="G41" t="s">
        <v>1654</v>
      </c>
      <c r="H41" s="281">
        <f>ROWS($G$4:G41)</f>
        <v>38</v>
      </c>
      <c r="I41" s="281" t="str">
        <f>IF('School Level Expenditures'!$B$2=A41,'School Tables'!H41,"")</f>
        <v/>
      </c>
      <c r="J41" s="281" t="str">
        <f>IFERROR(SMALL($I$4:$I$325,ROWS($I$4:I41)),"")</f>
        <v/>
      </c>
      <c r="K41" s="256" t="b">
        <f t="shared" si="0"/>
        <v>0</v>
      </c>
      <c r="L41">
        <v>285</v>
      </c>
      <c r="M41" t="s">
        <v>1151</v>
      </c>
      <c r="N41" t="s">
        <v>1154</v>
      </c>
      <c r="O41">
        <v>21275</v>
      </c>
      <c r="P41" t="s">
        <v>1517</v>
      </c>
      <c r="Q41">
        <v>30</v>
      </c>
      <c r="R41" t="s">
        <v>1673</v>
      </c>
      <c r="S41" s="281">
        <f>ROWS($Q$4:Q41)</f>
        <v>38</v>
      </c>
      <c r="T41" s="281" t="str">
        <f>IF('School Level Expenditures'!$B$2='School Tables'!L41,'School Tables'!S41,"")</f>
        <v/>
      </c>
      <c r="U41" s="281" t="str">
        <f>IFERROR(SMALL($T$4:$T$75,ROWS($T$4:T41)),"")</f>
        <v/>
      </c>
      <c r="V41" s="256" t="b">
        <f t="shared" si="1"/>
        <v>0</v>
      </c>
      <c r="W41">
        <v>276</v>
      </c>
      <c r="X41" t="s">
        <v>1135</v>
      </c>
      <c r="Y41" t="s">
        <v>1137</v>
      </c>
      <c r="Z41">
        <v>22015</v>
      </c>
      <c r="AA41" t="s">
        <v>1518</v>
      </c>
      <c r="AB41">
        <v>65</v>
      </c>
      <c r="AC41" t="s">
        <v>1699</v>
      </c>
      <c r="AD41" s="281">
        <f>ROWS($AC$4:AC41)</f>
        <v>38</v>
      </c>
      <c r="AE41" s="281" t="str">
        <f>IF('School Level Expenditures'!$B$2='School Tables'!W41,'School Tables'!AD41,"")</f>
        <v/>
      </c>
      <c r="AF41" s="281" t="str">
        <f>IFERROR(SMALL(AE41:$AE$100,ROWS($AE$4:AE41)),"")</f>
        <v/>
      </c>
      <c r="AG41" s="256" t="b">
        <f t="shared" si="3"/>
        <v>0</v>
      </c>
      <c r="AH41" s="282">
        <v>723</v>
      </c>
      <c r="AI41" s="282">
        <v>723</v>
      </c>
      <c r="AJ41" s="282" t="s">
        <v>1493</v>
      </c>
      <c r="AK41" s="282">
        <v>410</v>
      </c>
      <c r="AL41" s="282" t="s">
        <v>1493</v>
      </c>
    </row>
    <row r="42" spans="1:38" ht="12.75" x14ac:dyDescent="0.2">
      <c r="A42">
        <v>208</v>
      </c>
      <c r="B42" t="s">
        <v>1060</v>
      </c>
      <c r="C42" t="s">
        <v>1806</v>
      </c>
      <c r="D42">
        <v>22430</v>
      </c>
      <c r="E42" t="s">
        <v>61</v>
      </c>
      <c r="F42">
        <v>49</v>
      </c>
      <c r="G42" t="s">
        <v>1655</v>
      </c>
      <c r="H42" s="281">
        <f>ROWS($G$4:G42)</f>
        <v>39</v>
      </c>
      <c r="I42" s="281" t="str">
        <f>IF('School Level Expenditures'!$B$2=A42,'School Tables'!H42,"")</f>
        <v/>
      </c>
      <c r="J42" s="281" t="str">
        <f>IFERROR(SMALL($I$4:$I$325,ROWS($I$4:I42)),"")</f>
        <v/>
      </c>
      <c r="K42" s="256" t="b">
        <f t="shared" si="0"/>
        <v>0</v>
      </c>
      <c r="L42">
        <v>295</v>
      </c>
      <c r="M42" t="s">
        <v>1161</v>
      </c>
      <c r="N42" t="s">
        <v>1165</v>
      </c>
      <c r="O42">
        <v>21370</v>
      </c>
      <c r="P42" t="s">
        <v>1517</v>
      </c>
      <c r="Q42">
        <v>88</v>
      </c>
      <c r="R42" t="s">
        <v>1690</v>
      </c>
      <c r="S42" s="281">
        <f>ROWS($Q$4:Q42)</f>
        <v>39</v>
      </c>
      <c r="T42" s="281" t="str">
        <f>IF('School Level Expenditures'!$B$2='School Tables'!L42,'School Tables'!S42,"")</f>
        <v/>
      </c>
      <c r="U42" s="281" t="str">
        <f>IFERROR(SMALL($T$4:$T$75,ROWS($T$4:T42)),"")</f>
        <v/>
      </c>
      <c r="V42" s="256" t="b">
        <f t="shared" si="1"/>
        <v>0</v>
      </c>
      <c r="W42">
        <v>279</v>
      </c>
      <c r="X42" t="s">
        <v>1142</v>
      </c>
      <c r="Y42" t="s">
        <v>1147</v>
      </c>
      <c r="Z42">
        <v>21195</v>
      </c>
      <c r="AA42" t="s">
        <v>1518</v>
      </c>
      <c r="AB42">
        <v>29</v>
      </c>
      <c r="AC42" t="s">
        <v>1659</v>
      </c>
      <c r="AD42" s="281">
        <f>ROWS($AC$4:AC42)</f>
        <v>39</v>
      </c>
      <c r="AE42" s="281" t="str">
        <f>IF('School Level Expenditures'!$B$2='School Tables'!W42,'School Tables'!AD42,"")</f>
        <v/>
      </c>
      <c r="AF42" s="281" t="str">
        <f>IFERROR(SMALL(AE42:$AE$100,ROWS($AE$4:AE42)),"")</f>
        <v/>
      </c>
      <c r="AG42" s="256" t="b">
        <f t="shared" si="3"/>
        <v>0</v>
      </c>
      <c r="AH42">
        <v>127</v>
      </c>
      <c r="AI42">
        <v>127</v>
      </c>
      <c r="AJ42" t="s">
        <v>987</v>
      </c>
      <c r="AK42">
        <v>53</v>
      </c>
      <c r="AL42" t="s">
        <v>1632</v>
      </c>
    </row>
    <row r="43" spans="1:38" ht="12.75" x14ac:dyDescent="0.2">
      <c r="A43">
        <v>555</v>
      </c>
      <c r="B43" t="s">
        <v>1446</v>
      </c>
      <c r="C43" t="s">
        <v>1447</v>
      </c>
      <c r="D43">
        <v>26810</v>
      </c>
      <c r="E43" t="s">
        <v>61</v>
      </c>
      <c r="F43">
        <v>24</v>
      </c>
      <c r="G43" t="s">
        <v>1656</v>
      </c>
      <c r="H43" s="281">
        <f>ROWS($G$4:G43)</f>
        <v>40</v>
      </c>
      <c r="I43" s="281" t="str">
        <f>IF('School Level Expenditures'!$B$2=A43,'School Tables'!H43,"")</f>
        <v/>
      </c>
      <c r="J43" s="281" t="str">
        <f>IFERROR(SMALL($I$4:$I$325,ROWS($I$4:I43)),"")</f>
        <v/>
      </c>
      <c r="K43" s="256" t="b">
        <f t="shared" si="0"/>
        <v>0</v>
      </c>
      <c r="L43">
        <v>305</v>
      </c>
      <c r="M43" t="s">
        <v>1168</v>
      </c>
      <c r="N43" t="s">
        <v>1169</v>
      </c>
      <c r="O43">
        <v>23105</v>
      </c>
      <c r="P43" t="s">
        <v>1517</v>
      </c>
      <c r="Q43">
        <v>68</v>
      </c>
      <c r="R43" t="s">
        <v>1706</v>
      </c>
      <c r="S43" s="281">
        <f>ROWS($Q$4:Q43)</f>
        <v>40</v>
      </c>
      <c r="T43" s="281" t="str">
        <f>IF('School Level Expenditures'!$B$2='School Tables'!L43,'School Tables'!S43,"")</f>
        <v/>
      </c>
      <c r="U43" s="281" t="str">
        <f>IFERROR(SMALL($T$4:$T$75,ROWS($T$4:T43)),"")</f>
        <v/>
      </c>
      <c r="V43" s="256" t="b">
        <f t="shared" si="1"/>
        <v>0</v>
      </c>
      <c r="W43">
        <v>113</v>
      </c>
      <c r="X43" t="s">
        <v>978</v>
      </c>
      <c r="Y43" t="s">
        <v>982</v>
      </c>
      <c r="Z43">
        <v>20345</v>
      </c>
      <c r="AA43" t="s">
        <v>1518</v>
      </c>
      <c r="AB43">
        <v>9</v>
      </c>
      <c r="AC43" t="s">
        <v>1662</v>
      </c>
      <c r="AD43" s="281">
        <f>ROWS($AC$4:AC43)</f>
        <v>40</v>
      </c>
      <c r="AE43" s="281" t="str">
        <f>IF('School Level Expenditures'!$B$2='School Tables'!W43,'School Tables'!AD43,"")</f>
        <v/>
      </c>
      <c r="AF43" s="281" t="str">
        <f>IFERROR(SMALL(AE43:$AE$100,ROWS($AE$4:AE43)),"")</f>
        <v/>
      </c>
      <c r="AG43" s="256" t="b">
        <f t="shared" si="3"/>
        <v>0</v>
      </c>
      <c r="AH43">
        <v>131</v>
      </c>
      <c r="AI43">
        <v>131</v>
      </c>
      <c r="AJ43" t="s">
        <v>989</v>
      </c>
      <c r="AK43">
        <v>10</v>
      </c>
      <c r="AL43" t="s">
        <v>1667</v>
      </c>
    </row>
    <row r="44" spans="1:38" ht="12.75" x14ac:dyDescent="0.2">
      <c r="A44">
        <v>461</v>
      </c>
      <c r="B44" t="s">
        <v>1361</v>
      </c>
      <c r="C44" t="s">
        <v>1367</v>
      </c>
      <c r="D44">
        <v>22695</v>
      </c>
      <c r="E44" t="s">
        <v>61</v>
      </c>
      <c r="F44">
        <v>54</v>
      </c>
      <c r="G44" t="s">
        <v>1657</v>
      </c>
      <c r="H44" s="281">
        <f>ROWS($G$4:G44)</f>
        <v>41</v>
      </c>
      <c r="I44" s="281" t="str">
        <f>IF('School Level Expenditures'!$B$2=A44,'School Tables'!H44,"")</f>
        <v/>
      </c>
      <c r="J44" s="281" t="str">
        <f>IFERROR(SMALL($I$4:$I$325,ROWS($I$4:I44)),"")</f>
        <v/>
      </c>
      <c r="K44" s="256" t="b">
        <f t="shared" si="0"/>
        <v>0</v>
      </c>
      <c r="L44">
        <v>306</v>
      </c>
      <c r="M44" t="s">
        <v>1172</v>
      </c>
      <c r="N44" t="s">
        <v>1174</v>
      </c>
      <c r="O44">
        <v>23095</v>
      </c>
      <c r="P44" t="s">
        <v>1517</v>
      </c>
      <c r="Q44">
        <v>35</v>
      </c>
      <c r="R44" t="s">
        <v>1648</v>
      </c>
      <c r="S44" s="281">
        <f>ROWS($Q$4:Q44)</f>
        <v>41</v>
      </c>
      <c r="T44" s="281" t="str">
        <f>IF('School Level Expenditures'!$B$2='School Tables'!L44,'School Tables'!S44,"")</f>
        <v/>
      </c>
      <c r="U44" s="281" t="str">
        <f>IFERROR(SMALL($T$4:$T$75,ROWS($T$4:T44)),"")</f>
        <v/>
      </c>
      <c r="V44" s="256" t="b">
        <f t="shared" si="1"/>
        <v>0</v>
      </c>
      <c r="W44">
        <v>208</v>
      </c>
      <c r="X44" t="s">
        <v>1060</v>
      </c>
      <c r="Y44" t="s">
        <v>1065</v>
      </c>
      <c r="Z44">
        <v>22425</v>
      </c>
      <c r="AA44" t="s">
        <v>1518</v>
      </c>
      <c r="AB44">
        <v>49</v>
      </c>
      <c r="AC44" t="s">
        <v>1655</v>
      </c>
      <c r="AD44" s="281">
        <f>ROWS($AC$4:AC44)</f>
        <v>41</v>
      </c>
      <c r="AE44" s="281" t="str">
        <f>IF('School Level Expenditures'!$B$2='School Tables'!W44,'School Tables'!AD44,"")</f>
        <v/>
      </c>
      <c r="AF44" s="281" t="str">
        <f>IFERROR(SMALL(AE44:$AE$100,ROWS($AE$4:AE44)),"")</f>
        <v/>
      </c>
      <c r="AG44" s="256" t="b">
        <f t="shared" si="3"/>
        <v>0</v>
      </c>
      <c r="AH44">
        <v>141</v>
      </c>
      <c r="AI44">
        <v>141</v>
      </c>
      <c r="AJ44" t="s">
        <v>997</v>
      </c>
      <c r="AK44">
        <v>11</v>
      </c>
      <c r="AL44" t="s">
        <v>1678</v>
      </c>
    </row>
    <row r="45" spans="1:38" ht="12.75" x14ac:dyDescent="0.2">
      <c r="A45">
        <v>174</v>
      </c>
      <c r="B45" t="s">
        <v>1021</v>
      </c>
      <c r="C45" t="s">
        <v>1025</v>
      </c>
      <c r="D45">
        <v>22975</v>
      </c>
      <c r="E45" t="s">
        <v>61</v>
      </c>
      <c r="F45">
        <v>60</v>
      </c>
      <c r="G45" t="s">
        <v>1630</v>
      </c>
      <c r="H45" s="281">
        <f>ROWS($G$4:G45)</f>
        <v>42</v>
      </c>
      <c r="I45" s="281" t="str">
        <f>IF('School Level Expenditures'!$B$2=A45,'School Tables'!H45,"")</f>
        <v/>
      </c>
      <c r="J45" s="281" t="str">
        <f>IFERROR(SMALL($I$4:$I$325,ROWS($I$4:I45)),"")</f>
        <v/>
      </c>
      <c r="K45" s="256" t="b">
        <f t="shared" si="0"/>
        <v>0</v>
      </c>
      <c r="L45">
        <v>315</v>
      </c>
      <c r="M45" t="s">
        <v>1176</v>
      </c>
      <c r="N45" t="s">
        <v>1179</v>
      </c>
      <c r="O45">
        <v>26640</v>
      </c>
      <c r="P45" t="s">
        <v>1517</v>
      </c>
      <c r="Q45">
        <v>27</v>
      </c>
      <c r="R45" t="s">
        <v>1687</v>
      </c>
      <c r="S45" s="281">
        <f>ROWS($Q$4:Q45)</f>
        <v>42</v>
      </c>
      <c r="T45" s="281" t="str">
        <f>IF('School Level Expenditures'!$B$2='School Tables'!L45,'School Tables'!S45,"")</f>
        <v/>
      </c>
      <c r="U45" s="281" t="str">
        <f>IFERROR(SMALL($T$4:$T$75,ROWS($T$4:T45)),"")</f>
        <v/>
      </c>
      <c r="V45" s="256" t="b">
        <f t="shared" si="1"/>
        <v>0</v>
      </c>
      <c r="W45">
        <v>708</v>
      </c>
      <c r="X45" t="s">
        <v>1825</v>
      </c>
      <c r="Y45" t="s">
        <v>1485</v>
      </c>
      <c r="Z45">
        <v>29192</v>
      </c>
      <c r="AA45" t="s">
        <v>1518</v>
      </c>
      <c r="AB45">
        <v>432</v>
      </c>
      <c r="AC45" t="s">
        <v>1825</v>
      </c>
      <c r="AD45" s="281">
        <f>ROWS($AC$4:AC45)</f>
        <v>42</v>
      </c>
      <c r="AE45" s="281" t="str">
        <f>IF('School Level Expenditures'!$B$2='School Tables'!W45,'School Tables'!AD45,"")</f>
        <v/>
      </c>
      <c r="AF45" s="281" t="str">
        <f>IFERROR(SMALL(AE45:$AE$100,ROWS($AE$4:AE45)),"")</f>
        <v/>
      </c>
      <c r="AG45" s="256" t="b">
        <f t="shared" si="3"/>
        <v>0</v>
      </c>
      <c r="AH45">
        <v>142</v>
      </c>
      <c r="AI45">
        <v>0</v>
      </c>
      <c r="AJ45" t="s">
        <v>1002</v>
      </c>
      <c r="AK45">
        <v>70</v>
      </c>
      <c r="AL45" t="s">
        <v>1647</v>
      </c>
    </row>
    <row r="46" spans="1:38" ht="12.75" x14ac:dyDescent="0.2">
      <c r="A46">
        <v>174</v>
      </c>
      <c r="B46" t="s">
        <v>1021</v>
      </c>
      <c r="C46" t="s">
        <v>1027</v>
      </c>
      <c r="D46">
        <v>22985</v>
      </c>
      <c r="E46" t="s">
        <v>61</v>
      </c>
      <c r="F46">
        <v>60</v>
      </c>
      <c r="G46" t="s">
        <v>1630</v>
      </c>
      <c r="H46" s="281">
        <f>ROWS($G$4:G46)</f>
        <v>43</v>
      </c>
      <c r="I46" s="281" t="str">
        <f>IF('School Level Expenditures'!$B$2=A46,'School Tables'!H46,"")</f>
        <v/>
      </c>
      <c r="J46" s="281" t="str">
        <f>IFERROR(SMALL($I$4:$I$325,ROWS($I$4:I46)),"")</f>
        <v/>
      </c>
      <c r="K46" s="256" t="b">
        <f t="shared" si="0"/>
        <v>0</v>
      </c>
      <c r="L46">
        <v>319</v>
      </c>
      <c r="M46" t="s">
        <v>1184</v>
      </c>
      <c r="N46" t="s">
        <v>1188</v>
      </c>
      <c r="O46">
        <v>20480</v>
      </c>
      <c r="P46" t="s">
        <v>1517</v>
      </c>
      <c r="Q46">
        <v>12</v>
      </c>
      <c r="R46" t="s">
        <v>1711</v>
      </c>
      <c r="S46" s="281">
        <f>ROWS($Q$4:Q46)</f>
        <v>43</v>
      </c>
      <c r="T46" s="281" t="str">
        <f>IF('School Level Expenditures'!$B$2='School Tables'!L46,'School Tables'!S46,"")</f>
        <v/>
      </c>
      <c r="U46" s="281" t="str">
        <f>IFERROR(SMALL($T$4:$T$75,ROWS($T$4:T46)),"")</f>
        <v/>
      </c>
      <c r="V46" s="256" t="b">
        <f t="shared" si="1"/>
        <v>0</v>
      </c>
      <c r="W46">
        <v>285</v>
      </c>
      <c r="X46" t="s">
        <v>1151</v>
      </c>
      <c r="Y46" t="s">
        <v>1152</v>
      </c>
      <c r="Z46">
        <v>21255</v>
      </c>
      <c r="AA46" t="s">
        <v>1518</v>
      </c>
      <c r="AB46">
        <v>30</v>
      </c>
      <c r="AC46" t="s">
        <v>1673</v>
      </c>
      <c r="AD46" s="281">
        <f>ROWS($AC$4:AC46)</f>
        <v>43</v>
      </c>
      <c r="AE46" s="281" t="str">
        <f>IF('School Level Expenditures'!$B$2='School Tables'!W46,'School Tables'!AD46,"")</f>
        <v/>
      </c>
      <c r="AF46" s="281" t="str">
        <f>IFERROR(SMALL(AE46:$AE$100,ROWS($AE$4:AE46)),"")</f>
        <v/>
      </c>
      <c r="AG46" s="256" t="b">
        <f t="shared" si="3"/>
        <v>0</v>
      </c>
      <c r="AH46">
        <v>147</v>
      </c>
      <c r="AI46">
        <v>147</v>
      </c>
      <c r="AJ46" t="s">
        <v>1746</v>
      </c>
      <c r="AK46">
        <v>20</v>
      </c>
      <c r="AL46" t="s">
        <v>1671</v>
      </c>
    </row>
    <row r="47" spans="1:38" ht="12.75" x14ac:dyDescent="0.2">
      <c r="A47">
        <v>371</v>
      </c>
      <c r="B47" t="s">
        <v>1268</v>
      </c>
      <c r="C47" t="s">
        <v>1282</v>
      </c>
      <c r="D47">
        <v>21930</v>
      </c>
      <c r="E47" t="s">
        <v>61</v>
      </c>
      <c r="F47">
        <v>42</v>
      </c>
      <c r="G47" t="s">
        <v>1634</v>
      </c>
      <c r="H47" s="281">
        <f>ROWS($G$4:G47)</f>
        <v>44</v>
      </c>
      <c r="I47" s="281" t="str">
        <f>IF('School Level Expenditures'!$B$2=A47,'School Tables'!H47,"")</f>
        <v/>
      </c>
      <c r="J47" s="281" t="str">
        <f>IFERROR(SMALL($I$4:$I$325,ROWS($I$4:I47)),"")</f>
        <v/>
      </c>
      <c r="K47" s="256" t="b">
        <f t="shared" si="0"/>
        <v>0</v>
      </c>
      <c r="L47">
        <v>351</v>
      </c>
      <c r="M47" t="s">
        <v>1228</v>
      </c>
      <c r="N47" t="s">
        <v>1229</v>
      </c>
      <c r="O47">
        <v>28375</v>
      </c>
      <c r="P47" t="s">
        <v>1517</v>
      </c>
      <c r="Q47">
        <v>26</v>
      </c>
      <c r="R47" t="s">
        <v>1700</v>
      </c>
      <c r="S47" s="281">
        <f>ROWS($Q$4:Q47)</f>
        <v>44</v>
      </c>
      <c r="T47" s="281" t="str">
        <f>IF('School Level Expenditures'!$B$2='School Tables'!L47,'School Tables'!S47,"")</f>
        <v/>
      </c>
      <c r="U47" s="281" t="str">
        <f>IFERROR(SMALL($T$4:$T$75,ROWS($T$4:T47)),"")</f>
        <v/>
      </c>
      <c r="V47" s="256" t="b">
        <f t="shared" si="1"/>
        <v>0</v>
      </c>
      <c r="W47">
        <v>706</v>
      </c>
      <c r="X47" t="s">
        <v>1481</v>
      </c>
      <c r="Y47" t="s">
        <v>1481</v>
      </c>
      <c r="Z47">
        <v>29189</v>
      </c>
      <c r="AA47" t="s">
        <v>1518</v>
      </c>
      <c r="AB47">
        <v>431</v>
      </c>
      <c r="AC47" t="s">
        <v>1481</v>
      </c>
      <c r="AD47" s="281">
        <f>ROWS($AC$4:AC47)</f>
        <v>44</v>
      </c>
      <c r="AE47" s="281" t="str">
        <f>IF('School Level Expenditures'!$B$2='School Tables'!W47,'School Tables'!AD47,"")</f>
        <v/>
      </c>
      <c r="AF47" s="281" t="str">
        <f>IFERROR(SMALL(AE47:$AE$100,ROWS($AE$4:AE47)),"")</f>
        <v/>
      </c>
      <c r="AG47" s="256" t="b">
        <f t="shared" si="3"/>
        <v>0</v>
      </c>
      <c r="AH47">
        <v>149</v>
      </c>
      <c r="AI47">
        <v>149</v>
      </c>
      <c r="AJ47" t="s">
        <v>1005</v>
      </c>
      <c r="AK47">
        <v>67</v>
      </c>
      <c r="AL47" t="s">
        <v>1650</v>
      </c>
    </row>
    <row r="48" spans="1:38" ht="12.75" x14ac:dyDescent="0.2">
      <c r="A48">
        <v>93</v>
      </c>
      <c r="B48" t="s">
        <v>946</v>
      </c>
      <c r="C48" t="s">
        <v>947</v>
      </c>
      <c r="D48">
        <v>20500</v>
      </c>
      <c r="E48" t="s">
        <v>61</v>
      </c>
      <c r="F48">
        <v>82</v>
      </c>
      <c r="G48" t="s">
        <v>1658</v>
      </c>
      <c r="H48" s="281">
        <f>ROWS($G$4:G48)</f>
        <v>45</v>
      </c>
      <c r="I48" s="281" t="str">
        <f>IF('School Level Expenditures'!$B$2=A48,'School Tables'!H48,"")</f>
        <v/>
      </c>
      <c r="J48" s="281" t="str">
        <f>IFERROR(SMALL($I$4:$I$325,ROWS($I$4:I48)),"")</f>
        <v/>
      </c>
      <c r="K48" s="256" t="b">
        <f t="shared" si="0"/>
        <v>0</v>
      </c>
      <c r="L48">
        <v>352</v>
      </c>
      <c r="M48" t="s">
        <v>1235</v>
      </c>
      <c r="N48" t="s">
        <v>1236</v>
      </c>
      <c r="O48">
        <v>26585</v>
      </c>
      <c r="P48" t="s">
        <v>1517</v>
      </c>
      <c r="Q48">
        <v>46</v>
      </c>
      <c r="R48" t="s">
        <v>1635</v>
      </c>
      <c r="S48" s="281">
        <f>ROWS($Q$4:Q48)</f>
        <v>45</v>
      </c>
      <c r="T48" s="281" t="str">
        <f>IF('School Level Expenditures'!$B$2='School Tables'!L48,'School Tables'!S48,"")</f>
        <v/>
      </c>
      <c r="U48" s="281" t="str">
        <f>IFERROR(SMALL($T$4:$T$75,ROWS($T$4:T48)),"")</f>
        <v/>
      </c>
      <c r="V48" s="256" t="b">
        <f t="shared" si="1"/>
        <v>0</v>
      </c>
      <c r="W48">
        <v>295</v>
      </c>
      <c r="X48" t="s">
        <v>1161</v>
      </c>
      <c r="Y48" t="s">
        <v>1164</v>
      </c>
      <c r="Z48">
        <v>21360</v>
      </c>
      <c r="AA48" t="s">
        <v>1518</v>
      </c>
      <c r="AB48">
        <v>88</v>
      </c>
      <c r="AC48" t="s">
        <v>1690</v>
      </c>
      <c r="AD48" s="281">
        <f>ROWS($AC$4:AC48)</f>
        <v>45</v>
      </c>
      <c r="AE48" s="281" t="str">
        <f>IF('School Level Expenditures'!$B$2='School Tables'!W48,'School Tables'!AD48,"")</f>
        <v/>
      </c>
      <c r="AF48" s="281" t="str">
        <f>IFERROR(SMALL(AE48:$AE$100,ROWS($AE$4:AE48)),"")</f>
        <v/>
      </c>
      <c r="AG48" s="256" t="b">
        <f t="shared" si="3"/>
        <v>0</v>
      </c>
      <c r="AH48">
        <v>153</v>
      </c>
      <c r="AI48">
        <v>153</v>
      </c>
      <c r="AJ48" t="s">
        <v>1007</v>
      </c>
      <c r="AK48">
        <v>16</v>
      </c>
      <c r="AL48" t="s">
        <v>1670</v>
      </c>
    </row>
    <row r="49" spans="1:38" ht="12.75" x14ac:dyDescent="0.2">
      <c r="A49">
        <v>95</v>
      </c>
      <c r="B49" t="s">
        <v>948</v>
      </c>
      <c r="C49" t="s">
        <v>949</v>
      </c>
      <c r="D49">
        <v>21140</v>
      </c>
      <c r="E49" t="s">
        <v>61</v>
      </c>
      <c r="F49">
        <v>29</v>
      </c>
      <c r="G49" t="s">
        <v>1659</v>
      </c>
      <c r="H49" s="281">
        <f>ROWS($G$4:G49)</f>
        <v>46</v>
      </c>
      <c r="I49" s="281" t="str">
        <f>IF('School Level Expenditures'!$B$2=A49,'School Tables'!H49,"")</f>
        <v/>
      </c>
      <c r="J49" s="281" t="str">
        <f>IFERROR(SMALL($I$4:$I$325,ROWS($I$4:I49)),"")</f>
        <v/>
      </c>
      <c r="K49" s="256" t="b">
        <f t="shared" si="0"/>
        <v>0</v>
      </c>
      <c r="L49">
        <v>335</v>
      </c>
      <c r="M49" t="s">
        <v>895</v>
      </c>
      <c r="N49" t="s">
        <v>1198</v>
      </c>
      <c r="O49">
        <v>21525</v>
      </c>
      <c r="P49" t="s">
        <v>1517</v>
      </c>
      <c r="Q49">
        <v>37</v>
      </c>
      <c r="R49" t="s">
        <v>1640</v>
      </c>
      <c r="S49" s="281">
        <f>ROWS($Q$4:Q49)</f>
        <v>46</v>
      </c>
      <c r="T49" s="281" t="str">
        <f>IF('School Level Expenditures'!$B$2='School Tables'!L49,'School Tables'!S49,"")</f>
        <v/>
      </c>
      <c r="U49" s="281" t="str">
        <f>IFERROR(SMALL($T$4:$T$75,ROWS($T$4:T49)),"")</f>
        <v/>
      </c>
      <c r="V49" s="256" t="b">
        <f t="shared" si="1"/>
        <v>0</v>
      </c>
      <c r="W49">
        <v>719</v>
      </c>
      <c r="X49" t="s">
        <v>1491</v>
      </c>
      <c r="Y49" t="s">
        <v>1491</v>
      </c>
      <c r="Z49">
        <v>28565</v>
      </c>
      <c r="AA49" t="s">
        <v>1518</v>
      </c>
      <c r="AB49">
        <v>408</v>
      </c>
      <c r="AC49" t="s">
        <v>1491</v>
      </c>
      <c r="AD49" s="281">
        <f>ROWS($AC$4:AC49)</f>
        <v>46</v>
      </c>
      <c r="AE49" s="281" t="str">
        <f>IF('School Level Expenditures'!$B$2='School Tables'!W49,'School Tables'!AD49,"")</f>
        <v/>
      </c>
      <c r="AF49" s="281" t="str">
        <f>IFERROR(SMALL(AE49:$AE$100,ROWS($AE$4:AE49)),"")</f>
        <v/>
      </c>
      <c r="AG49" s="256" t="b">
        <f t="shared" si="3"/>
        <v>0</v>
      </c>
      <c r="AH49">
        <v>159</v>
      </c>
      <c r="AI49">
        <v>159</v>
      </c>
      <c r="AJ49" t="s">
        <v>1747</v>
      </c>
      <c r="AK49">
        <v>9</v>
      </c>
      <c r="AL49" t="s">
        <v>1662</v>
      </c>
    </row>
    <row r="50" spans="1:38" ht="12.75" x14ac:dyDescent="0.2">
      <c r="A50">
        <v>99</v>
      </c>
      <c r="B50" t="s">
        <v>950</v>
      </c>
      <c r="C50" t="s">
        <v>951</v>
      </c>
      <c r="D50">
        <v>22590</v>
      </c>
      <c r="E50" t="s">
        <v>61</v>
      </c>
      <c r="F50">
        <v>53</v>
      </c>
      <c r="G50" t="s">
        <v>1632</v>
      </c>
      <c r="H50" s="281">
        <f>ROWS($G$4:G50)</f>
        <v>47</v>
      </c>
      <c r="I50" s="281" t="str">
        <f>IF('School Level Expenditures'!$B$2=A50,'School Tables'!H50,"")</f>
        <v/>
      </c>
      <c r="J50" s="281" t="str">
        <f>IFERROR(SMALL($I$4:$I$325,ROWS($I$4:I50)),"")</f>
        <v/>
      </c>
      <c r="K50" s="256" t="b">
        <f t="shared" si="0"/>
        <v>0</v>
      </c>
      <c r="L50">
        <v>357</v>
      </c>
      <c r="M50" t="s">
        <v>1247</v>
      </c>
      <c r="N50" t="s">
        <v>1248</v>
      </c>
      <c r="O50">
        <v>21760</v>
      </c>
      <c r="P50" t="s">
        <v>1517</v>
      </c>
      <c r="Q50">
        <v>40</v>
      </c>
      <c r="R50" t="s">
        <v>1693</v>
      </c>
      <c r="S50" s="281">
        <f>ROWS($Q$4:Q50)</f>
        <v>47</v>
      </c>
      <c r="T50" s="281" t="str">
        <f>IF('School Level Expenditures'!$B$2='School Tables'!L50,'School Tables'!S50,"")</f>
        <v/>
      </c>
      <c r="U50" s="281" t="str">
        <f>IFERROR(SMALL($T$4:$T$75,ROWS($T$4:T50)),"")</f>
        <v/>
      </c>
      <c r="V50" s="256" t="b">
        <f t="shared" si="1"/>
        <v>0</v>
      </c>
      <c r="W50">
        <v>305</v>
      </c>
      <c r="X50" t="s">
        <v>1168</v>
      </c>
      <c r="Y50" t="s">
        <v>1170</v>
      </c>
      <c r="Z50">
        <v>23110</v>
      </c>
      <c r="AA50" t="s">
        <v>1518</v>
      </c>
      <c r="AB50">
        <v>68</v>
      </c>
      <c r="AC50" t="s">
        <v>1706</v>
      </c>
      <c r="AD50" s="281">
        <f>ROWS($AC$4:AC50)</f>
        <v>47</v>
      </c>
      <c r="AE50" s="281" t="str">
        <f>IF('School Level Expenditures'!$B$2='School Tables'!W50,'School Tables'!AD50,"")</f>
        <v/>
      </c>
      <c r="AF50" s="281" t="str">
        <f>IFERROR(SMALL(AE50:$AE$100,ROWS($AE$4:AE50)),"")</f>
        <v/>
      </c>
      <c r="AG50" s="256" t="b">
        <f t="shared" si="3"/>
        <v>0</v>
      </c>
      <c r="AH50">
        <v>162</v>
      </c>
      <c r="AI50">
        <v>162</v>
      </c>
      <c r="AJ50" t="s">
        <v>1748</v>
      </c>
      <c r="AK50">
        <v>48</v>
      </c>
      <c r="AL50" t="s">
        <v>1652</v>
      </c>
    </row>
    <row r="51" spans="1:38" ht="12.75" x14ac:dyDescent="0.2">
      <c r="A51">
        <v>111</v>
      </c>
      <c r="B51" t="s">
        <v>958</v>
      </c>
      <c r="C51" t="s">
        <v>965</v>
      </c>
      <c r="D51">
        <v>20305</v>
      </c>
      <c r="E51" t="s">
        <v>61</v>
      </c>
      <c r="F51">
        <v>8</v>
      </c>
      <c r="G51" t="s">
        <v>1629</v>
      </c>
      <c r="H51" s="281">
        <f>ROWS($G$4:G51)</f>
        <v>48</v>
      </c>
      <c r="I51" s="281" t="str">
        <f>IF('School Level Expenditures'!$B$2=A51,'School Tables'!H51,"")</f>
        <v/>
      </c>
      <c r="J51" s="281" t="str">
        <f>IFERROR(SMALL($I$4:$I$325,ROWS($I$4:I51)),"")</f>
        <v/>
      </c>
      <c r="K51" s="256" t="b">
        <f t="shared" si="0"/>
        <v>0</v>
      </c>
      <c r="L51">
        <v>363</v>
      </c>
      <c r="M51" t="s">
        <v>1256</v>
      </c>
      <c r="N51" t="s">
        <v>1257</v>
      </c>
      <c r="O51">
        <v>26980</v>
      </c>
      <c r="P51" t="s">
        <v>1517</v>
      </c>
      <c r="Q51">
        <v>93</v>
      </c>
      <c r="R51" t="s">
        <v>1665</v>
      </c>
      <c r="S51" s="281">
        <f>ROWS($Q$4:Q51)</f>
        <v>48</v>
      </c>
      <c r="T51" s="281" t="str">
        <f>IF('School Level Expenditures'!$B$2='School Tables'!L51,'School Tables'!S51,"")</f>
        <v/>
      </c>
      <c r="U51" s="281" t="str">
        <f>IFERROR(SMALL($T$4:$T$75,ROWS($T$4:T51)),"")</f>
        <v/>
      </c>
      <c r="V51" s="256" t="b">
        <f t="shared" si="1"/>
        <v>0</v>
      </c>
      <c r="W51">
        <v>306</v>
      </c>
      <c r="X51" t="s">
        <v>1172</v>
      </c>
      <c r="Y51" t="s">
        <v>1175</v>
      </c>
      <c r="Z51">
        <v>23100</v>
      </c>
      <c r="AA51" t="s">
        <v>1518</v>
      </c>
      <c r="AB51">
        <v>35</v>
      </c>
      <c r="AC51" t="s">
        <v>1648</v>
      </c>
      <c r="AD51" s="281">
        <f>ROWS($AC$4:AC51)</f>
        <v>48</v>
      </c>
      <c r="AE51" s="281" t="str">
        <f>IF('School Level Expenditures'!$B$2='School Tables'!W51,'School Tables'!AD51,"")</f>
        <v/>
      </c>
      <c r="AF51" s="281" t="str">
        <f>IFERROR(SMALL(AE51:$AE$100,ROWS($AE$4:AE51)),"")</f>
        <v/>
      </c>
      <c r="AG51" s="256" t="b">
        <f t="shared" si="3"/>
        <v>0</v>
      </c>
      <c r="AH51">
        <v>165</v>
      </c>
      <c r="AI51">
        <v>165</v>
      </c>
      <c r="AJ51" t="s">
        <v>1009</v>
      </c>
      <c r="AK51">
        <v>14</v>
      </c>
      <c r="AL51" t="s">
        <v>1674</v>
      </c>
    </row>
    <row r="52" spans="1:38" ht="12.75" x14ac:dyDescent="0.2">
      <c r="A52">
        <v>101</v>
      </c>
      <c r="B52" t="s">
        <v>952</v>
      </c>
      <c r="C52" t="s">
        <v>1536</v>
      </c>
      <c r="D52">
        <v>29184</v>
      </c>
      <c r="E52" t="s">
        <v>61</v>
      </c>
      <c r="F52">
        <v>6</v>
      </c>
      <c r="G52" t="s">
        <v>1649</v>
      </c>
      <c r="H52" s="281">
        <f>ROWS($G$4:G52)</f>
        <v>49</v>
      </c>
      <c r="I52" s="281" t="str">
        <f>IF('School Level Expenditures'!$B$2=A52,'School Tables'!H52,"")</f>
        <v/>
      </c>
      <c r="J52" s="281" t="str">
        <f>IFERROR(SMALL($I$4:$I$325,ROWS($I$4:I52)),"")</f>
        <v/>
      </c>
      <c r="K52" s="256" t="b">
        <f t="shared" si="0"/>
        <v>0</v>
      </c>
      <c r="L52">
        <v>369</v>
      </c>
      <c r="M52" t="s">
        <v>1265</v>
      </c>
      <c r="N52" t="s">
        <v>1588</v>
      </c>
      <c r="O52">
        <v>26960</v>
      </c>
      <c r="P52" t="s">
        <v>1517</v>
      </c>
      <c r="Q52">
        <v>45</v>
      </c>
      <c r="R52" t="s">
        <v>1717</v>
      </c>
      <c r="S52" s="281">
        <f>ROWS($Q$4:Q52)</f>
        <v>49</v>
      </c>
      <c r="T52" s="281" t="str">
        <f>IF('School Level Expenditures'!$B$2='School Tables'!L52,'School Tables'!S52,"")</f>
        <v/>
      </c>
      <c r="U52" s="281" t="str">
        <f>IFERROR(SMALL($T$4:$T$75,ROWS($T$4:T52)),"")</f>
        <v/>
      </c>
      <c r="V52" s="256" t="b">
        <f t="shared" si="1"/>
        <v>0</v>
      </c>
      <c r="W52">
        <v>317</v>
      </c>
      <c r="X52" t="s">
        <v>1180</v>
      </c>
      <c r="Y52" t="s">
        <v>1182</v>
      </c>
      <c r="Z52">
        <v>21445</v>
      </c>
      <c r="AA52" t="s">
        <v>1518</v>
      </c>
      <c r="AB52">
        <v>84</v>
      </c>
      <c r="AC52" t="s">
        <v>1714</v>
      </c>
      <c r="AD52" s="281">
        <f>ROWS($AC$4:AC52)</f>
        <v>49</v>
      </c>
      <c r="AE52" s="281" t="str">
        <f>IF('School Level Expenditures'!$B$2='School Tables'!W52,'School Tables'!AD52,"")</f>
        <v/>
      </c>
      <c r="AF52" s="281" t="str">
        <f>IFERROR(SMALL(AE52:$AE$100,ROWS($AE$4:AE52)),"")</f>
        <v/>
      </c>
      <c r="AG52" s="256" t="b">
        <f t="shared" si="3"/>
        <v>0</v>
      </c>
      <c r="AH52">
        <v>167</v>
      </c>
      <c r="AI52">
        <v>167</v>
      </c>
      <c r="AJ52" t="s">
        <v>1011</v>
      </c>
      <c r="AK52">
        <v>53</v>
      </c>
      <c r="AL52" t="s">
        <v>1632</v>
      </c>
    </row>
    <row r="53" spans="1:38" ht="12.75" x14ac:dyDescent="0.2">
      <c r="A53">
        <v>17</v>
      </c>
      <c r="B53" t="s">
        <v>904</v>
      </c>
      <c r="C53" t="s">
        <v>906</v>
      </c>
      <c r="D53">
        <v>21750</v>
      </c>
      <c r="E53" t="s">
        <v>61</v>
      </c>
      <c r="F53">
        <v>39</v>
      </c>
      <c r="G53" t="s">
        <v>1660</v>
      </c>
      <c r="H53" s="281">
        <f>ROWS($G$4:G53)</f>
        <v>50</v>
      </c>
      <c r="I53" s="281" t="str">
        <f>IF('School Level Expenditures'!$B$2=A53,'School Tables'!H53,"")</f>
        <v/>
      </c>
      <c r="J53" s="281" t="str">
        <f>IFERROR(SMALL($I$4:$I$325,ROWS($I$4:I53)),"")</f>
        <v/>
      </c>
      <c r="K53" s="256" t="b">
        <f t="shared" si="0"/>
        <v>0</v>
      </c>
      <c r="L53">
        <v>199</v>
      </c>
      <c r="M53" t="s">
        <v>1051</v>
      </c>
      <c r="N53" t="s">
        <v>1052</v>
      </c>
      <c r="O53">
        <v>26820</v>
      </c>
      <c r="P53" t="s">
        <v>1517</v>
      </c>
      <c r="Q53">
        <v>19</v>
      </c>
      <c r="R53" t="s">
        <v>1643</v>
      </c>
      <c r="S53" s="281">
        <f>ROWS($Q$4:Q53)</f>
        <v>50</v>
      </c>
      <c r="T53" s="281" t="str">
        <f>IF('School Level Expenditures'!$B$2='School Tables'!L53,'School Tables'!S53,"")</f>
        <v/>
      </c>
      <c r="U53" s="281" t="str">
        <f>IFERROR(SMALL($T$4:$T$75,ROWS($T$4:T53)),"")</f>
        <v/>
      </c>
      <c r="V53" s="256" t="b">
        <f t="shared" si="1"/>
        <v>0</v>
      </c>
      <c r="W53">
        <v>319</v>
      </c>
      <c r="X53" t="s">
        <v>1184</v>
      </c>
      <c r="Y53" t="s">
        <v>1190</v>
      </c>
      <c r="Z53">
        <v>20490</v>
      </c>
      <c r="AA53" t="s">
        <v>1518</v>
      </c>
      <c r="AB53">
        <v>12</v>
      </c>
      <c r="AC53" t="s">
        <v>1711</v>
      </c>
      <c r="AD53" s="281">
        <f>ROWS($AC$4:AC53)</f>
        <v>50</v>
      </c>
      <c r="AE53" s="281" t="str">
        <f>IF('School Level Expenditures'!$B$2='School Tables'!W53,'School Tables'!AD53,"")</f>
        <v/>
      </c>
      <c r="AF53" s="281" t="str">
        <f>IFERROR(SMALL(AE53:$AE$100,ROWS($AE$4:AE53)),"")</f>
        <v/>
      </c>
      <c r="AG53" s="256" t="b">
        <f t="shared" si="3"/>
        <v>0</v>
      </c>
      <c r="AH53">
        <v>171</v>
      </c>
      <c r="AI53">
        <v>171</v>
      </c>
      <c r="AJ53" t="s">
        <v>1013</v>
      </c>
      <c r="AK53">
        <v>20</v>
      </c>
      <c r="AL53" t="s">
        <v>1671</v>
      </c>
    </row>
    <row r="54" spans="1:38" ht="12.75" x14ac:dyDescent="0.2">
      <c r="A54">
        <v>720</v>
      </c>
      <c r="B54" t="s">
        <v>1807</v>
      </c>
      <c r="C54" t="s">
        <v>1808</v>
      </c>
      <c r="D54">
        <v>29245</v>
      </c>
      <c r="E54" t="s">
        <v>61</v>
      </c>
      <c r="F54">
        <v>452</v>
      </c>
      <c r="G54" t="s">
        <v>1807</v>
      </c>
      <c r="H54" s="281">
        <f>ROWS($G$4:G54)</f>
        <v>51</v>
      </c>
      <c r="I54" s="281" t="str">
        <f>IF('School Level Expenditures'!$B$2=A54,'School Tables'!H54,"")</f>
        <v/>
      </c>
      <c r="J54" s="281" t="str">
        <f>IFERROR(SMALL($I$4:$I$325,ROWS($I$4:I54)),"")</f>
        <v/>
      </c>
      <c r="K54" s="256" t="b">
        <f t="shared" si="0"/>
        <v>0</v>
      </c>
      <c r="L54">
        <v>388</v>
      </c>
      <c r="M54" t="s">
        <v>1754</v>
      </c>
      <c r="N54" t="s">
        <v>1295</v>
      </c>
      <c r="O54">
        <v>26680</v>
      </c>
      <c r="P54" t="s">
        <v>1517</v>
      </c>
      <c r="Q54">
        <v>4</v>
      </c>
      <c r="R54" t="s">
        <v>1651</v>
      </c>
      <c r="S54" s="281">
        <f>ROWS($Q$4:Q54)</f>
        <v>51</v>
      </c>
      <c r="T54" s="281" t="str">
        <f>IF('School Level Expenditures'!$B$2='School Tables'!L54,'School Tables'!S54,"")</f>
        <v/>
      </c>
      <c r="U54" s="281" t="str">
        <f>IFERROR(SMALL($T$4:$T$75,ROWS($T$4:T54)),"")</f>
        <v/>
      </c>
      <c r="V54" s="256" t="b">
        <f t="shared" si="1"/>
        <v>0</v>
      </c>
      <c r="W54">
        <v>733</v>
      </c>
      <c r="X54" t="s">
        <v>1503</v>
      </c>
      <c r="Y54" t="s">
        <v>1504</v>
      </c>
      <c r="Z54">
        <v>29160</v>
      </c>
      <c r="AA54" t="s">
        <v>1518</v>
      </c>
      <c r="AB54">
        <v>418</v>
      </c>
      <c r="AC54" t="s">
        <v>1503</v>
      </c>
      <c r="AD54" s="281">
        <f>ROWS($AC$4:AC54)</f>
        <v>51</v>
      </c>
      <c r="AE54" s="281" t="str">
        <f>IF('School Level Expenditures'!$B$2='School Tables'!W54,'School Tables'!AD54,"")</f>
        <v/>
      </c>
      <c r="AF54" s="281" t="str">
        <f>IFERROR(SMALL(AE54:$AE$100,ROWS($AE$4:AE54)),"")</f>
        <v/>
      </c>
      <c r="AG54" s="256" t="b">
        <f t="shared" si="3"/>
        <v>0</v>
      </c>
      <c r="AH54">
        <v>173</v>
      </c>
      <c r="AI54">
        <v>173</v>
      </c>
      <c r="AJ54" t="s">
        <v>1018</v>
      </c>
      <c r="AK54">
        <v>16</v>
      </c>
      <c r="AL54" t="s">
        <v>1670</v>
      </c>
    </row>
    <row r="55" spans="1:38" ht="12.75" x14ac:dyDescent="0.2">
      <c r="A55">
        <v>105</v>
      </c>
      <c r="B55" t="s">
        <v>957</v>
      </c>
      <c r="C55" t="s">
        <v>1578</v>
      </c>
      <c r="D55">
        <v>20195</v>
      </c>
      <c r="E55" t="s">
        <v>61</v>
      </c>
      <c r="F55">
        <v>7</v>
      </c>
      <c r="G55" t="s">
        <v>1661</v>
      </c>
      <c r="H55" s="281">
        <f>ROWS($G$4:G55)</f>
        <v>52</v>
      </c>
      <c r="I55" s="281" t="str">
        <f>IF('School Level Expenditures'!$B$2=A55,'School Tables'!H55,"")</f>
        <v/>
      </c>
      <c r="J55" s="281" t="str">
        <f>IFERROR(SMALL($I$4:$I$325,ROWS($I$4:I55)),"")</f>
        <v/>
      </c>
      <c r="K55" s="256" t="b">
        <f t="shared" si="0"/>
        <v>0</v>
      </c>
      <c r="L55">
        <v>401</v>
      </c>
      <c r="M55" t="s">
        <v>1306</v>
      </c>
      <c r="N55" t="s">
        <v>1307</v>
      </c>
      <c r="O55">
        <v>26970</v>
      </c>
      <c r="P55" t="s">
        <v>1517</v>
      </c>
      <c r="Q55">
        <v>43</v>
      </c>
      <c r="R55" t="s">
        <v>1725</v>
      </c>
      <c r="S55" s="281">
        <f>ROWS($Q$4:Q55)</f>
        <v>52</v>
      </c>
      <c r="T55" s="281" t="str">
        <f>IF('School Level Expenditures'!$B$2='School Tables'!L55,'School Tables'!S55,"")</f>
        <v/>
      </c>
      <c r="U55" s="281" t="str">
        <f>IFERROR(SMALL($T$4:$T$75,ROWS($T$4:T55)),"")</f>
        <v/>
      </c>
      <c r="V55" s="256" t="b">
        <f t="shared" si="1"/>
        <v>0</v>
      </c>
      <c r="W55">
        <v>335</v>
      </c>
      <c r="X55" t="s">
        <v>895</v>
      </c>
      <c r="Y55" t="s">
        <v>1196</v>
      </c>
      <c r="Z55">
        <v>21510</v>
      </c>
      <c r="AA55" t="s">
        <v>1518</v>
      </c>
      <c r="AB55">
        <v>37</v>
      </c>
      <c r="AC55" t="s">
        <v>1640</v>
      </c>
      <c r="AD55" s="281">
        <f>ROWS($AC$4:AC55)</f>
        <v>52</v>
      </c>
      <c r="AE55" s="281" t="str">
        <f>IF('School Level Expenditures'!$B$2='School Tables'!W55,'School Tables'!AD55,"")</f>
        <v/>
      </c>
      <c r="AF55" s="281" t="str">
        <f>IFERROR(SMALL(AE55:$AE$100,ROWS($AE$4:AE55)),"")</f>
        <v/>
      </c>
      <c r="AG55" s="256" t="b">
        <f t="shared" si="3"/>
        <v>0</v>
      </c>
      <c r="AH55">
        <v>172</v>
      </c>
      <c r="AI55">
        <v>0</v>
      </c>
      <c r="AJ55" t="s">
        <v>1015</v>
      </c>
      <c r="AK55">
        <v>16</v>
      </c>
      <c r="AL55" t="s">
        <v>1670</v>
      </c>
    </row>
    <row r="56" spans="1:38" ht="12.75" x14ac:dyDescent="0.2">
      <c r="A56">
        <v>743</v>
      </c>
      <c r="B56" t="s">
        <v>1513</v>
      </c>
      <c r="C56" t="s">
        <v>1579</v>
      </c>
      <c r="D56">
        <v>29166</v>
      </c>
      <c r="E56" t="s">
        <v>61</v>
      </c>
      <c r="F56">
        <v>429</v>
      </c>
      <c r="G56" t="s">
        <v>1513</v>
      </c>
      <c r="H56" s="281">
        <f>ROWS($G$4:G56)</f>
        <v>53</v>
      </c>
      <c r="I56" s="281" t="str">
        <f>IF('School Level Expenditures'!$B$2=A56,'School Tables'!H56,"")</f>
        <v/>
      </c>
      <c r="J56" s="281" t="str">
        <f>IFERROR(SMALL($I$4:$I$325,ROWS($I$4:I56)),"")</f>
        <v/>
      </c>
      <c r="K56" s="256" t="b">
        <f t="shared" si="0"/>
        <v>0</v>
      </c>
      <c r="L56">
        <v>401</v>
      </c>
      <c r="M56" t="s">
        <v>1306</v>
      </c>
      <c r="N56" t="s">
        <v>1826</v>
      </c>
      <c r="O56">
        <v>29257</v>
      </c>
      <c r="P56" t="s">
        <v>1517</v>
      </c>
      <c r="Q56">
        <v>43</v>
      </c>
      <c r="R56" t="s">
        <v>1725</v>
      </c>
      <c r="S56" s="281">
        <f>ROWS($Q$4:Q56)</f>
        <v>53</v>
      </c>
      <c r="T56" s="281" t="str">
        <f>IF('School Level Expenditures'!$B$2='School Tables'!L56,'School Tables'!S56,"")</f>
        <v/>
      </c>
      <c r="U56" s="281" t="str">
        <f>IFERROR(SMALL($T$4:$T$75,ROWS($T$4:T56)),"")</f>
        <v/>
      </c>
      <c r="V56" s="256" t="b">
        <f t="shared" si="1"/>
        <v>0</v>
      </c>
      <c r="W56">
        <v>335</v>
      </c>
      <c r="X56" t="s">
        <v>895</v>
      </c>
      <c r="Y56" t="s">
        <v>1195</v>
      </c>
      <c r="Z56">
        <v>21505</v>
      </c>
      <c r="AA56" t="s">
        <v>1518</v>
      </c>
      <c r="AB56">
        <v>37</v>
      </c>
      <c r="AC56" t="s">
        <v>1640</v>
      </c>
      <c r="AD56" s="281">
        <f>ROWS($AC$4:AC56)</f>
        <v>53</v>
      </c>
      <c r="AE56" s="281" t="str">
        <f>IF('School Level Expenditures'!$B$2='School Tables'!W56,'School Tables'!AD56,"")</f>
        <v/>
      </c>
      <c r="AF56" s="281" t="str">
        <f>IFERROR(SMALL(AE56:$AE$100,ROWS($AE$4:AE56)),"")</f>
        <v/>
      </c>
      <c r="AG56" s="256" t="b">
        <f t="shared" si="3"/>
        <v>0</v>
      </c>
      <c r="AH56">
        <v>174</v>
      </c>
      <c r="AI56">
        <v>0</v>
      </c>
      <c r="AJ56" t="s">
        <v>1021</v>
      </c>
      <c r="AK56">
        <v>60</v>
      </c>
      <c r="AL56" t="s">
        <v>1630</v>
      </c>
    </row>
    <row r="57" spans="1:38" ht="12.75" x14ac:dyDescent="0.2">
      <c r="A57">
        <v>113</v>
      </c>
      <c r="B57" t="s">
        <v>978</v>
      </c>
      <c r="C57" t="s">
        <v>981</v>
      </c>
      <c r="D57">
        <v>20340</v>
      </c>
      <c r="E57" t="s">
        <v>61</v>
      </c>
      <c r="F57">
        <v>9</v>
      </c>
      <c r="G57" t="s">
        <v>1662</v>
      </c>
      <c r="H57" s="281">
        <f>ROWS($G$4:G57)</f>
        <v>54</v>
      </c>
      <c r="I57" s="281" t="str">
        <f>IF('School Level Expenditures'!$B$2=A57,'School Tables'!H57,"")</f>
        <v/>
      </c>
      <c r="J57" s="281" t="str">
        <f>IFERROR(SMALL($I$4:$I$325,ROWS($I$4:I57)),"")</f>
        <v/>
      </c>
      <c r="K57" s="256" t="b">
        <f t="shared" si="0"/>
        <v>0</v>
      </c>
      <c r="L57">
        <v>703</v>
      </c>
      <c r="M57" t="s">
        <v>1476</v>
      </c>
      <c r="N57" t="s">
        <v>1477</v>
      </c>
      <c r="O57">
        <v>28505</v>
      </c>
      <c r="P57" t="s">
        <v>1517</v>
      </c>
      <c r="Q57">
        <v>402</v>
      </c>
      <c r="R57" t="s">
        <v>1476</v>
      </c>
      <c r="S57" s="281">
        <f>ROWS($Q$4:Q57)</f>
        <v>54</v>
      </c>
      <c r="T57" s="281" t="str">
        <f>IF('School Level Expenditures'!$B$2='School Tables'!L57,'School Tables'!S57,"")</f>
        <v/>
      </c>
      <c r="U57" s="281" t="str">
        <f>IFERROR(SMALL($T$4:$T$75,ROWS($T$4:T57)),"")</f>
        <v/>
      </c>
      <c r="V57" s="256" t="b">
        <f t="shared" si="1"/>
        <v>0</v>
      </c>
      <c r="W57">
        <v>335</v>
      </c>
      <c r="X57" t="s">
        <v>895</v>
      </c>
      <c r="Y57" t="s">
        <v>1212</v>
      </c>
      <c r="Z57">
        <v>29085</v>
      </c>
      <c r="AA57" t="s">
        <v>1518</v>
      </c>
      <c r="AB57">
        <v>37</v>
      </c>
      <c r="AC57" t="s">
        <v>1640</v>
      </c>
      <c r="AD57" s="281">
        <f>ROWS($AC$4:AC57)</f>
        <v>54</v>
      </c>
      <c r="AE57" s="281" t="str">
        <f>IF('School Level Expenditures'!$B$2='School Tables'!W57,'School Tables'!AD57,"")</f>
        <v/>
      </c>
      <c r="AF57" s="281" t="str">
        <f>IFERROR(SMALL(AE57:$AE$100,ROWS($AE$4:AE57)),"")</f>
        <v/>
      </c>
      <c r="AG57" s="256" t="b">
        <f t="shared" si="3"/>
        <v>0</v>
      </c>
      <c r="AH57">
        <v>175</v>
      </c>
      <c r="AI57">
        <v>175</v>
      </c>
      <c r="AJ57" t="s">
        <v>1033</v>
      </c>
      <c r="AK57">
        <v>61</v>
      </c>
      <c r="AL57" t="s">
        <v>1692</v>
      </c>
    </row>
    <row r="58" spans="1:38" ht="12.75" x14ac:dyDescent="0.2">
      <c r="A58">
        <v>115</v>
      </c>
      <c r="B58" t="s">
        <v>983</v>
      </c>
      <c r="C58" t="s">
        <v>984</v>
      </c>
      <c r="D58">
        <v>20175</v>
      </c>
      <c r="E58" t="s">
        <v>61</v>
      </c>
      <c r="F58">
        <v>100</v>
      </c>
      <c r="G58" t="s">
        <v>1663</v>
      </c>
      <c r="H58" s="281">
        <f>ROWS($G$4:G58)</f>
        <v>55</v>
      </c>
      <c r="I58" s="281" t="str">
        <f>IF('School Level Expenditures'!$B$2=A58,'School Tables'!H58,"")</f>
        <v/>
      </c>
      <c r="J58" s="281" t="str">
        <f>IFERROR(SMALL($I$4:$I$325,ROWS($I$4:I58)),"")</f>
        <v/>
      </c>
      <c r="K58" s="256" t="b">
        <f t="shared" si="0"/>
        <v>0</v>
      </c>
      <c r="L58">
        <v>359</v>
      </c>
      <c r="M58" t="s">
        <v>1252</v>
      </c>
      <c r="N58" t="s">
        <v>1253</v>
      </c>
      <c r="O58">
        <v>26540</v>
      </c>
      <c r="P58" t="s">
        <v>1517</v>
      </c>
      <c r="Q58">
        <v>64</v>
      </c>
      <c r="R58" t="s">
        <v>1715</v>
      </c>
      <c r="S58" s="281">
        <f>ROWS($Q$4:Q58)</f>
        <v>55</v>
      </c>
      <c r="T58" s="281" t="str">
        <f>IF('School Level Expenditures'!$B$2='School Tables'!L58,'School Tables'!S58,"")</f>
        <v/>
      </c>
      <c r="U58" s="281" t="str">
        <f>IFERROR(SMALL($T$4:$T$75,ROWS($T$4:T58)),"")</f>
        <v/>
      </c>
      <c r="V58" s="256" t="b">
        <f t="shared" si="1"/>
        <v>0</v>
      </c>
      <c r="W58">
        <v>335</v>
      </c>
      <c r="X58" t="s">
        <v>895</v>
      </c>
      <c r="Y58" t="s">
        <v>1202</v>
      </c>
      <c r="Z58">
        <v>21555</v>
      </c>
      <c r="AA58" t="s">
        <v>1518</v>
      </c>
      <c r="AB58">
        <v>37</v>
      </c>
      <c r="AC58" t="s">
        <v>1640</v>
      </c>
      <c r="AD58" s="281">
        <f>ROWS($AC$4:AC58)</f>
        <v>55</v>
      </c>
      <c r="AE58" s="281" t="str">
        <f>IF('School Level Expenditures'!$B$2='School Tables'!W58,'School Tables'!AD58,"")</f>
        <v/>
      </c>
      <c r="AF58" s="281" t="str">
        <f>IFERROR(SMALL(AE58:$AE$100,ROWS($AE$4:AE58)),"")</f>
        <v/>
      </c>
      <c r="AG58" s="256" t="b">
        <f t="shared" si="3"/>
        <v>0</v>
      </c>
      <c r="AH58">
        <v>185</v>
      </c>
      <c r="AI58">
        <v>185</v>
      </c>
      <c r="AJ58" t="s">
        <v>1037</v>
      </c>
      <c r="AK58">
        <v>18</v>
      </c>
      <c r="AL58" t="s">
        <v>1676</v>
      </c>
    </row>
    <row r="59" spans="1:38" ht="12.75" x14ac:dyDescent="0.2">
      <c r="A59">
        <v>208</v>
      </c>
      <c r="B59" t="s">
        <v>1060</v>
      </c>
      <c r="C59" t="s">
        <v>1067</v>
      </c>
      <c r="D59">
        <v>27515</v>
      </c>
      <c r="E59" t="s">
        <v>61</v>
      </c>
      <c r="F59">
        <v>49</v>
      </c>
      <c r="G59" t="s">
        <v>1655</v>
      </c>
      <c r="H59" s="281">
        <f>ROWS($G$4:G59)</f>
        <v>56</v>
      </c>
      <c r="I59" s="281" t="str">
        <f>IF('School Level Expenditures'!$B$2=A59,'School Tables'!H59,"")</f>
        <v/>
      </c>
      <c r="J59" s="281" t="str">
        <f>IFERROR(SMALL($I$4:$I$325,ROWS($I$4:I59)),"")</f>
        <v/>
      </c>
      <c r="K59" s="256" t="b">
        <f t="shared" si="0"/>
        <v>0</v>
      </c>
      <c r="L59">
        <v>423</v>
      </c>
      <c r="M59" t="s">
        <v>1320</v>
      </c>
      <c r="N59" t="s">
        <v>1322</v>
      </c>
      <c r="O59">
        <v>22790</v>
      </c>
      <c r="P59" t="s">
        <v>1517</v>
      </c>
      <c r="Q59">
        <v>5</v>
      </c>
      <c r="R59" t="s">
        <v>1710</v>
      </c>
      <c r="S59" s="281">
        <f>ROWS($Q$4:Q59)</f>
        <v>56</v>
      </c>
      <c r="T59" s="281" t="str">
        <f>IF('School Level Expenditures'!$B$2='School Tables'!L59,'School Tables'!S59,"")</f>
        <v/>
      </c>
      <c r="U59" s="281" t="str">
        <f>IFERROR(SMALL($T$4:$T$75,ROWS($T$4:T59)),"")</f>
        <v/>
      </c>
      <c r="V59" s="256" t="b">
        <f t="shared" si="1"/>
        <v>0</v>
      </c>
      <c r="W59">
        <v>342</v>
      </c>
      <c r="X59" t="s">
        <v>1217</v>
      </c>
      <c r="Y59" t="s">
        <v>1219</v>
      </c>
      <c r="Z59">
        <v>23050</v>
      </c>
      <c r="AA59" t="s">
        <v>1518</v>
      </c>
      <c r="AB59">
        <v>87</v>
      </c>
      <c r="AC59" t="s">
        <v>1694</v>
      </c>
      <c r="AD59" s="281">
        <f>ROWS($AC$4:AC59)</f>
        <v>56</v>
      </c>
      <c r="AE59" s="281" t="str">
        <f>IF('School Level Expenditures'!$B$2='School Tables'!W59,'School Tables'!AD59,"")</f>
        <v/>
      </c>
      <c r="AF59" s="281" t="str">
        <f>IFERROR(SMALL(AE59:$AE$100,ROWS($AE$4:AE59)),"")</f>
        <v/>
      </c>
      <c r="AG59" s="256" t="b">
        <f t="shared" si="3"/>
        <v>0</v>
      </c>
      <c r="AH59">
        <v>187</v>
      </c>
      <c r="AI59">
        <v>187</v>
      </c>
      <c r="AJ59" t="s">
        <v>1041</v>
      </c>
      <c r="AK59">
        <v>13</v>
      </c>
      <c r="AL59" t="s">
        <v>1677</v>
      </c>
    </row>
    <row r="60" spans="1:38" ht="12.75" x14ac:dyDescent="0.2">
      <c r="A60">
        <v>117</v>
      </c>
      <c r="B60" t="s">
        <v>985</v>
      </c>
      <c r="C60" t="s">
        <v>986</v>
      </c>
      <c r="D60">
        <v>21960</v>
      </c>
      <c r="E60" t="s">
        <v>61</v>
      </c>
      <c r="F60">
        <v>99</v>
      </c>
      <c r="G60" t="s">
        <v>1664</v>
      </c>
      <c r="H60" s="281">
        <f>ROWS($G$4:G60)</f>
        <v>57</v>
      </c>
      <c r="I60" s="281" t="str">
        <f>IF('School Level Expenditures'!$B$2=A60,'School Tables'!H60,"")</f>
        <v/>
      </c>
      <c r="J60" s="281" t="str">
        <f>IFERROR(SMALL($I$4:$I$325,ROWS($I$4:I60)),"")</f>
        <v/>
      </c>
      <c r="K60" s="256" t="b">
        <f t="shared" si="0"/>
        <v>0</v>
      </c>
      <c r="L60">
        <v>425</v>
      </c>
      <c r="M60" t="s">
        <v>1325</v>
      </c>
      <c r="N60" t="s">
        <v>1328</v>
      </c>
      <c r="O60">
        <v>21110</v>
      </c>
      <c r="P60" t="s">
        <v>1517</v>
      </c>
      <c r="Q60">
        <v>28</v>
      </c>
      <c r="R60" t="s">
        <v>1722</v>
      </c>
      <c r="S60" s="281">
        <f>ROWS($Q$4:Q60)</f>
        <v>57</v>
      </c>
      <c r="T60" s="281" t="str">
        <f>IF('School Level Expenditures'!$B$2='School Tables'!L60,'School Tables'!S60,"")</f>
        <v/>
      </c>
      <c r="U60" s="281" t="str">
        <f>IFERROR(SMALL($T$4:$T$75,ROWS($T$4:T60)),"")</f>
        <v/>
      </c>
      <c r="V60" s="256" t="b">
        <f t="shared" si="1"/>
        <v>0</v>
      </c>
      <c r="W60">
        <v>343</v>
      </c>
      <c r="X60" t="s">
        <v>1221</v>
      </c>
      <c r="Y60" t="s">
        <v>1222</v>
      </c>
      <c r="Z60">
        <v>21305</v>
      </c>
      <c r="AA60" t="s">
        <v>1518</v>
      </c>
      <c r="AB60">
        <v>62</v>
      </c>
      <c r="AC60" t="s">
        <v>1653</v>
      </c>
      <c r="AD60" s="281">
        <f>ROWS($AC$4:AC60)</f>
        <v>57</v>
      </c>
      <c r="AE60" s="281" t="str">
        <f>IF('School Level Expenditures'!$B$2='School Tables'!W60,'School Tables'!AD60,"")</f>
        <v/>
      </c>
      <c r="AF60" s="281" t="str">
        <f>IFERROR(SMALL(AE60:$AE$100,ROWS($AE$4:AE60)),"")</f>
        <v/>
      </c>
      <c r="AG60" s="256" t="b">
        <f t="shared" si="3"/>
        <v>0</v>
      </c>
      <c r="AH60">
        <v>189</v>
      </c>
      <c r="AI60">
        <v>189</v>
      </c>
      <c r="AJ60" t="s">
        <v>1043</v>
      </c>
      <c r="AK60">
        <v>83</v>
      </c>
      <c r="AL60" t="s">
        <v>1672</v>
      </c>
    </row>
    <row r="61" spans="1:38" ht="51" x14ac:dyDescent="0.2">
      <c r="A61">
        <v>363</v>
      </c>
      <c r="B61" t="s">
        <v>1256</v>
      </c>
      <c r="C61" t="s">
        <v>1580</v>
      </c>
      <c r="D61">
        <v>21715</v>
      </c>
      <c r="E61" t="s">
        <v>61</v>
      </c>
      <c r="F61">
        <v>93</v>
      </c>
      <c r="G61" t="s">
        <v>1665</v>
      </c>
      <c r="H61" s="281">
        <f>ROWS($G$4:G61)</f>
        <v>58</v>
      </c>
      <c r="I61" s="281" t="str">
        <f>IF('School Level Expenditures'!$B$2=A61,'School Tables'!H61,"")</f>
        <v/>
      </c>
      <c r="J61" s="281" t="str">
        <f>IFERROR(SMALL($I$4:$I$325,ROWS($I$4:I61)),"")</f>
        <v/>
      </c>
      <c r="K61" s="256" t="b">
        <f t="shared" si="0"/>
        <v>0</v>
      </c>
      <c r="L61">
        <v>371</v>
      </c>
      <c r="M61" t="s">
        <v>1268</v>
      </c>
      <c r="N61" t="s">
        <v>1269</v>
      </c>
      <c r="O61">
        <v>21825</v>
      </c>
      <c r="P61" t="s">
        <v>1517</v>
      </c>
      <c r="Q61">
        <v>42</v>
      </c>
      <c r="R61" t="s">
        <v>1634</v>
      </c>
      <c r="S61" s="281">
        <f>ROWS($Q$4:Q61)</f>
        <v>58</v>
      </c>
      <c r="T61" s="281" t="str">
        <f>IF('School Level Expenditures'!$B$2='School Tables'!L61,'School Tables'!S61,"")</f>
        <v/>
      </c>
      <c r="U61" s="281" t="str">
        <f>IFERROR(SMALL($T$4:$T$75,ROWS($T$4:T61)),"")</f>
        <v/>
      </c>
      <c r="V61" s="256" t="b">
        <f t="shared" si="1"/>
        <v>0</v>
      </c>
      <c r="W61">
        <v>351</v>
      </c>
      <c r="X61" t="s">
        <v>1228</v>
      </c>
      <c r="Y61" t="s">
        <v>1234</v>
      </c>
      <c r="Z61">
        <v>21040</v>
      </c>
      <c r="AA61" t="s">
        <v>1518</v>
      </c>
      <c r="AB61">
        <v>26</v>
      </c>
      <c r="AC61" t="s">
        <v>1700</v>
      </c>
      <c r="AD61" s="281">
        <f>ROWS($AC$4:AC61)</f>
        <v>58</v>
      </c>
      <c r="AE61" s="281" t="str">
        <f>IF('School Level Expenditures'!$B$2='School Tables'!W61,'School Tables'!AD61,"")</f>
        <v/>
      </c>
      <c r="AF61" s="281" t="str">
        <f>IFERROR(SMALL(AE61:$AE$100,ROWS($AE$4:AE61)),"")</f>
        <v/>
      </c>
      <c r="AG61" s="256" t="b">
        <f t="shared" si="3"/>
        <v>0</v>
      </c>
      <c r="AH61" s="282">
        <v>742</v>
      </c>
      <c r="AI61" s="282">
        <v>742</v>
      </c>
      <c r="AJ61" s="282" t="s">
        <v>1511</v>
      </c>
      <c r="AK61" s="282">
        <v>425</v>
      </c>
      <c r="AL61" s="282" t="s">
        <v>1511</v>
      </c>
    </row>
    <row r="62" spans="1:38" ht="51" x14ac:dyDescent="0.2">
      <c r="A62">
        <v>388</v>
      </c>
      <c r="B62" t="s">
        <v>1754</v>
      </c>
      <c r="C62" t="s">
        <v>1298</v>
      </c>
      <c r="D62">
        <v>20095</v>
      </c>
      <c r="E62" t="s">
        <v>61</v>
      </c>
      <c r="F62">
        <v>4</v>
      </c>
      <c r="G62" t="s">
        <v>1651</v>
      </c>
      <c r="H62" s="281">
        <f>ROWS($G$4:G62)</f>
        <v>59</v>
      </c>
      <c r="I62" s="281" t="str">
        <f>IF('School Level Expenditures'!$B$2=A62,'School Tables'!H62,"")</f>
        <v/>
      </c>
      <c r="J62" s="281" t="str">
        <f>IFERROR(SMALL($I$4:$I$325,ROWS($I$4:I62)),"")</f>
        <v/>
      </c>
      <c r="K62" s="256" t="b">
        <f t="shared" si="0"/>
        <v>0</v>
      </c>
      <c r="L62">
        <v>439</v>
      </c>
      <c r="M62" t="s">
        <v>1340</v>
      </c>
      <c r="N62" t="s">
        <v>1342</v>
      </c>
      <c r="O62">
        <v>26550</v>
      </c>
      <c r="P62" t="s">
        <v>1517</v>
      </c>
      <c r="Q62">
        <v>51</v>
      </c>
      <c r="R62" t="s">
        <v>1723</v>
      </c>
      <c r="S62" s="281">
        <f>ROWS($Q$4:Q62)</f>
        <v>59</v>
      </c>
      <c r="T62" s="281" t="str">
        <f>IF('School Level Expenditures'!$B$2='School Tables'!L62,'School Tables'!S62,"")</f>
        <v/>
      </c>
      <c r="U62" s="281" t="str">
        <f>IFERROR(SMALL($T$4:$T$75,ROWS($T$4:T62)),"")</f>
        <v/>
      </c>
      <c r="V62" s="256" t="b">
        <f t="shared" ref="V62:V79" si="4">N62=N63</f>
        <v>0</v>
      </c>
      <c r="W62">
        <v>352</v>
      </c>
      <c r="X62" t="s">
        <v>1235</v>
      </c>
      <c r="Y62" t="s">
        <v>1240</v>
      </c>
      <c r="Z62">
        <v>22195</v>
      </c>
      <c r="AA62" t="s">
        <v>1518</v>
      </c>
      <c r="AB62">
        <v>46</v>
      </c>
      <c r="AC62" t="s">
        <v>1635</v>
      </c>
      <c r="AD62" s="281">
        <f>ROWS($AC$4:AC62)</f>
        <v>59</v>
      </c>
      <c r="AE62" s="281" t="str">
        <f>IF('School Level Expenditures'!$B$2='School Tables'!W62,'School Tables'!AD62,"")</f>
        <v/>
      </c>
      <c r="AF62" s="281" t="str">
        <f>IFERROR(SMALL(AE62:$AE$100,ROWS($AE$4:AE62)),"")</f>
        <v/>
      </c>
      <c r="AG62" s="256" t="b">
        <f t="shared" si="3"/>
        <v>0</v>
      </c>
      <c r="AH62" s="282">
        <v>750</v>
      </c>
      <c r="AI62" s="282">
        <v>750</v>
      </c>
      <c r="AJ62" s="282" t="s">
        <v>1679</v>
      </c>
      <c r="AK62" s="282">
        <v>450</v>
      </c>
      <c r="AL62" s="282" t="s">
        <v>1681</v>
      </c>
    </row>
    <row r="63" spans="1:38" ht="12.75" x14ac:dyDescent="0.2">
      <c r="A63">
        <v>476</v>
      </c>
      <c r="B63" t="s">
        <v>1388</v>
      </c>
      <c r="C63" t="s">
        <v>1390</v>
      </c>
      <c r="D63">
        <v>20625</v>
      </c>
      <c r="E63" t="s">
        <v>61</v>
      </c>
      <c r="F63">
        <v>17</v>
      </c>
      <c r="G63" t="s">
        <v>1666</v>
      </c>
      <c r="H63" s="281">
        <f>ROWS($G$4:G63)</f>
        <v>60</v>
      </c>
      <c r="I63" s="281" t="str">
        <f>IF('School Level Expenditures'!$B$2=A63,'School Tables'!H63,"")</f>
        <v/>
      </c>
      <c r="J63" s="281" t="str">
        <f>IFERROR(SMALL($I$4:$I$325,ROWS($I$4:I63)),"")</f>
        <v/>
      </c>
      <c r="K63" s="256" t="b">
        <f t="shared" si="0"/>
        <v>0</v>
      </c>
      <c r="L63">
        <v>449</v>
      </c>
      <c r="M63" t="s">
        <v>1348</v>
      </c>
      <c r="N63" t="s">
        <v>1349</v>
      </c>
      <c r="O63">
        <v>22510</v>
      </c>
      <c r="P63" t="s">
        <v>1517</v>
      </c>
      <c r="Q63">
        <v>52</v>
      </c>
      <c r="R63" t="s">
        <v>1707</v>
      </c>
      <c r="S63" s="281">
        <f>ROWS($Q$4:Q63)</f>
        <v>60</v>
      </c>
      <c r="T63" s="281" t="str">
        <f>IF('School Level Expenditures'!$B$2='School Tables'!L63,'School Tables'!S63,"")</f>
        <v/>
      </c>
      <c r="U63" s="281" t="str">
        <f>IFERROR(SMALL($T$4:$T$75,ROWS($T$4:T63)),"")</f>
        <v/>
      </c>
      <c r="V63" s="256" t="b">
        <f t="shared" si="4"/>
        <v>0</v>
      </c>
      <c r="W63">
        <v>357</v>
      </c>
      <c r="X63" t="s">
        <v>1247</v>
      </c>
      <c r="Y63" t="s">
        <v>1249</v>
      </c>
      <c r="Z63">
        <v>21765</v>
      </c>
      <c r="AA63" t="s">
        <v>1518</v>
      </c>
      <c r="AB63">
        <v>40</v>
      </c>
      <c r="AC63" t="s">
        <v>1693</v>
      </c>
      <c r="AD63" s="281">
        <f>ROWS($AC$4:AC63)</f>
        <v>60</v>
      </c>
      <c r="AE63" s="281" t="str">
        <f>IF('School Level Expenditures'!$B$2='School Tables'!W63,'School Tables'!AD63,"")</f>
        <v/>
      </c>
      <c r="AF63" s="281" t="str">
        <f>IFERROR(SMALL(AE63:$AE$100,ROWS($AE$4:AE63)),"")</f>
        <v/>
      </c>
      <c r="AG63" s="256" t="b">
        <f t="shared" si="3"/>
        <v>0</v>
      </c>
      <c r="AH63">
        <v>191</v>
      </c>
      <c r="AI63">
        <v>191</v>
      </c>
      <c r="AJ63" t="s">
        <v>1045</v>
      </c>
      <c r="AK63">
        <v>73</v>
      </c>
      <c r="AL63" t="s">
        <v>1682</v>
      </c>
    </row>
    <row r="64" spans="1:38" ht="12.75" x14ac:dyDescent="0.2">
      <c r="A64">
        <v>534</v>
      </c>
      <c r="B64" t="s">
        <v>1428</v>
      </c>
      <c r="C64" t="s">
        <v>1431</v>
      </c>
      <c r="D64">
        <v>22745</v>
      </c>
      <c r="E64" t="s">
        <v>61</v>
      </c>
      <c r="F64">
        <v>106</v>
      </c>
      <c r="G64" t="s">
        <v>1638</v>
      </c>
      <c r="H64" s="281">
        <f>ROWS($G$4:G64)</f>
        <v>61</v>
      </c>
      <c r="I64" s="281" t="str">
        <f>IF('School Level Expenditures'!$B$2=A64,'School Tables'!H64,"")</f>
        <v/>
      </c>
      <c r="J64" s="281" t="str">
        <f>IFERROR(SMALL($I$4:$I$325,ROWS($I$4:I64)),"")</f>
        <v/>
      </c>
      <c r="K64" s="256" t="b">
        <f t="shared" si="0"/>
        <v>0</v>
      </c>
      <c r="L64">
        <v>450</v>
      </c>
      <c r="M64" t="s">
        <v>1354</v>
      </c>
      <c r="N64" t="s">
        <v>1356</v>
      </c>
      <c r="O64">
        <v>26990</v>
      </c>
      <c r="P64" t="s">
        <v>1517</v>
      </c>
      <c r="Q64">
        <v>35</v>
      </c>
      <c r="R64" t="s">
        <v>1648</v>
      </c>
      <c r="S64" s="281">
        <f>ROWS($Q$4:Q64)</f>
        <v>61</v>
      </c>
      <c r="T64" s="281" t="str">
        <f>IF('School Level Expenditures'!$B$2='School Tables'!L64,'School Tables'!S64,"")</f>
        <v/>
      </c>
      <c r="U64" s="281" t="str">
        <f>IFERROR(SMALL($T$4:$T$75,ROWS($T$4:T64)),"")</f>
        <v/>
      </c>
      <c r="V64" s="256" t="b">
        <f t="shared" si="4"/>
        <v>0</v>
      </c>
      <c r="W64">
        <v>363</v>
      </c>
      <c r="X64" t="s">
        <v>1256</v>
      </c>
      <c r="Y64" t="s">
        <v>1258</v>
      </c>
      <c r="Z64">
        <v>21700</v>
      </c>
      <c r="AA64" t="s">
        <v>1518</v>
      </c>
      <c r="AB64">
        <v>93</v>
      </c>
      <c r="AC64" t="s">
        <v>1665</v>
      </c>
      <c r="AD64" s="281">
        <f>ROWS($AC$4:AC64)</f>
        <v>61</v>
      </c>
      <c r="AE64" s="281" t="str">
        <f>IF('School Level Expenditures'!$B$2='School Tables'!W64,'School Tables'!AD64,"")</f>
        <v/>
      </c>
      <c r="AF64" s="281" t="str">
        <f>IFERROR(SMALL(AE64:$AE$100,ROWS($AE$4:AE64)),"")</f>
        <v/>
      </c>
      <c r="AG64" s="256" t="b">
        <f t="shared" si="3"/>
        <v>0</v>
      </c>
      <c r="AH64">
        <v>195</v>
      </c>
      <c r="AI64">
        <v>195</v>
      </c>
      <c r="AJ64" t="s">
        <v>1049</v>
      </c>
      <c r="AK64">
        <v>79</v>
      </c>
      <c r="AL64" t="s">
        <v>1683</v>
      </c>
    </row>
    <row r="65" spans="1:38" ht="12.75" x14ac:dyDescent="0.2">
      <c r="A65">
        <v>127</v>
      </c>
      <c r="B65" t="s">
        <v>987</v>
      </c>
      <c r="C65" t="s">
        <v>988</v>
      </c>
      <c r="D65">
        <v>22595</v>
      </c>
      <c r="E65" t="s">
        <v>61</v>
      </c>
      <c r="F65">
        <v>53</v>
      </c>
      <c r="G65" t="s">
        <v>1632</v>
      </c>
      <c r="H65" s="281">
        <f>ROWS($G$4:G65)</f>
        <v>62</v>
      </c>
      <c r="I65" s="281" t="str">
        <f>IF('School Level Expenditures'!$B$2=A65,'School Tables'!H65,"")</f>
        <v/>
      </c>
      <c r="J65" s="281" t="str">
        <f>IFERROR(SMALL($I$4:$I$325,ROWS($I$4:I65)),"")</f>
        <v/>
      </c>
      <c r="K65" s="256" t="b">
        <f t="shared" si="0"/>
        <v>0</v>
      </c>
      <c r="L65">
        <v>461</v>
      </c>
      <c r="M65" t="s">
        <v>1361</v>
      </c>
      <c r="N65" t="s">
        <v>1369</v>
      </c>
      <c r="O65">
        <v>22705</v>
      </c>
      <c r="P65" t="s">
        <v>1517</v>
      </c>
      <c r="Q65">
        <v>54</v>
      </c>
      <c r="R65" t="s">
        <v>1657</v>
      </c>
      <c r="S65" s="281">
        <f>ROWS($Q$4:Q65)</f>
        <v>62</v>
      </c>
      <c r="T65" s="281" t="str">
        <f>IF('School Level Expenditures'!$B$2='School Tables'!L65,'School Tables'!S65,"")</f>
        <v/>
      </c>
      <c r="U65" s="281" t="str">
        <f>IFERROR(SMALL($T$4:$T$75,ROWS($T$4:T65)),"")</f>
        <v/>
      </c>
      <c r="V65" s="256" t="b">
        <f t="shared" si="4"/>
        <v>0</v>
      </c>
      <c r="W65">
        <v>369</v>
      </c>
      <c r="X65" t="s">
        <v>1265</v>
      </c>
      <c r="Y65" t="s">
        <v>1267</v>
      </c>
      <c r="Z65">
        <v>22120</v>
      </c>
      <c r="AA65" t="s">
        <v>1518</v>
      </c>
      <c r="AB65">
        <v>45</v>
      </c>
      <c r="AC65" t="s">
        <v>1717</v>
      </c>
      <c r="AD65" s="281">
        <f>ROWS($AC$4:AC65)</f>
        <v>62</v>
      </c>
      <c r="AE65" s="281" t="str">
        <f>IF('School Level Expenditures'!$B$2='School Tables'!W65,'School Tables'!AD65,"")</f>
        <v/>
      </c>
      <c r="AF65" s="281" t="str">
        <f>IFERROR(SMALL(AE65:$AE$100,ROWS($AE$4:AE65)),"")</f>
        <v/>
      </c>
      <c r="AG65" s="256" t="b">
        <f t="shared" si="3"/>
        <v>0</v>
      </c>
      <c r="AH65">
        <v>199</v>
      </c>
      <c r="AI65">
        <v>199</v>
      </c>
      <c r="AJ65" t="s">
        <v>1051</v>
      </c>
      <c r="AK65">
        <v>19</v>
      </c>
      <c r="AL65" t="s">
        <v>1643</v>
      </c>
    </row>
    <row r="66" spans="1:38" ht="12.75" x14ac:dyDescent="0.2">
      <c r="A66">
        <v>131</v>
      </c>
      <c r="B66" t="s">
        <v>989</v>
      </c>
      <c r="C66" t="s">
        <v>1537</v>
      </c>
      <c r="D66">
        <v>29156</v>
      </c>
      <c r="E66" t="s">
        <v>61</v>
      </c>
      <c r="F66">
        <v>10</v>
      </c>
      <c r="G66" t="s">
        <v>1667</v>
      </c>
      <c r="H66" s="281">
        <f>ROWS($G$4:G66)</f>
        <v>63</v>
      </c>
      <c r="I66" s="281" t="str">
        <f>IF('School Level Expenditures'!$B$2=A66,'School Tables'!H66,"")</f>
        <v/>
      </c>
      <c r="J66" s="281" t="str">
        <f>IFERROR(SMALL($I$4:$I$325,ROWS($I$4:I66)),"")</f>
        <v/>
      </c>
      <c r="K66" s="256" t="b">
        <f t="shared" si="0"/>
        <v>0</v>
      </c>
      <c r="L66">
        <v>41</v>
      </c>
      <c r="M66" t="s">
        <v>923</v>
      </c>
      <c r="N66" t="s">
        <v>928</v>
      </c>
      <c r="O66">
        <v>28560</v>
      </c>
      <c r="P66" t="s">
        <v>1517</v>
      </c>
      <c r="Q66">
        <v>25</v>
      </c>
      <c r="R66" t="s">
        <v>1712</v>
      </c>
      <c r="S66" s="281">
        <f>ROWS($Q$4:Q66)</f>
        <v>63</v>
      </c>
      <c r="T66" s="281" t="str">
        <f>IF('School Level Expenditures'!$B$2='School Tables'!L66,'School Tables'!S66,"")</f>
        <v/>
      </c>
      <c r="U66" s="281" t="str">
        <f>IFERROR(SMALL($T$4:$T$75,ROWS($T$4:T66)),"")</f>
        <v/>
      </c>
      <c r="V66" s="256" t="b">
        <f t="shared" si="4"/>
        <v>0</v>
      </c>
      <c r="W66">
        <v>371</v>
      </c>
      <c r="X66" t="s">
        <v>1268</v>
      </c>
      <c r="Y66" t="s">
        <v>1285</v>
      </c>
      <c r="Z66">
        <v>27960</v>
      </c>
      <c r="AA66" t="s">
        <v>1518</v>
      </c>
      <c r="AB66">
        <v>42</v>
      </c>
      <c r="AC66" t="s">
        <v>1634</v>
      </c>
      <c r="AD66" s="281">
        <f>ROWS($AC$4:AC66)</f>
        <v>63</v>
      </c>
      <c r="AE66" s="281" t="str">
        <f>IF('School Level Expenditures'!$B$2='School Tables'!W66,'School Tables'!AD66,"")</f>
        <v/>
      </c>
      <c r="AF66" s="281" t="str">
        <f>IFERROR(SMALL(AE66:$AE$100,ROWS($AE$4:AE66)),"")</f>
        <v/>
      </c>
      <c r="AG66" s="256" t="b">
        <f t="shared" si="3"/>
        <v>0</v>
      </c>
      <c r="AH66">
        <v>203</v>
      </c>
      <c r="AI66">
        <v>0</v>
      </c>
      <c r="AJ66" t="s">
        <v>1056</v>
      </c>
      <c r="AK66">
        <v>20</v>
      </c>
      <c r="AL66" t="s">
        <v>1671</v>
      </c>
    </row>
    <row r="67" spans="1:38" ht="12.75" x14ac:dyDescent="0.2">
      <c r="A67">
        <v>131</v>
      </c>
      <c r="B67" t="s">
        <v>989</v>
      </c>
      <c r="C67" t="s">
        <v>993</v>
      </c>
      <c r="D67">
        <v>20380</v>
      </c>
      <c r="E67" t="s">
        <v>61</v>
      </c>
      <c r="F67">
        <v>10</v>
      </c>
      <c r="G67" t="s">
        <v>1667</v>
      </c>
      <c r="H67" s="281">
        <f>ROWS($G$4:G67)</f>
        <v>64</v>
      </c>
      <c r="I67" s="281" t="str">
        <f>IF('School Level Expenditures'!$B$2=A67,'School Tables'!H67,"")</f>
        <v/>
      </c>
      <c r="J67" s="281" t="str">
        <f>IFERROR(SMALL($I$4:$I$325,ROWS($I$4:I67)),"")</f>
        <v/>
      </c>
      <c r="K67" s="256" t="b">
        <f t="shared" si="0"/>
        <v>0</v>
      </c>
      <c r="L67">
        <v>111</v>
      </c>
      <c r="M67" t="s">
        <v>958</v>
      </c>
      <c r="N67" t="s">
        <v>963</v>
      </c>
      <c r="O67">
        <v>20270</v>
      </c>
      <c r="P67" t="s">
        <v>1517</v>
      </c>
      <c r="Q67">
        <v>8</v>
      </c>
      <c r="R67" t="s">
        <v>1629</v>
      </c>
      <c r="S67" s="281">
        <f>ROWS($Q$4:Q67)</f>
        <v>64</v>
      </c>
      <c r="T67" s="281" t="str">
        <f>IF('School Level Expenditures'!$B$2='School Tables'!L67,'School Tables'!S67,"")</f>
        <v/>
      </c>
      <c r="U67" s="281" t="str">
        <f>IFERROR(SMALL($T$4:$T$75,ROWS($T$4:T67)),"")</f>
        <v/>
      </c>
      <c r="V67" s="256" t="b">
        <f t="shared" si="4"/>
        <v>0</v>
      </c>
      <c r="W67">
        <v>371</v>
      </c>
      <c r="X67" t="s">
        <v>1268</v>
      </c>
      <c r="Y67" t="s">
        <v>1274</v>
      </c>
      <c r="Z67">
        <v>21860</v>
      </c>
      <c r="AA67" t="s">
        <v>1518</v>
      </c>
      <c r="AB67">
        <v>42</v>
      </c>
      <c r="AC67" t="s">
        <v>1634</v>
      </c>
      <c r="AD67" s="281">
        <f>ROWS($AC$4:AC67)</f>
        <v>64</v>
      </c>
      <c r="AE67" s="281" t="str">
        <f>IF('School Level Expenditures'!$B$2='School Tables'!W67,'School Tables'!AD67,"")</f>
        <v/>
      </c>
      <c r="AF67" s="281" t="str">
        <f>IFERROR(SMALL(AE67:$AE$100,ROWS($AE$4:AE67)),"")</f>
        <v/>
      </c>
      <c r="AG67" s="256" t="b">
        <f t="shared" si="3"/>
        <v>0</v>
      </c>
      <c r="AH67">
        <v>204</v>
      </c>
      <c r="AI67">
        <v>203</v>
      </c>
      <c r="AJ67" t="s">
        <v>1749</v>
      </c>
      <c r="AK67">
        <v>102</v>
      </c>
      <c r="AL67" t="s">
        <v>1750</v>
      </c>
    </row>
    <row r="68" spans="1:38" ht="12.75" x14ac:dyDescent="0.2">
      <c r="A68">
        <v>101</v>
      </c>
      <c r="B68" t="s">
        <v>952</v>
      </c>
      <c r="C68" t="s">
        <v>956</v>
      </c>
      <c r="D68">
        <v>20165</v>
      </c>
      <c r="E68" t="s">
        <v>61</v>
      </c>
      <c r="F68">
        <v>6</v>
      </c>
      <c r="G68" t="s">
        <v>1649</v>
      </c>
      <c r="H68" s="281">
        <f>ROWS($G$4:G68)</f>
        <v>65</v>
      </c>
      <c r="I68" s="281" t="str">
        <f>IF('School Level Expenditures'!$B$2=A68,'School Tables'!H68,"")</f>
        <v/>
      </c>
      <c r="J68" s="281" t="str">
        <f>IFERROR(SMALL($I$4:$I$325,ROWS($I$4:I68)),"")</f>
        <v/>
      </c>
      <c r="K68" s="256" t="b">
        <f t="shared" si="0"/>
        <v>0</v>
      </c>
      <c r="L68">
        <v>476</v>
      </c>
      <c r="M68" t="s">
        <v>1388</v>
      </c>
      <c r="N68" t="s">
        <v>1391</v>
      </c>
      <c r="O68">
        <v>20630</v>
      </c>
      <c r="P68" t="s">
        <v>1517</v>
      </c>
      <c r="Q68">
        <v>17</v>
      </c>
      <c r="R68" t="s">
        <v>1666</v>
      </c>
      <c r="S68" s="281">
        <f>ROWS($Q$4:Q68)</f>
        <v>65</v>
      </c>
      <c r="T68" s="281" t="str">
        <f>IF('School Level Expenditures'!$B$2='School Tables'!L68,'School Tables'!S68,"")</f>
        <v/>
      </c>
      <c r="U68" s="281" t="str">
        <f>IFERROR(SMALL($T$4:$T$75,ROWS($T$4:T68)),"")</f>
        <v/>
      </c>
      <c r="V68" s="256" t="b">
        <f t="shared" si="4"/>
        <v>0</v>
      </c>
      <c r="W68">
        <v>388</v>
      </c>
      <c r="X68" t="s">
        <v>1754</v>
      </c>
      <c r="Y68" t="s">
        <v>1296</v>
      </c>
      <c r="Z68">
        <v>20085</v>
      </c>
      <c r="AA68" t="s">
        <v>1518</v>
      </c>
      <c r="AB68">
        <v>4</v>
      </c>
      <c r="AC68" t="s">
        <v>1651</v>
      </c>
      <c r="AD68" s="281">
        <f>ROWS($AC$4:AC68)</f>
        <v>65</v>
      </c>
      <c r="AE68" s="281" t="str">
        <f>IF('School Level Expenditures'!$B$2='School Tables'!W68,'School Tables'!AD68,"")</f>
        <v/>
      </c>
      <c r="AF68" s="281" t="str">
        <f>IFERROR(SMALL(AE68:$AE$100,ROWS($AE$4:AE68)),"")</f>
        <v/>
      </c>
      <c r="AG68" s="256" t="b">
        <f t="shared" ref="AG68:AG72" si="5">Y69=Y70</f>
        <v>0</v>
      </c>
      <c r="AH68">
        <v>208</v>
      </c>
      <c r="AI68">
        <v>0</v>
      </c>
      <c r="AJ68" t="s">
        <v>1060</v>
      </c>
      <c r="AK68">
        <v>49</v>
      </c>
      <c r="AL68" t="s">
        <v>1655</v>
      </c>
    </row>
    <row r="69" spans="1:38" ht="63.75" x14ac:dyDescent="0.2">
      <c r="A69">
        <v>363</v>
      </c>
      <c r="B69" t="s">
        <v>1256</v>
      </c>
      <c r="C69" t="s">
        <v>1260</v>
      </c>
      <c r="D69">
        <v>21665</v>
      </c>
      <c r="E69" t="s">
        <v>61</v>
      </c>
      <c r="F69">
        <v>93</v>
      </c>
      <c r="G69" t="s">
        <v>1665</v>
      </c>
      <c r="H69" s="281">
        <f>ROWS($G$4:G69)</f>
        <v>66</v>
      </c>
      <c r="I69" s="281" t="str">
        <f>IF('School Level Expenditures'!$B$2=A69,'School Tables'!H69,"")</f>
        <v/>
      </c>
      <c r="J69" s="281" t="str">
        <f>IFERROR(SMALL($I$4:$I$325,ROWS($I$4:I69)),"")</f>
        <v/>
      </c>
      <c r="K69" s="256" t="b">
        <f t="shared" ref="K69:K132" si="6">C69=C70</f>
        <v>0</v>
      </c>
      <c r="L69">
        <v>491</v>
      </c>
      <c r="M69" t="s">
        <v>1400</v>
      </c>
      <c r="N69" t="s">
        <v>1401</v>
      </c>
      <c r="O69">
        <v>22830</v>
      </c>
      <c r="P69" t="s">
        <v>1517</v>
      </c>
      <c r="Q69">
        <v>56</v>
      </c>
      <c r="R69" t="s">
        <v>1697</v>
      </c>
      <c r="S69" s="281">
        <f>ROWS($Q$4:Q69)</f>
        <v>66</v>
      </c>
      <c r="T69" s="281" t="str">
        <f>IF('School Level Expenditures'!$B$2='School Tables'!L69,'School Tables'!S69,"")</f>
        <v/>
      </c>
      <c r="U69" s="281" t="str">
        <f>IFERROR(SMALL($T$4:$T$75,ROWS($T$4:T69)),"")</f>
        <v/>
      </c>
      <c r="V69" s="256" t="b">
        <f t="shared" si="4"/>
        <v>0</v>
      </c>
      <c r="W69">
        <v>399</v>
      </c>
      <c r="X69" t="s">
        <v>1302</v>
      </c>
      <c r="Y69" t="s">
        <v>1304</v>
      </c>
      <c r="Z69">
        <v>23115</v>
      </c>
      <c r="AA69" t="s">
        <v>1518</v>
      </c>
      <c r="AB69">
        <v>31</v>
      </c>
      <c r="AC69" t="s">
        <v>1718</v>
      </c>
      <c r="AD69" s="281">
        <f>ROWS($AC$4:AC69)</f>
        <v>66</v>
      </c>
      <c r="AE69" s="281" t="str">
        <f>IF('School Level Expenditures'!$B$2='School Tables'!W69,'School Tables'!AD69,"")</f>
        <v/>
      </c>
      <c r="AF69" s="281" t="str">
        <f>IFERROR(SMALL(AE69:$AE$100,ROWS($AE$4:AE69)),"")</f>
        <v/>
      </c>
      <c r="AG69" s="256" t="b">
        <f t="shared" si="5"/>
        <v>0</v>
      </c>
      <c r="AH69" s="282">
        <v>702</v>
      </c>
      <c r="AI69" s="282">
        <v>702</v>
      </c>
      <c r="AJ69" s="282" t="s">
        <v>1475</v>
      </c>
      <c r="AK69" s="282">
        <v>426</v>
      </c>
      <c r="AL69" s="282" t="s">
        <v>1475</v>
      </c>
    </row>
    <row r="70" spans="1:38" ht="12.75" x14ac:dyDescent="0.2">
      <c r="A70">
        <v>267</v>
      </c>
      <c r="B70" t="s">
        <v>1117</v>
      </c>
      <c r="C70" t="s">
        <v>1118</v>
      </c>
      <c r="D70">
        <v>21045</v>
      </c>
      <c r="E70" t="s">
        <v>61</v>
      </c>
      <c r="F70">
        <v>81</v>
      </c>
      <c r="G70" t="s">
        <v>1668</v>
      </c>
      <c r="H70" s="281">
        <f>ROWS($G$4:G70)</f>
        <v>67</v>
      </c>
      <c r="I70" s="281" t="str">
        <f>IF('School Level Expenditures'!$B$2=A70,'School Tables'!H70,"")</f>
        <v/>
      </c>
      <c r="J70" s="281" t="str">
        <f>IFERROR(SMALL($I$4:$I$325,ROWS($I$4:I70)),"")</f>
        <v/>
      </c>
      <c r="K70" s="256" t="b">
        <f t="shared" si="6"/>
        <v>0</v>
      </c>
      <c r="L70">
        <v>112</v>
      </c>
      <c r="M70" t="s">
        <v>966</v>
      </c>
      <c r="N70" t="s">
        <v>975</v>
      </c>
      <c r="O70">
        <v>22295</v>
      </c>
      <c r="P70" t="s">
        <v>1517</v>
      </c>
      <c r="Q70">
        <v>1</v>
      </c>
      <c r="R70" t="s">
        <v>1636</v>
      </c>
      <c r="S70" s="281">
        <f>ROWS($Q$4:Q70)</f>
        <v>67</v>
      </c>
      <c r="T70" s="281" t="str">
        <f>IF('School Level Expenditures'!$B$2='School Tables'!L70,'School Tables'!S70,"")</f>
        <v/>
      </c>
      <c r="U70" s="281" t="str">
        <f>IFERROR(SMALL($T$4:$T$75,ROWS($T$4:T70)),"")</f>
        <v/>
      </c>
      <c r="V70" s="256" t="b">
        <f t="shared" si="4"/>
        <v>0</v>
      </c>
      <c r="W70">
        <v>401</v>
      </c>
      <c r="X70" t="s">
        <v>1306</v>
      </c>
      <c r="Y70" t="s">
        <v>1308</v>
      </c>
      <c r="Z70">
        <v>21985</v>
      </c>
      <c r="AA70" t="s">
        <v>1518</v>
      </c>
      <c r="AB70">
        <v>43</v>
      </c>
      <c r="AC70" t="s">
        <v>1725</v>
      </c>
      <c r="AD70" s="281">
        <f>ROWS($AC$4:AC70)</f>
        <v>67</v>
      </c>
      <c r="AE70" s="281" t="str">
        <f>IF('School Level Expenditures'!$B$2='School Tables'!W70,'School Tables'!AD70,"")</f>
        <v/>
      </c>
      <c r="AF70" s="281" t="str">
        <f>IFERROR(SMALL(AE70:$AE$100,ROWS($AE$4:AE70)),"")</f>
        <v/>
      </c>
      <c r="AG70" s="256" t="b">
        <f t="shared" si="5"/>
        <v>0</v>
      </c>
      <c r="AH70">
        <v>211</v>
      </c>
      <c r="AI70">
        <v>211</v>
      </c>
      <c r="AJ70" t="s">
        <v>1068</v>
      </c>
      <c r="AK70">
        <v>75</v>
      </c>
      <c r="AL70" t="s">
        <v>1685</v>
      </c>
    </row>
    <row r="71" spans="1:38" ht="38.25" x14ac:dyDescent="0.2">
      <c r="A71">
        <v>473</v>
      </c>
      <c r="B71" t="s">
        <v>1380</v>
      </c>
      <c r="C71" t="s">
        <v>1387</v>
      </c>
      <c r="D71">
        <v>22895</v>
      </c>
      <c r="E71" t="s">
        <v>61</v>
      </c>
      <c r="F71">
        <v>57</v>
      </c>
      <c r="G71" t="s">
        <v>1669</v>
      </c>
      <c r="H71" s="281">
        <f>ROWS($G$4:G71)</f>
        <v>68</v>
      </c>
      <c r="I71" s="281" t="str">
        <f>IF('School Level Expenditures'!$B$2=A71,'School Tables'!H71,"")</f>
        <v/>
      </c>
      <c r="J71" s="281" t="str">
        <f>IFERROR(SMALL($I$4:$I$325,ROWS($I$4:I71)),"")</f>
        <v/>
      </c>
      <c r="K71" s="256" t="b">
        <f t="shared" si="6"/>
        <v>0</v>
      </c>
      <c r="L71">
        <v>335</v>
      </c>
      <c r="M71" t="s">
        <v>895</v>
      </c>
      <c r="N71" t="s">
        <v>1205</v>
      </c>
      <c r="O71">
        <v>21575</v>
      </c>
      <c r="P71" t="s">
        <v>1517</v>
      </c>
      <c r="Q71">
        <v>37</v>
      </c>
      <c r="R71" t="s">
        <v>1640</v>
      </c>
      <c r="S71" s="281">
        <f>ROWS($Q$4:Q71)</f>
        <v>68</v>
      </c>
      <c r="T71" s="281" t="str">
        <f>IF('School Level Expenditures'!$B$2='School Tables'!L71,'School Tables'!S71,"")</f>
        <v/>
      </c>
      <c r="U71" s="281" t="str">
        <f>IFERROR(SMALL($T$4:$T$75,ROWS($T$4:T71)),"")</f>
        <v/>
      </c>
      <c r="V71" s="256" t="b">
        <f t="shared" si="4"/>
        <v>0</v>
      </c>
      <c r="W71">
        <v>401</v>
      </c>
      <c r="X71" t="s">
        <v>1306</v>
      </c>
      <c r="Y71" t="s">
        <v>1833</v>
      </c>
      <c r="Z71">
        <v>29258</v>
      </c>
      <c r="AA71" t="s">
        <v>1518</v>
      </c>
      <c r="AB71">
        <v>43</v>
      </c>
      <c r="AC71" t="s">
        <v>1725</v>
      </c>
      <c r="AD71" s="281">
        <f>ROWS($AC$4:AC71)</f>
        <v>68</v>
      </c>
      <c r="AE71" s="281" t="str">
        <f>IF('School Level Expenditures'!$B$2='School Tables'!W71,'School Tables'!AD71,"")</f>
        <v/>
      </c>
      <c r="AF71" s="281" t="str">
        <f>IFERROR(SMALL(AE71:$AE$100,ROWS($AE$4:AE71)),"")</f>
        <v/>
      </c>
      <c r="AG71" s="256" t="b">
        <f t="shared" si="5"/>
        <v>0</v>
      </c>
      <c r="AH71" s="282">
        <v>709</v>
      </c>
      <c r="AI71" s="282">
        <v>709</v>
      </c>
      <c r="AJ71" s="282" t="s">
        <v>1486</v>
      </c>
      <c r="AK71" s="282">
        <v>404</v>
      </c>
      <c r="AL71" s="282" t="s">
        <v>1486</v>
      </c>
    </row>
    <row r="72" spans="1:38" ht="12.75" x14ac:dyDescent="0.2">
      <c r="A72">
        <v>371</v>
      </c>
      <c r="B72" t="s">
        <v>1268</v>
      </c>
      <c r="C72" t="s">
        <v>1270</v>
      </c>
      <c r="D72">
        <v>21835</v>
      </c>
      <c r="E72" t="s">
        <v>61</v>
      </c>
      <c r="F72">
        <v>42</v>
      </c>
      <c r="G72" t="s">
        <v>1634</v>
      </c>
      <c r="H72" s="281">
        <f>ROWS($G$4:G72)</f>
        <v>69</v>
      </c>
      <c r="I72" s="281" t="str">
        <f>IF('School Level Expenditures'!$B$2=A72,'School Tables'!H72,"")</f>
        <v/>
      </c>
      <c r="J72" s="281" t="str">
        <f>IFERROR(SMALL($I$4:$I$325,ROWS($I$4:I72)),"")</f>
        <v/>
      </c>
      <c r="K72" s="256" t="b">
        <f t="shared" si="6"/>
        <v>0</v>
      </c>
      <c r="L72">
        <v>515</v>
      </c>
      <c r="M72" t="s">
        <v>1421</v>
      </c>
      <c r="N72" t="s">
        <v>1521</v>
      </c>
      <c r="O72">
        <v>26965</v>
      </c>
      <c r="P72" t="s">
        <v>1517</v>
      </c>
      <c r="Q72">
        <v>85</v>
      </c>
      <c r="R72" t="s">
        <v>1730</v>
      </c>
      <c r="S72" s="281">
        <f>ROWS($Q$4:Q72)</f>
        <v>69</v>
      </c>
      <c r="T72" s="281" t="str">
        <f>IF('School Level Expenditures'!$B$2='School Tables'!L72,'School Tables'!S72,"")</f>
        <v/>
      </c>
      <c r="U72" s="281" t="str">
        <f>IFERROR(SMALL($T$4:$T$75,ROWS($T$4:T72)),"")</f>
        <v/>
      </c>
      <c r="V72" s="256" t="b">
        <f t="shared" si="4"/>
        <v>0</v>
      </c>
      <c r="W72">
        <v>740</v>
      </c>
      <c r="X72" t="s">
        <v>1507</v>
      </c>
      <c r="Y72" t="s">
        <v>1507</v>
      </c>
      <c r="Z72">
        <v>29105</v>
      </c>
      <c r="AA72" t="s">
        <v>1518</v>
      </c>
      <c r="AB72">
        <v>422</v>
      </c>
      <c r="AC72" t="s">
        <v>1507</v>
      </c>
      <c r="AD72" s="281">
        <f>ROWS($AC$4:AC72)</f>
        <v>69</v>
      </c>
      <c r="AE72" s="281" t="str">
        <f>IF('School Level Expenditures'!$B$2='School Tables'!W72,'School Tables'!AD72,"")</f>
        <v/>
      </c>
      <c r="AF72" s="281" t="str">
        <f>IFERROR(SMALL(AE72:$AE$100,ROWS($AE$4:AE72)),"")</f>
        <v/>
      </c>
      <c r="AG72" s="256" t="b">
        <f t="shared" si="5"/>
        <v>0</v>
      </c>
      <c r="AH72">
        <v>215</v>
      </c>
      <c r="AI72">
        <v>215</v>
      </c>
      <c r="AJ72" t="s">
        <v>1070</v>
      </c>
      <c r="AK72">
        <v>50</v>
      </c>
      <c r="AL72" t="s">
        <v>1686</v>
      </c>
    </row>
    <row r="73" spans="1:38" ht="12.75" x14ac:dyDescent="0.2">
      <c r="A73">
        <v>112</v>
      </c>
      <c r="B73" t="s">
        <v>966</v>
      </c>
      <c r="C73" t="s">
        <v>970</v>
      </c>
      <c r="D73">
        <v>22230</v>
      </c>
      <c r="E73" t="s">
        <v>61</v>
      </c>
      <c r="F73">
        <v>1</v>
      </c>
      <c r="G73" t="s">
        <v>1636</v>
      </c>
      <c r="H73" s="281">
        <f>ROWS($G$4:G73)</f>
        <v>70</v>
      </c>
      <c r="I73" s="281" t="str">
        <f>IF('School Level Expenditures'!$B$2=A73,'School Tables'!H73,"")</f>
        <v/>
      </c>
      <c r="J73" s="281" t="str">
        <f>IFERROR(SMALL($I$4:$I$325,ROWS($I$4:I73)),"")</f>
        <v/>
      </c>
      <c r="K73" s="256" t="b">
        <f t="shared" si="6"/>
        <v>0</v>
      </c>
      <c r="L73">
        <v>534</v>
      </c>
      <c r="M73" t="s">
        <v>1428</v>
      </c>
      <c r="N73" t="s">
        <v>1432</v>
      </c>
      <c r="O73">
        <v>22760</v>
      </c>
      <c r="P73" t="s">
        <v>1517</v>
      </c>
      <c r="Q73">
        <v>106</v>
      </c>
      <c r="R73" t="s">
        <v>1638</v>
      </c>
      <c r="S73" s="281">
        <f>ROWS($Q$4:Q73)</f>
        <v>70</v>
      </c>
      <c r="T73" s="281" t="str">
        <f>IF('School Level Expenditures'!$B$2='School Tables'!L73,'School Tables'!S73,"")</f>
        <v/>
      </c>
      <c r="U73" s="281" t="str">
        <f>IFERROR(SMALL($T$4:$T$75,ROWS($T$4:T73)),"")</f>
        <v/>
      </c>
      <c r="V73" s="256" t="b">
        <f t="shared" si="4"/>
        <v>0</v>
      </c>
      <c r="W73">
        <v>703</v>
      </c>
      <c r="X73" t="s">
        <v>1476</v>
      </c>
      <c r="Y73" t="s">
        <v>1478</v>
      </c>
      <c r="Z73">
        <v>28395</v>
      </c>
      <c r="AA73" t="s">
        <v>1518</v>
      </c>
      <c r="AB73">
        <v>402</v>
      </c>
      <c r="AC73" t="s">
        <v>1476</v>
      </c>
      <c r="AD73" s="281">
        <f>ROWS($AC$4:AC73)</f>
        <v>70</v>
      </c>
      <c r="AE73" s="281" t="str">
        <f>IF('School Level Expenditures'!$B$2='School Tables'!W73,'School Tables'!AD73,"")</f>
        <v/>
      </c>
      <c r="AF73" s="281" t="str">
        <f>IFERROR(SMALL(AE73:$AE$100,ROWS($AE$4:AE73)),"")</f>
        <v/>
      </c>
      <c r="AG73" s="256" t="b">
        <f t="shared" ref="AG73:AG85" si="7">Y74=Y75</f>
        <v>0</v>
      </c>
      <c r="AH73">
        <v>222</v>
      </c>
      <c r="AI73">
        <v>222</v>
      </c>
      <c r="AJ73" t="s">
        <v>1751</v>
      </c>
      <c r="AK73">
        <v>97</v>
      </c>
      <c r="AL73" t="s">
        <v>1752</v>
      </c>
    </row>
    <row r="74" spans="1:38" ht="12.75" x14ac:dyDescent="0.2">
      <c r="A74">
        <v>149</v>
      </c>
      <c r="B74" t="s">
        <v>1005</v>
      </c>
      <c r="C74" t="s">
        <v>1006</v>
      </c>
      <c r="D74">
        <v>20685</v>
      </c>
      <c r="E74" t="s">
        <v>61</v>
      </c>
      <c r="F74">
        <v>67</v>
      </c>
      <c r="G74" t="s">
        <v>1650</v>
      </c>
      <c r="H74" s="281">
        <f>ROWS($G$4:G74)</f>
        <v>71</v>
      </c>
      <c r="I74" s="281" t="str">
        <f>IF('School Level Expenditures'!$B$2=A74,'School Tables'!H74,"")</f>
        <v/>
      </c>
      <c r="J74" s="281" t="str">
        <f>IFERROR(SMALL($I$4:$I$325,ROWS($I$4:I74)),"")</f>
        <v/>
      </c>
      <c r="K74" s="256" t="b">
        <f t="shared" si="6"/>
        <v>0</v>
      </c>
      <c r="L74">
        <v>555</v>
      </c>
      <c r="M74" t="s">
        <v>1446</v>
      </c>
      <c r="N74" t="s">
        <v>1448</v>
      </c>
      <c r="O74">
        <v>20720</v>
      </c>
      <c r="P74" t="s">
        <v>1517</v>
      </c>
      <c r="Q74">
        <v>24</v>
      </c>
      <c r="R74" t="s">
        <v>1656</v>
      </c>
      <c r="S74" s="281">
        <f>ROWS($Q$4:Q74)</f>
        <v>71</v>
      </c>
      <c r="T74" s="281" t="str">
        <f>IF('School Level Expenditures'!$B$2='School Tables'!L74,'School Tables'!S74,"")</f>
        <v/>
      </c>
      <c r="U74" s="281" t="str">
        <f>IFERROR(SMALL($T$4:$T$75,ROWS($T$4:T74)),"")</f>
        <v/>
      </c>
      <c r="V74" s="256" t="b">
        <f t="shared" si="4"/>
        <v>0</v>
      </c>
      <c r="W74">
        <v>359</v>
      </c>
      <c r="X74" t="s">
        <v>1252</v>
      </c>
      <c r="Y74" t="s">
        <v>1254</v>
      </c>
      <c r="Z74">
        <v>22070</v>
      </c>
      <c r="AA74" t="s">
        <v>1518</v>
      </c>
      <c r="AB74">
        <v>64</v>
      </c>
      <c r="AC74" t="s">
        <v>1715</v>
      </c>
      <c r="AD74" s="281">
        <f>ROWS($AC$4:AC74)</f>
        <v>71</v>
      </c>
      <c r="AE74" s="281" t="str">
        <f>IF('School Level Expenditures'!$B$2='School Tables'!W74,'School Tables'!AD74,"")</f>
        <v/>
      </c>
      <c r="AF74" s="281" t="str">
        <f>IFERROR(SMALL(AE74:$AE$100,ROWS($AE$4:AE74)),"")</f>
        <v/>
      </c>
      <c r="AG74" s="256" t="b">
        <f t="shared" si="7"/>
        <v>0</v>
      </c>
      <c r="AH74">
        <v>223</v>
      </c>
      <c r="AI74">
        <v>223</v>
      </c>
      <c r="AJ74" t="s">
        <v>1072</v>
      </c>
      <c r="AK74">
        <v>55</v>
      </c>
      <c r="AL74" t="s">
        <v>1689</v>
      </c>
    </row>
    <row r="75" spans="1:38" ht="12.75" x14ac:dyDescent="0.2">
      <c r="A75">
        <v>33</v>
      </c>
      <c r="B75" t="s">
        <v>915</v>
      </c>
      <c r="C75" t="s">
        <v>918</v>
      </c>
      <c r="D75">
        <v>29010</v>
      </c>
      <c r="E75" t="s">
        <v>61</v>
      </c>
      <c r="F75">
        <v>74</v>
      </c>
      <c r="G75" t="s">
        <v>1642</v>
      </c>
      <c r="H75" s="281">
        <f>ROWS($G$4:G75)</f>
        <v>72</v>
      </c>
      <c r="I75" s="281" t="str">
        <f>IF('School Level Expenditures'!$B$2=A75,'School Tables'!H75,"")</f>
        <v/>
      </c>
      <c r="J75" s="281" t="str">
        <f>IFERROR(SMALL($I$4:$I$325,ROWS($I$4:I75)),"")</f>
        <v/>
      </c>
      <c r="K75" s="256" t="b">
        <f t="shared" si="6"/>
        <v>0</v>
      </c>
      <c r="L75">
        <v>131</v>
      </c>
      <c r="M75" t="s">
        <v>989</v>
      </c>
      <c r="N75" t="s">
        <v>990</v>
      </c>
      <c r="O75">
        <v>27065</v>
      </c>
      <c r="P75" t="s">
        <v>1517</v>
      </c>
      <c r="Q75">
        <v>10</v>
      </c>
      <c r="R75" t="s">
        <v>1667</v>
      </c>
      <c r="S75" s="281">
        <f>ROWS($Q$4:Q75)</f>
        <v>72</v>
      </c>
      <c r="T75" s="281" t="str">
        <f>IF('School Level Expenditures'!$B$2='School Tables'!L75,'School Tables'!S75,"")</f>
        <v/>
      </c>
      <c r="U75" s="281" t="str">
        <f>IFERROR(SMALL($T$4:$T$75,ROWS($T$4:T75)),"")</f>
        <v/>
      </c>
      <c r="V75" s="256" t="b">
        <f t="shared" si="4"/>
        <v>0</v>
      </c>
      <c r="W75">
        <v>423</v>
      </c>
      <c r="X75" t="s">
        <v>1320</v>
      </c>
      <c r="Y75" t="s">
        <v>1323</v>
      </c>
      <c r="Z75">
        <v>22800</v>
      </c>
      <c r="AA75" t="s">
        <v>1518</v>
      </c>
      <c r="AB75">
        <v>5</v>
      </c>
      <c r="AC75" t="s">
        <v>1710</v>
      </c>
      <c r="AD75" s="281">
        <f>ROWS($AC$4:AC75)</f>
        <v>72</v>
      </c>
      <c r="AE75" s="281" t="str">
        <f>IF('School Level Expenditures'!$B$2='School Tables'!W75,'School Tables'!AD75,"")</f>
        <v/>
      </c>
      <c r="AF75" s="281" t="str">
        <f>IFERROR(SMALL(AE75:$AE$100,ROWS($AE$4:AE75)),"")</f>
        <v/>
      </c>
      <c r="AG75" s="256" t="b">
        <f t="shared" si="7"/>
        <v>0</v>
      </c>
      <c r="AH75">
        <v>225</v>
      </c>
      <c r="AI75">
        <v>225</v>
      </c>
      <c r="AJ75" t="s">
        <v>1075</v>
      </c>
      <c r="AK75">
        <v>90</v>
      </c>
      <c r="AL75" t="s">
        <v>1631</v>
      </c>
    </row>
    <row r="76" spans="1:38" ht="12.75" x14ac:dyDescent="0.2">
      <c r="A76">
        <v>131</v>
      </c>
      <c r="B76" t="s">
        <v>989</v>
      </c>
      <c r="C76" t="s">
        <v>992</v>
      </c>
      <c r="D76">
        <v>20370</v>
      </c>
      <c r="E76" t="s">
        <v>61</v>
      </c>
      <c r="F76">
        <v>10</v>
      </c>
      <c r="G76" t="s">
        <v>1667</v>
      </c>
      <c r="H76" s="281">
        <f>ROWS($G$4:G76)</f>
        <v>73</v>
      </c>
      <c r="I76" s="281" t="str">
        <f>IF('School Level Expenditures'!$B$2=A76,'School Tables'!H76,"")</f>
        <v/>
      </c>
      <c r="J76" s="281" t="str">
        <f>IFERROR(SMALL($I$4:$I$325,ROWS($I$4:I76)),"")</f>
        <v/>
      </c>
      <c r="K76" s="256" t="b">
        <f t="shared" si="6"/>
        <v>0</v>
      </c>
      <c r="L76">
        <v>572</v>
      </c>
      <c r="M76" t="s">
        <v>1457</v>
      </c>
      <c r="N76" t="s">
        <v>1461</v>
      </c>
      <c r="O76">
        <v>26955</v>
      </c>
      <c r="P76" t="s">
        <v>1517</v>
      </c>
      <c r="Q76">
        <v>63</v>
      </c>
      <c r="R76" t="s">
        <v>1675</v>
      </c>
      <c r="S76" s="281">
        <f>ROWS($Q$4:Q76)</f>
        <v>73</v>
      </c>
      <c r="T76" s="281" t="str">
        <f>IF('School Level Expenditures'!$B$2='School Tables'!L76,'School Tables'!S76,"")</f>
        <v/>
      </c>
      <c r="U76" s="281" t="str">
        <f>IFERROR(SMALL($T$4:$T$75,ROWS($T$4:T76)),"")</f>
        <v/>
      </c>
      <c r="V76" s="256" t="b">
        <f t="shared" si="4"/>
        <v>0</v>
      </c>
      <c r="W76">
        <v>425</v>
      </c>
      <c r="X76" t="s">
        <v>1325</v>
      </c>
      <c r="Y76" t="s">
        <v>1327</v>
      </c>
      <c r="Z76">
        <v>21105</v>
      </c>
      <c r="AA76" t="s">
        <v>1518</v>
      </c>
      <c r="AB76">
        <v>28</v>
      </c>
      <c r="AC76" t="s">
        <v>1722</v>
      </c>
      <c r="AD76" s="281">
        <f>ROWS($AC$4:AC76)</f>
        <v>73</v>
      </c>
      <c r="AE76" s="281" t="str">
        <f>IF('School Level Expenditures'!$B$2='School Tables'!W76,'School Tables'!AD76,"")</f>
        <v/>
      </c>
      <c r="AF76" s="281" t="str">
        <f>IFERROR(SMALL(AE76:$AE$100,ROWS($AE$4:AE76)),"")</f>
        <v/>
      </c>
      <c r="AG76" s="256" t="b">
        <f t="shared" si="7"/>
        <v>0</v>
      </c>
      <c r="AH76">
        <v>227</v>
      </c>
      <c r="AI76">
        <v>227</v>
      </c>
      <c r="AJ76" t="s">
        <v>1078</v>
      </c>
      <c r="AK76">
        <v>21</v>
      </c>
      <c r="AL76" t="s">
        <v>1705</v>
      </c>
    </row>
    <row r="77" spans="1:38" ht="12.75" x14ac:dyDescent="0.2">
      <c r="A77">
        <v>153</v>
      </c>
      <c r="B77" t="s">
        <v>1007</v>
      </c>
      <c r="C77" t="s">
        <v>1008</v>
      </c>
      <c r="D77">
        <v>20565</v>
      </c>
      <c r="E77" t="s">
        <v>61</v>
      </c>
      <c r="F77">
        <v>16</v>
      </c>
      <c r="G77" t="s">
        <v>1670</v>
      </c>
      <c r="H77" s="281">
        <f>ROWS($G$4:G77)</f>
        <v>74</v>
      </c>
      <c r="I77" s="281" t="str">
        <f>IF('School Level Expenditures'!$B$2=A77,'School Tables'!H77,"")</f>
        <v/>
      </c>
      <c r="J77" s="281" t="str">
        <f>IFERROR(SMALL($I$4:$I$325,ROWS($I$4:I77)),"")</f>
        <v/>
      </c>
      <c r="K77" s="256" t="b">
        <f t="shared" si="6"/>
        <v>0</v>
      </c>
      <c r="L77">
        <v>575</v>
      </c>
      <c r="M77" t="s">
        <v>1463</v>
      </c>
      <c r="N77" t="s">
        <v>1464</v>
      </c>
      <c r="O77">
        <v>21125</v>
      </c>
      <c r="P77" t="s">
        <v>1517</v>
      </c>
      <c r="Q77">
        <v>95</v>
      </c>
      <c r="R77" t="s">
        <v>1684</v>
      </c>
      <c r="S77" s="281">
        <f>ROWS($Q$4:Q77)</f>
        <v>74</v>
      </c>
      <c r="T77" s="281" t="str">
        <f>IF('School Level Expenditures'!$B$2='School Tables'!L77,'School Tables'!S77,"")</f>
        <v/>
      </c>
      <c r="U77" s="281" t="str">
        <f>IFERROR(SMALL($T$4:$T$75,ROWS($T$4:T77)),"")</f>
        <v/>
      </c>
      <c r="V77" s="256" t="b">
        <f t="shared" si="4"/>
        <v>0</v>
      </c>
      <c r="W77">
        <v>427</v>
      </c>
      <c r="X77" t="s">
        <v>1329</v>
      </c>
      <c r="Y77" t="s">
        <v>1331</v>
      </c>
      <c r="Z77">
        <v>22620</v>
      </c>
      <c r="AA77" t="s">
        <v>1518</v>
      </c>
      <c r="AB77">
        <v>53</v>
      </c>
      <c r="AC77" t="s">
        <v>1632</v>
      </c>
      <c r="AD77" s="281">
        <f>ROWS($AC$4:AC77)</f>
        <v>74</v>
      </c>
      <c r="AE77" s="281">
        <f>IF('School Level Expenditures'!$B$2='School Tables'!W77,'School Tables'!AD77,"")</f>
        <v>74</v>
      </c>
      <c r="AF77" s="281" t="str">
        <f>IFERROR(SMALL(AE77:$AE$100,ROWS($AE$4:AE77)),"")</f>
        <v/>
      </c>
      <c r="AG77" s="256" t="b">
        <f t="shared" si="7"/>
        <v>0</v>
      </c>
      <c r="AH77">
        <v>233</v>
      </c>
      <c r="AI77">
        <v>233</v>
      </c>
      <c r="AJ77" t="s">
        <v>1080</v>
      </c>
      <c r="AK77">
        <v>70</v>
      </c>
      <c r="AL77" t="s">
        <v>1647</v>
      </c>
    </row>
    <row r="78" spans="1:38" ht="12.75" x14ac:dyDescent="0.2">
      <c r="A78">
        <v>461</v>
      </c>
      <c r="B78" t="s">
        <v>1361</v>
      </c>
      <c r="C78" t="s">
        <v>1362</v>
      </c>
      <c r="D78">
        <v>22650</v>
      </c>
      <c r="E78" t="s">
        <v>61</v>
      </c>
      <c r="F78">
        <v>54</v>
      </c>
      <c r="G78" t="s">
        <v>1657</v>
      </c>
      <c r="H78" s="281">
        <f>ROWS($G$4:G78)</f>
        <v>75</v>
      </c>
      <c r="I78" s="281" t="str">
        <f>IF('School Level Expenditures'!$B$2=A78,'School Tables'!H78,"")</f>
        <v/>
      </c>
      <c r="J78" s="281" t="str">
        <f>IFERROR(SMALL($I$4:$I$325,ROWS($I$4:I78)),"")</f>
        <v/>
      </c>
      <c r="K78" s="256" t="b">
        <f t="shared" si="6"/>
        <v>0</v>
      </c>
      <c r="L78">
        <v>582</v>
      </c>
      <c r="M78" t="s">
        <v>1470</v>
      </c>
      <c r="N78" t="s">
        <v>1473</v>
      </c>
      <c r="O78">
        <v>22955</v>
      </c>
      <c r="P78" t="s">
        <v>1517</v>
      </c>
      <c r="Q78">
        <v>59</v>
      </c>
      <c r="R78" t="s">
        <v>1728</v>
      </c>
      <c r="S78" s="281">
        <f>ROWS($Q$4:Q78)</f>
        <v>75</v>
      </c>
      <c r="T78" s="281" t="str">
        <f>IF('School Level Expenditures'!$B$2='School Tables'!L78,'School Tables'!S78,"")</f>
        <v/>
      </c>
      <c r="U78" s="281" t="str">
        <f>IFERROR(SMALL($T$4:$T$75,ROWS($T$4:T78)),"")</f>
        <v/>
      </c>
      <c r="V78" s="256" t="b">
        <f t="shared" si="4"/>
        <v>0</v>
      </c>
      <c r="W78">
        <v>437</v>
      </c>
      <c r="X78" t="s">
        <v>1337</v>
      </c>
      <c r="Y78" t="s">
        <v>1339</v>
      </c>
      <c r="Z78">
        <v>26500</v>
      </c>
      <c r="AA78" t="s">
        <v>1518</v>
      </c>
      <c r="AB78">
        <v>7</v>
      </c>
      <c r="AC78" t="s">
        <v>1661</v>
      </c>
      <c r="AD78" s="281">
        <f>ROWS($AC$4:AC78)</f>
        <v>75</v>
      </c>
      <c r="AE78" s="281" t="str">
        <f>IF('School Level Expenditures'!$B$2='School Tables'!W78,'School Tables'!AD78,"")</f>
        <v/>
      </c>
      <c r="AF78" s="281" t="str">
        <f>IFERROR(SMALL(AE78:$AE$100,ROWS($AE$4:AE78)),"")</f>
        <v/>
      </c>
      <c r="AG78" s="256" t="b">
        <f t="shared" si="7"/>
        <v>0</v>
      </c>
      <c r="AH78">
        <v>235</v>
      </c>
      <c r="AI78">
        <v>235</v>
      </c>
      <c r="AJ78" t="s">
        <v>1082</v>
      </c>
      <c r="AK78">
        <v>29</v>
      </c>
      <c r="AL78" t="s">
        <v>1659</v>
      </c>
    </row>
    <row r="79" spans="1:38" ht="12.75" x14ac:dyDescent="0.2">
      <c r="A79">
        <v>203</v>
      </c>
      <c r="B79" t="s">
        <v>1056</v>
      </c>
      <c r="C79" t="s">
        <v>1057</v>
      </c>
      <c r="D79">
        <v>20745</v>
      </c>
      <c r="E79" t="s">
        <v>61</v>
      </c>
      <c r="F79">
        <v>20</v>
      </c>
      <c r="G79" t="s">
        <v>1671</v>
      </c>
      <c r="H79" s="281">
        <f>ROWS($G$4:G79)</f>
        <v>76</v>
      </c>
      <c r="I79" s="281" t="str">
        <f>IF('School Level Expenditures'!$B$2=A79,'School Tables'!H79,"")</f>
        <v/>
      </c>
      <c r="J79" s="281" t="str">
        <f>IFERROR(SMALL($I$4:$I$325,ROWS($I$4:I79)),"")</f>
        <v/>
      </c>
      <c r="K79" s="256" t="b">
        <f t="shared" si="6"/>
        <v>0</v>
      </c>
      <c r="L79">
        <v>473</v>
      </c>
      <c r="M79" t="s">
        <v>1380</v>
      </c>
      <c r="N79" t="s">
        <v>1381</v>
      </c>
      <c r="O79">
        <v>22850</v>
      </c>
      <c r="P79" t="s">
        <v>1517</v>
      </c>
      <c r="Q79">
        <v>57</v>
      </c>
      <c r="R79" t="s">
        <v>1669</v>
      </c>
      <c r="S79" s="281">
        <f>ROWS($Q$4:Q79)</f>
        <v>76</v>
      </c>
      <c r="T79" s="281" t="str">
        <f>IF('School Level Expenditures'!$B$2='School Tables'!L79,'School Tables'!S79,"")</f>
        <v/>
      </c>
      <c r="U79" s="281" t="str">
        <f>IFERROR(SMALL($T$4:$T$75,ROWS($T$4:T79)),"")</f>
        <v/>
      </c>
      <c r="V79" s="256" t="b">
        <f t="shared" si="4"/>
        <v>0</v>
      </c>
      <c r="W79">
        <v>439</v>
      </c>
      <c r="X79" t="s">
        <v>1340</v>
      </c>
      <c r="Y79" t="s">
        <v>1343</v>
      </c>
      <c r="Z79">
        <v>22500</v>
      </c>
      <c r="AA79" t="s">
        <v>1518</v>
      </c>
      <c r="AB79">
        <v>51</v>
      </c>
      <c r="AC79" t="s">
        <v>1723</v>
      </c>
      <c r="AD79" s="281">
        <f>ROWS($AC$4:AC79)</f>
        <v>76</v>
      </c>
      <c r="AE79" s="281" t="str">
        <f>IF('School Level Expenditures'!$B$2='School Tables'!W79,'School Tables'!AD79,"")</f>
        <v/>
      </c>
      <c r="AF79" s="281" t="str">
        <f>IFERROR(SMALL(AE79:$AE$100,ROWS($AE$4:AE79)),"")</f>
        <v/>
      </c>
      <c r="AG79" s="256" t="b">
        <f t="shared" si="7"/>
        <v>0</v>
      </c>
      <c r="AH79">
        <v>236</v>
      </c>
      <c r="AI79">
        <v>236</v>
      </c>
      <c r="AJ79" t="s">
        <v>1753</v>
      </c>
      <c r="AK79">
        <v>9</v>
      </c>
      <c r="AL79" t="s">
        <v>1662</v>
      </c>
    </row>
    <row r="80" spans="1:38" ht="12.75" x14ac:dyDescent="0.2">
      <c r="A80">
        <v>208</v>
      </c>
      <c r="B80" t="s">
        <v>1060</v>
      </c>
      <c r="C80" t="s">
        <v>1061</v>
      </c>
      <c r="D80">
        <v>22395</v>
      </c>
      <c r="E80" t="s">
        <v>61</v>
      </c>
      <c r="F80">
        <v>49</v>
      </c>
      <c r="G80" t="s">
        <v>1655</v>
      </c>
      <c r="H80" s="281">
        <f>ROWS($G$4:G80)</f>
        <v>77</v>
      </c>
      <c r="I80" s="281" t="str">
        <f>IF('School Level Expenditures'!$B$2=A80,'School Tables'!H80,"")</f>
        <v/>
      </c>
      <c r="J80" s="281" t="str">
        <f>IFERROR(SMALL($I$4:$I$325,ROWS($I$4:I80)),"")</f>
        <v/>
      </c>
      <c r="K80" s="256" t="b">
        <f t="shared" si="6"/>
        <v>0</v>
      </c>
      <c r="L80" s="255"/>
      <c r="M80" s="255"/>
      <c r="N80" s="255"/>
      <c r="O80" s="216"/>
      <c r="P80" s="256"/>
      <c r="Q80" s="256"/>
      <c r="R80" s="256"/>
      <c r="S80" s="257"/>
      <c r="T80" s="257"/>
      <c r="U80" s="257"/>
      <c r="V80" s="257"/>
      <c r="W80">
        <v>428</v>
      </c>
      <c r="X80" t="s">
        <v>1333</v>
      </c>
      <c r="Y80" t="s">
        <v>1334</v>
      </c>
      <c r="Z80">
        <v>22350</v>
      </c>
      <c r="AA80" t="s">
        <v>1518</v>
      </c>
      <c r="AB80">
        <v>48</v>
      </c>
      <c r="AC80" t="s">
        <v>1652</v>
      </c>
      <c r="AD80" s="281">
        <f>ROWS($AC$4:AC80)</f>
        <v>77</v>
      </c>
      <c r="AE80" s="281" t="str">
        <f>IF('School Level Expenditures'!$B$2='School Tables'!W80,'School Tables'!AD80,"")</f>
        <v/>
      </c>
      <c r="AF80" s="281" t="str">
        <f>IFERROR(SMALL(AE80:$AE$100,ROWS($AE$4:AE80)),"")</f>
        <v/>
      </c>
      <c r="AG80" s="256" t="b">
        <f t="shared" si="7"/>
        <v>0</v>
      </c>
      <c r="AH80">
        <v>238</v>
      </c>
      <c r="AI80">
        <v>238</v>
      </c>
      <c r="AJ80" t="s">
        <v>1084</v>
      </c>
      <c r="AK80">
        <v>23</v>
      </c>
      <c r="AL80" t="s">
        <v>1644</v>
      </c>
    </row>
    <row r="81" spans="1:38" ht="12.75" x14ac:dyDescent="0.2">
      <c r="A81">
        <v>189</v>
      </c>
      <c r="B81" t="s">
        <v>1043</v>
      </c>
      <c r="C81" t="s">
        <v>1044</v>
      </c>
      <c r="D81">
        <v>20525</v>
      </c>
      <c r="E81" t="s">
        <v>61</v>
      </c>
      <c r="F81">
        <v>83</v>
      </c>
      <c r="G81" t="s">
        <v>1672</v>
      </c>
      <c r="H81" s="281">
        <f>ROWS($G$4:G81)</f>
        <v>78</v>
      </c>
      <c r="I81" s="281" t="str">
        <f>IF('School Level Expenditures'!$B$2=A81,'School Tables'!H81,"")</f>
        <v/>
      </c>
      <c r="J81" s="281" t="str">
        <f>IFERROR(SMALL($I$4:$I$325,ROWS($I$4:I81)),"")</f>
        <v/>
      </c>
      <c r="K81" s="256" t="b">
        <f t="shared" si="6"/>
        <v>0</v>
      </c>
      <c r="P81" s="257"/>
      <c r="Q81" s="257"/>
      <c r="R81" s="257"/>
      <c r="S81" s="256"/>
      <c r="T81" s="256"/>
      <c r="U81" s="256"/>
      <c r="V81" s="256"/>
      <c r="W81">
        <v>449</v>
      </c>
      <c r="X81" t="s">
        <v>1348</v>
      </c>
      <c r="Y81" t="s">
        <v>1353</v>
      </c>
      <c r="Z81">
        <v>22565</v>
      </c>
      <c r="AA81" t="s">
        <v>1518</v>
      </c>
      <c r="AB81">
        <v>52</v>
      </c>
      <c r="AC81" t="s">
        <v>1707</v>
      </c>
      <c r="AD81" s="281">
        <f>ROWS($AC$4:AC81)</f>
        <v>78</v>
      </c>
      <c r="AE81" s="281" t="str">
        <f>IF('School Level Expenditures'!$B$2='School Tables'!W81,'School Tables'!AD81,"")</f>
        <v/>
      </c>
      <c r="AF81" s="281" t="str">
        <f>IFERROR(SMALL(AE81:$AE$100,ROWS($AE$4:AE81)),"")</f>
        <v/>
      </c>
      <c r="AG81" s="256" t="b">
        <f t="shared" si="7"/>
        <v>0</v>
      </c>
      <c r="AH81">
        <v>245</v>
      </c>
      <c r="AI81">
        <v>245</v>
      </c>
      <c r="AJ81" t="s">
        <v>1088</v>
      </c>
      <c r="AK81">
        <v>24</v>
      </c>
      <c r="AL81" t="s">
        <v>1656</v>
      </c>
    </row>
    <row r="82" spans="1:38" ht="12.75" x14ac:dyDescent="0.2">
      <c r="A82">
        <v>285</v>
      </c>
      <c r="B82" t="s">
        <v>1151</v>
      </c>
      <c r="C82" t="s">
        <v>1156</v>
      </c>
      <c r="D82">
        <v>21290</v>
      </c>
      <c r="E82" t="s">
        <v>61</v>
      </c>
      <c r="F82">
        <v>30</v>
      </c>
      <c r="G82" t="s">
        <v>1673</v>
      </c>
      <c r="H82" s="281">
        <f>ROWS($G$4:G82)</f>
        <v>79</v>
      </c>
      <c r="I82" s="281" t="str">
        <f>IF('School Level Expenditures'!$B$2=A82,'School Tables'!H82,"")</f>
        <v/>
      </c>
      <c r="J82" s="281" t="str">
        <f>IFERROR(SMALL($I$4:$I$325,ROWS($I$4:I82)),"")</f>
        <v/>
      </c>
      <c r="K82" s="256" t="b">
        <f t="shared" si="6"/>
        <v>0</v>
      </c>
      <c r="P82" s="256"/>
      <c r="Q82" s="256"/>
      <c r="R82" s="256"/>
      <c r="S82" s="257"/>
      <c r="T82" s="257"/>
      <c r="U82" s="257"/>
      <c r="V82" s="257"/>
      <c r="W82">
        <v>450</v>
      </c>
      <c r="X82" t="s">
        <v>1354</v>
      </c>
      <c r="Y82" t="s">
        <v>1355</v>
      </c>
      <c r="Z82">
        <v>21395</v>
      </c>
      <c r="AA82" t="s">
        <v>1518</v>
      </c>
      <c r="AB82">
        <v>35</v>
      </c>
      <c r="AC82" t="s">
        <v>1648</v>
      </c>
      <c r="AD82" s="281">
        <f>ROWS($AC$4:AC82)</f>
        <v>79</v>
      </c>
      <c r="AE82" s="281" t="str">
        <f>IF('School Level Expenditures'!$B$2='School Tables'!W82,'School Tables'!AD82,"")</f>
        <v/>
      </c>
      <c r="AF82" s="281" t="str">
        <f>IFERROR(SMALL(AE82:$AE$100,ROWS($AE$4:AE82)),"")</f>
        <v/>
      </c>
      <c r="AG82" s="256" t="b">
        <f t="shared" si="7"/>
        <v>0</v>
      </c>
      <c r="AH82">
        <v>718</v>
      </c>
      <c r="AI82">
        <v>718</v>
      </c>
      <c r="AJ82" t="s">
        <v>1811</v>
      </c>
      <c r="AK82">
        <v>451</v>
      </c>
      <c r="AL82" t="s">
        <v>1811</v>
      </c>
    </row>
    <row r="83" spans="1:38" ht="12.75" x14ac:dyDescent="0.2">
      <c r="A83">
        <v>343</v>
      </c>
      <c r="B83" t="s">
        <v>1221</v>
      </c>
      <c r="C83" t="s">
        <v>1224</v>
      </c>
      <c r="D83">
        <v>21325</v>
      </c>
      <c r="E83" t="s">
        <v>61</v>
      </c>
      <c r="F83">
        <v>62</v>
      </c>
      <c r="G83" t="s">
        <v>1653</v>
      </c>
      <c r="H83" s="281">
        <f>ROWS($G$4:G83)</f>
        <v>80</v>
      </c>
      <c r="I83" s="281" t="str">
        <f>IF('School Level Expenditures'!$B$2=A83,'School Tables'!H83,"")</f>
        <v/>
      </c>
      <c r="J83" s="281" t="str">
        <f>IFERROR(SMALL($I$4:$I$325,ROWS($I$4:I83)),"")</f>
        <v/>
      </c>
      <c r="K83" s="256" t="b">
        <f t="shared" si="6"/>
        <v>0</v>
      </c>
      <c r="P83" s="257"/>
      <c r="Q83" s="257"/>
      <c r="R83" s="257"/>
      <c r="S83" s="256"/>
      <c r="T83" s="256"/>
      <c r="U83" s="256"/>
      <c r="V83" s="256"/>
      <c r="W83">
        <v>453</v>
      </c>
      <c r="X83" t="s">
        <v>1357</v>
      </c>
      <c r="Y83" t="s">
        <v>1359</v>
      </c>
      <c r="Z83">
        <v>21390</v>
      </c>
      <c r="AA83" t="s">
        <v>1518</v>
      </c>
      <c r="AB83">
        <v>33</v>
      </c>
      <c r="AC83" t="s">
        <v>1702</v>
      </c>
      <c r="AD83" s="281">
        <f>ROWS($AC$4:AC83)</f>
        <v>80</v>
      </c>
      <c r="AE83" s="281" t="str">
        <f>IF('School Level Expenditures'!$B$2='School Tables'!W83,'School Tables'!AD83,"")</f>
        <v/>
      </c>
      <c r="AF83" s="281" t="str">
        <f>IFERROR(SMALL(AE83:$AE$100,ROWS($AE$4:AE83)),"")</f>
        <v/>
      </c>
      <c r="AG83" s="256" t="b">
        <f t="shared" si="7"/>
        <v>0</v>
      </c>
      <c r="AH83">
        <v>247</v>
      </c>
      <c r="AI83">
        <v>247</v>
      </c>
      <c r="AJ83" t="s">
        <v>1090</v>
      </c>
      <c r="AK83">
        <v>103</v>
      </c>
      <c r="AL83" t="s">
        <v>1701</v>
      </c>
    </row>
    <row r="84" spans="1:38" ht="12.75" x14ac:dyDescent="0.2">
      <c r="A84">
        <v>165</v>
      </c>
      <c r="B84" t="s">
        <v>1009</v>
      </c>
      <c r="C84" t="s">
        <v>1010</v>
      </c>
      <c r="D84">
        <v>26510</v>
      </c>
      <c r="E84" t="s">
        <v>61</v>
      </c>
      <c r="F84">
        <v>14</v>
      </c>
      <c r="G84" t="s">
        <v>1674</v>
      </c>
      <c r="H84" s="281">
        <f>ROWS($G$4:G84)</f>
        <v>81</v>
      </c>
      <c r="I84" s="281" t="str">
        <f>IF('School Level Expenditures'!$B$2=A84,'School Tables'!H84,"")</f>
        <v/>
      </c>
      <c r="J84" s="281" t="str">
        <f>IFERROR(SMALL($I$4:$I$325,ROWS($I$4:I84)),"")</f>
        <v/>
      </c>
      <c r="K84" s="256" t="b">
        <f t="shared" si="6"/>
        <v>0</v>
      </c>
      <c r="P84" s="257"/>
      <c r="Q84" s="257"/>
      <c r="R84" s="257"/>
      <c r="S84" s="257"/>
      <c r="T84" s="257"/>
      <c r="U84" s="257"/>
      <c r="V84" s="257"/>
      <c r="W84">
        <v>457</v>
      </c>
      <c r="X84" t="s">
        <v>1597</v>
      </c>
      <c r="Y84" t="s">
        <v>1601</v>
      </c>
      <c r="Z84">
        <v>29197</v>
      </c>
      <c r="AA84" t="s">
        <v>1518</v>
      </c>
      <c r="AB84">
        <v>78</v>
      </c>
      <c r="AC84" t="s">
        <v>1726</v>
      </c>
      <c r="AD84" s="281">
        <f>ROWS($AC$4:AC84)</f>
        <v>81</v>
      </c>
      <c r="AE84" s="281" t="str">
        <f>IF('School Level Expenditures'!$B$2='School Tables'!W84,'School Tables'!AD84,"")</f>
        <v/>
      </c>
      <c r="AF84" s="281" t="str">
        <f>IFERROR(SMALL(AE84:$AE$100,ROWS($AE$4:AE84)),"")</f>
        <v/>
      </c>
      <c r="AG84" s="256" t="b">
        <f t="shared" si="7"/>
        <v>0</v>
      </c>
      <c r="AH84">
        <v>251</v>
      </c>
      <c r="AI84">
        <v>0</v>
      </c>
      <c r="AJ84" t="s">
        <v>1092</v>
      </c>
      <c r="AK84">
        <v>34</v>
      </c>
      <c r="AL84" t="s">
        <v>1695</v>
      </c>
    </row>
    <row r="85" spans="1:38" ht="12.75" x14ac:dyDescent="0.2">
      <c r="A85">
        <v>167</v>
      </c>
      <c r="B85" t="s">
        <v>1011</v>
      </c>
      <c r="C85" t="s">
        <v>1012</v>
      </c>
      <c r="D85">
        <v>22600</v>
      </c>
      <c r="E85" t="s">
        <v>61</v>
      </c>
      <c r="F85">
        <v>53</v>
      </c>
      <c r="G85" t="s">
        <v>1632</v>
      </c>
      <c r="H85" s="281">
        <f>ROWS($G$4:G85)</f>
        <v>82</v>
      </c>
      <c r="I85" s="281" t="str">
        <f>IF('School Level Expenditures'!$B$2=A85,'School Tables'!H85,"")</f>
        <v/>
      </c>
      <c r="J85" s="281" t="str">
        <f>IFERROR(SMALL($I$4:$I$325,ROWS($I$4:I85)),"")</f>
        <v/>
      </c>
      <c r="K85" s="256" t="b">
        <f t="shared" si="6"/>
        <v>0</v>
      </c>
      <c r="P85" s="256"/>
      <c r="Q85" s="256"/>
      <c r="R85" s="256"/>
      <c r="S85" s="257"/>
      <c r="T85" s="257"/>
      <c r="U85" s="257"/>
      <c r="V85" s="257"/>
      <c r="W85">
        <v>724</v>
      </c>
      <c r="X85" t="s">
        <v>1834</v>
      </c>
      <c r="Y85" t="s">
        <v>1834</v>
      </c>
      <c r="Z85">
        <v>29260</v>
      </c>
      <c r="AA85" t="s">
        <v>1518</v>
      </c>
      <c r="AB85">
        <v>454</v>
      </c>
      <c r="AC85" t="s">
        <v>1834</v>
      </c>
      <c r="AD85" s="281">
        <f>ROWS($AC$4:AC85)</f>
        <v>82</v>
      </c>
      <c r="AE85" s="281" t="str">
        <f>IF('School Level Expenditures'!$B$2='School Tables'!W85,'School Tables'!AD85,"")</f>
        <v/>
      </c>
      <c r="AF85" s="281" t="str">
        <f>IFERROR(SMALL(AE85:$AE$100,ROWS($AE$4:AE85)),"")</f>
        <v/>
      </c>
      <c r="AG85" s="256" t="b">
        <f t="shared" si="7"/>
        <v>0</v>
      </c>
      <c r="AH85">
        <v>255</v>
      </c>
      <c r="AI85">
        <v>255</v>
      </c>
      <c r="AJ85" t="s">
        <v>1096</v>
      </c>
      <c r="AK85">
        <v>92</v>
      </c>
      <c r="AL85" t="s">
        <v>1696</v>
      </c>
    </row>
    <row r="86" spans="1:38" ht="12.75" x14ac:dyDescent="0.2">
      <c r="A86">
        <v>131</v>
      </c>
      <c r="B86" t="s">
        <v>989</v>
      </c>
      <c r="C86" t="s">
        <v>991</v>
      </c>
      <c r="D86">
        <v>28465</v>
      </c>
      <c r="E86" t="s">
        <v>61</v>
      </c>
      <c r="F86">
        <v>10</v>
      </c>
      <c r="G86" t="s">
        <v>1667</v>
      </c>
      <c r="H86" s="281">
        <f>ROWS($G$4:G86)</f>
        <v>83</v>
      </c>
      <c r="I86" s="281" t="str">
        <f>IF('School Level Expenditures'!$B$2=A86,'School Tables'!H86,"")</f>
        <v/>
      </c>
      <c r="J86" s="281" t="str">
        <f>IFERROR(SMALL($I$4:$I$325,ROWS($I$4:I86)),"")</f>
        <v/>
      </c>
      <c r="K86" s="256" t="b">
        <f t="shared" si="6"/>
        <v>0</v>
      </c>
      <c r="P86" s="256"/>
      <c r="Q86" s="256"/>
      <c r="R86" s="256"/>
      <c r="S86" s="256"/>
      <c r="T86" s="256"/>
      <c r="U86" s="256"/>
      <c r="V86" s="256"/>
      <c r="W86">
        <v>737</v>
      </c>
      <c r="X86" t="s">
        <v>1506</v>
      </c>
      <c r="Y86" t="s">
        <v>1835</v>
      </c>
      <c r="Z86">
        <v>29256</v>
      </c>
      <c r="AA86" t="s">
        <v>1518</v>
      </c>
      <c r="AB86">
        <v>420</v>
      </c>
      <c r="AC86" t="s">
        <v>1506</v>
      </c>
      <c r="AD86" s="281">
        <f>ROWS($AC$4:AC86)</f>
        <v>83</v>
      </c>
      <c r="AE86" s="281" t="str">
        <f>IF('School Level Expenditures'!$B$2='School Tables'!W86,'School Tables'!AD86,"")</f>
        <v/>
      </c>
      <c r="AF86" s="281" t="str">
        <f>IFERROR(SMALL(AE86:$AE$100,ROWS($AE$4:AE86)),"")</f>
        <v/>
      </c>
      <c r="AG86" s="256" t="b">
        <f t="shared" ref="AG86:AG103" si="8">Y87=Y88</f>
        <v>0</v>
      </c>
      <c r="AH86">
        <v>257</v>
      </c>
      <c r="AI86">
        <v>257</v>
      </c>
      <c r="AJ86" t="s">
        <v>1100</v>
      </c>
      <c r="AK86">
        <v>48</v>
      </c>
      <c r="AL86" t="s">
        <v>1652</v>
      </c>
    </row>
    <row r="87" spans="1:38" ht="12.75" x14ac:dyDescent="0.2">
      <c r="A87">
        <v>171</v>
      </c>
      <c r="B87" t="s">
        <v>1013</v>
      </c>
      <c r="C87" t="s">
        <v>1014</v>
      </c>
      <c r="D87">
        <v>20735</v>
      </c>
      <c r="E87" t="s">
        <v>61</v>
      </c>
      <c r="F87">
        <v>20</v>
      </c>
      <c r="G87" t="s">
        <v>1671</v>
      </c>
      <c r="H87" s="281">
        <f>ROWS($G$4:G87)</f>
        <v>84</v>
      </c>
      <c r="I87" s="281" t="str">
        <f>IF('School Level Expenditures'!$B$2=A87,'School Tables'!H87,"")</f>
        <v/>
      </c>
      <c r="J87" s="281" t="str">
        <f>IFERROR(SMALL($I$4:$I$325,ROWS($I$4:I87)),"")</f>
        <v/>
      </c>
      <c r="K87" s="256" t="b">
        <f t="shared" si="6"/>
        <v>0</v>
      </c>
      <c r="P87" s="257"/>
      <c r="Q87" s="257"/>
      <c r="R87" s="257"/>
      <c r="S87" s="256"/>
      <c r="T87" s="256"/>
      <c r="U87" s="256"/>
      <c r="V87" s="256"/>
      <c r="W87">
        <v>473</v>
      </c>
      <c r="X87" t="s">
        <v>1380</v>
      </c>
      <c r="Y87" t="s">
        <v>1385</v>
      </c>
      <c r="Z87">
        <v>22880</v>
      </c>
      <c r="AA87" t="s">
        <v>1518</v>
      </c>
      <c r="AB87">
        <v>57</v>
      </c>
      <c r="AC87" t="s">
        <v>1669</v>
      </c>
      <c r="AD87" s="281">
        <f>ROWS($AC$4:AC87)</f>
        <v>84</v>
      </c>
      <c r="AE87" s="281" t="str">
        <f>IF('School Level Expenditures'!$B$2='School Tables'!W87,'School Tables'!AD87,"")</f>
        <v/>
      </c>
      <c r="AF87" s="281" t="str">
        <f>IFERROR(SMALL(AE87:$AE$100,ROWS($AE$4:AE87)),"")</f>
        <v/>
      </c>
      <c r="AG87" s="256" t="b">
        <f t="shared" si="8"/>
        <v>0</v>
      </c>
      <c r="AH87">
        <v>259</v>
      </c>
      <c r="AI87">
        <v>259</v>
      </c>
      <c r="AJ87" t="s">
        <v>1102</v>
      </c>
      <c r="AK87">
        <v>41</v>
      </c>
      <c r="AL87" t="s">
        <v>1654</v>
      </c>
    </row>
    <row r="88" spans="1:38" ht="12.75" x14ac:dyDescent="0.2">
      <c r="A88">
        <v>371</v>
      </c>
      <c r="B88" t="s">
        <v>1268</v>
      </c>
      <c r="C88" t="s">
        <v>1271</v>
      </c>
      <c r="D88">
        <v>21840</v>
      </c>
      <c r="E88" t="s">
        <v>61</v>
      </c>
      <c r="F88">
        <v>42</v>
      </c>
      <c r="G88" t="s">
        <v>1634</v>
      </c>
      <c r="H88" s="281">
        <f>ROWS($G$4:G88)</f>
        <v>85</v>
      </c>
      <c r="I88" s="281" t="str">
        <f>IF('School Level Expenditures'!$B$2=A88,'School Tables'!H88,"")</f>
        <v/>
      </c>
      <c r="J88" s="281" t="str">
        <f>IFERROR(SMALL($I$4:$I$325,ROWS($I$4:I88)),"")</f>
        <v/>
      </c>
      <c r="K88" s="256" t="b">
        <f t="shared" si="6"/>
        <v>0</v>
      </c>
      <c r="P88" s="256"/>
      <c r="Q88" s="256"/>
      <c r="R88" s="256"/>
      <c r="S88" s="257"/>
      <c r="T88" s="257"/>
      <c r="U88" s="257"/>
      <c r="V88" s="257"/>
      <c r="W88">
        <v>476</v>
      </c>
      <c r="X88" t="s">
        <v>1388</v>
      </c>
      <c r="Y88" t="s">
        <v>1389</v>
      </c>
      <c r="Z88">
        <v>20620</v>
      </c>
      <c r="AA88" t="s">
        <v>1518</v>
      </c>
      <c r="AB88">
        <v>17</v>
      </c>
      <c r="AC88" t="s">
        <v>1666</v>
      </c>
      <c r="AD88" s="281">
        <f>ROWS($AC$4:AC88)</f>
        <v>85</v>
      </c>
      <c r="AE88" s="281" t="str">
        <f>IF('School Level Expenditures'!$B$2='School Tables'!W88,'School Tables'!AD88,"")</f>
        <v/>
      </c>
      <c r="AF88" s="281" t="str">
        <f>IFERROR(SMALL(AE88:$AE$100,ROWS($AE$4:AE88)),"")</f>
        <v/>
      </c>
      <c r="AG88" s="256" t="b">
        <f t="shared" si="8"/>
        <v>0</v>
      </c>
      <c r="AH88">
        <v>260</v>
      </c>
      <c r="AI88">
        <v>0</v>
      </c>
      <c r="AJ88" t="s">
        <v>1105</v>
      </c>
      <c r="AK88">
        <v>41</v>
      </c>
      <c r="AL88" t="s">
        <v>1654</v>
      </c>
    </row>
    <row r="89" spans="1:38" ht="12.75" x14ac:dyDescent="0.2">
      <c r="A89">
        <v>174</v>
      </c>
      <c r="B89" t="s">
        <v>1021</v>
      </c>
      <c r="C89" t="s">
        <v>1538</v>
      </c>
      <c r="D89">
        <v>27395</v>
      </c>
      <c r="E89" t="s">
        <v>61</v>
      </c>
      <c r="F89">
        <v>60</v>
      </c>
      <c r="G89" t="s">
        <v>1630</v>
      </c>
      <c r="H89" s="281">
        <f>ROWS($G$4:G89)</f>
        <v>86</v>
      </c>
      <c r="I89" s="281" t="str">
        <f>IF('School Level Expenditures'!$B$2=A89,'School Tables'!H89,"")</f>
        <v/>
      </c>
      <c r="J89" s="281" t="str">
        <f>IFERROR(SMALL($I$4:$I$325,ROWS($I$4:I89)),"")</f>
        <v/>
      </c>
      <c r="K89" s="256" t="b">
        <f t="shared" si="6"/>
        <v>0</v>
      </c>
      <c r="P89" s="257"/>
      <c r="Q89" s="257"/>
      <c r="R89" s="257"/>
      <c r="S89" s="256"/>
      <c r="T89" s="256"/>
      <c r="U89" s="256"/>
      <c r="V89" s="256"/>
      <c r="W89">
        <v>491</v>
      </c>
      <c r="X89" t="s">
        <v>1400</v>
      </c>
      <c r="Y89" t="s">
        <v>1402</v>
      </c>
      <c r="Z89">
        <v>22845</v>
      </c>
      <c r="AA89" t="s">
        <v>1518</v>
      </c>
      <c r="AB89">
        <v>56</v>
      </c>
      <c r="AC89" t="s">
        <v>1697</v>
      </c>
      <c r="AD89" s="281">
        <f>ROWS($AC$4:AC89)</f>
        <v>86</v>
      </c>
      <c r="AE89" s="281" t="str">
        <f>IF('School Level Expenditures'!$B$2='School Tables'!W89,'School Tables'!AD89,"")</f>
        <v/>
      </c>
      <c r="AF89" s="281" t="str">
        <f>IFERROR(SMALL(AE89:$AE$100,ROWS($AE$4:AE89)),"")</f>
        <v/>
      </c>
      <c r="AG89" s="256" t="b">
        <f t="shared" si="8"/>
        <v>0</v>
      </c>
      <c r="AH89">
        <v>261</v>
      </c>
      <c r="AI89">
        <v>261</v>
      </c>
      <c r="AJ89" t="s">
        <v>1108</v>
      </c>
      <c r="AK89">
        <v>15</v>
      </c>
      <c r="AL89" t="s">
        <v>1639</v>
      </c>
    </row>
    <row r="90" spans="1:38" ht="12.75" x14ac:dyDescent="0.2">
      <c r="A90">
        <v>572</v>
      </c>
      <c r="B90" t="s">
        <v>1457</v>
      </c>
      <c r="C90" t="s">
        <v>1459</v>
      </c>
      <c r="D90">
        <v>23060</v>
      </c>
      <c r="E90" t="s">
        <v>61</v>
      </c>
      <c r="F90">
        <v>63</v>
      </c>
      <c r="G90" t="s">
        <v>1675</v>
      </c>
      <c r="H90" s="281">
        <f>ROWS($G$4:G90)</f>
        <v>87</v>
      </c>
      <c r="I90" s="281" t="str">
        <f>IF('School Level Expenditures'!$B$2=A90,'School Tables'!H90,"")</f>
        <v/>
      </c>
      <c r="J90" s="281" t="str">
        <f>IFERROR(SMALL($I$4:$I$325,ROWS($I$4:I90)),"")</f>
        <v/>
      </c>
      <c r="K90" s="256" t="b">
        <f t="shared" si="6"/>
        <v>0</v>
      </c>
      <c r="P90" s="256"/>
      <c r="Q90" s="256"/>
      <c r="R90" s="256"/>
      <c r="S90" s="257"/>
      <c r="T90" s="257"/>
      <c r="U90" s="257"/>
      <c r="V90" s="257"/>
      <c r="W90">
        <v>493</v>
      </c>
      <c r="X90" t="s">
        <v>1405</v>
      </c>
      <c r="Y90" t="s">
        <v>1406</v>
      </c>
      <c r="Z90">
        <v>26860</v>
      </c>
      <c r="AA90" t="s">
        <v>1518</v>
      </c>
      <c r="AB90">
        <v>39</v>
      </c>
      <c r="AC90" t="s">
        <v>1660</v>
      </c>
      <c r="AD90" s="281">
        <f>ROWS($AC$4:AC90)</f>
        <v>87</v>
      </c>
      <c r="AE90" s="281" t="str">
        <f>IF('School Level Expenditures'!$B$2='School Tables'!W90,'School Tables'!AD90,"")</f>
        <v/>
      </c>
      <c r="AF90" s="281" t="str">
        <f>IFERROR(SMALL(AE90:$AE$100,ROWS($AE$4:AE90)),"")</f>
        <v/>
      </c>
      <c r="AG90" s="256" t="b">
        <f t="shared" si="8"/>
        <v>0</v>
      </c>
      <c r="AH90">
        <v>263</v>
      </c>
      <c r="AI90">
        <v>263</v>
      </c>
      <c r="AJ90" t="s">
        <v>1112</v>
      </c>
      <c r="AK90">
        <v>66</v>
      </c>
      <c r="AL90" t="s">
        <v>1691</v>
      </c>
    </row>
    <row r="91" spans="1:38" ht="12.75" x14ac:dyDescent="0.2">
      <c r="A91">
        <v>142</v>
      </c>
      <c r="B91" t="s">
        <v>1002</v>
      </c>
      <c r="C91" t="s">
        <v>1004</v>
      </c>
      <c r="D91">
        <v>20825</v>
      </c>
      <c r="E91" t="s">
        <v>61</v>
      </c>
      <c r="F91">
        <v>70</v>
      </c>
      <c r="G91" t="s">
        <v>1647</v>
      </c>
      <c r="H91" s="281">
        <f>ROWS($G$4:G91)</f>
        <v>88</v>
      </c>
      <c r="I91" s="281" t="str">
        <f>IF('School Level Expenditures'!$B$2=A91,'School Tables'!H91,"")</f>
        <v/>
      </c>
      <c r="J91" s="281" t="str">
        <f>IFERROR(SMALL($I$4:$I$325,ROWS($I$4:I91)),"")</f>
        <v/>
      </c>
      <c r="K91" s="256" t="b">
        <f t="shared" si="6"/>
        <v>0</v>
      </c>
      <c r="P91" s="256"/>
      <c r="Q91" s="256"/>
      <c r="R91" s="256"/>
      <c r="S91" s="256"/>
      <c r="T91" s="256"/>
      <c r="U91" s="256"/>
      <c r="V91" s="256"/>
      <c r="W91">
        <v>714</v>
      </c>
      <c r="X91" t="s">
        <v>1590</v>
      </c>
      <c r="Y91" t="s">
        <v>1591</v>
      </c>
      <c r="Z91">
        <v>29221</v>
      </c>
      <c r="AA91" t="s">
        <v>1518</v>
      </c>
      <c r="AB91">
        <v>437</v>
      </c>
      <c r="AC91" t="s">
        <v>1590</v>
      </c>
      <c r="AD91" s="281">
        <f>ROWS($AC$4:AC91)</f>
        <v>88</v>
      </c>
      <c r="AE91" s="281" t="str">
        <f>IF('School Level Expenditures'!$B$2='School Tables'!W91,'School Tables'!AD91,"")</f>
        <v/>
      </c>
      <c r="AF91" s="281" t="str">
        <f>IFERROR(SMALL(AE91:$AE$100,ROWS($AE$4:AE91)),"")</f>
        <v/>
      </c>
      <c r="AG91" s="256" t="b">
        <f t="shared" si="8"/>
        <v>0</v>
      </c>
      <c r="AH91">
        <v>267</v>
      </c>
      <c r="AI91">
        <v>267</v>
      </c>
      <c r="AJ91" t="s">
        <v>1117</v>
      </c>
      <c r="AK91">
        <v>81</v>
      </c>
      <c r="AL91" t="s">
        <v>1668</v>
      </c>
    </row>
    <row r="92" spans="1:38" ht="12.75" x14ac:dyDescent="0.2">
      <c r="A92">
        <v>141</v>
      </c>
      <c r="B92" t="s">
        <v>997</v>
      </c>
      <c r="C92" t="s">
        <v>1809</v>
      </c>
      <c r="D92">
        <v>20445</v>
      </c>
      <c r="E92" t="s">
        <v>61</v>
      </c>
      <c r="F92">
        <v>11</v>
      </c>
      <c r="G92" t="s">
        <v>1678</v>
      </c>
      <c r="H92" s="281">
        <f>ROWS($G$4:G92)</f>
        <v>89</v>
      </c>
      <c r="I92" s="281" t="str">
        <f>IF('School Level Expenditures'!$B$2=A92,'School Tables'!H92,"")</f>
        <v/>
      </c>
      <c r="J92" s="281" t="str">
        <f>IFERROR(SMALL($I$4:$I$325,ROWS($I$4:I92)),"")</f>
        <v/>
      </c>
      <c r="K92" s="256" t="b">
        <f t="shared" si="6"/>
        <v>0</v>
      </c>
      <c r="P92" s="256"/>
      <c r="Q92" s="256"/>
      <c r="R92" s="256"/>
      <c r="S92" s="256"/>
      <c r="T92" s="256"/>
      <c r="U92" s="256"/>
      <c r="V92" s="256"/>
      <c r="W92">
        <v>461</v>
      </c>
      <c r="X92" t="s">
        <v>1361</v>
      </c>
      <c r="Y92" t="s">
        <v>1368</v>
      </c>
      <c r="Z92">
        <v>22700</v>
      </c>
      <c r="AA92" t="s">
        <v>1518</v>
      </c>
      <c r="AB92">
        <v>54</v>
      </c>
      <c r="AC92" t="s">
        <v>1657</v>
      </c>
      <c r="AD92" s="281">
        <f>ROWS($AC$4:AC92)</f>
        <v>89</v>
      </c>
      <c r="AE92" s="281" t="str">
        <f>IF('School Level Expenditures'!$B$2='School Tables'!W92,'School Tables'!AD92,"")</f>
        <v/>
      </c>
      <c r="AF92" s="281" t="str">
        <f>IFERROR(SMALL(AE92:$AE$100,ROWS($AE$4:AE92)),"")</f>
        <v/>
      </c>
      <c r="AG92" s="256" t="b">
        <f t="shared" si="8"/>
        <v>0</v>
      </c>
      <c r="AH92">
        <v>269</v>
      </c>
      <c r="AI92">
        <v>0</v>
      </c>
      <c r="AJ92" t="s">
        <v>1123</v>
      </c>
      <c r="AK92">
        <v>2</v>
      </c>
      <c r="AL92" t="s">
        <v>1637</v>
      </c>
    </row>
    <row r="93" spans="1:38" ht="12.75" x14ac:dyDescent="0.2">
      <c r="A93">
        <v>112</v>
      </c>
      <c r="B93" t="s">
        <v>966</v>
      </c>
      <c r="C93" t="s">
        <v>971</v>
      </c>
      <c r="D93">
        <v>22245</v>
      </c>
      <c r="E93" t="s">
        <v>61</v>
      </c>
      <c r="F93">
        <v>1</v>
      </c>
      <c r="G93" t="s">
        <v>1636</v>
      </c>
      <c r="H93" s="281">
        <f>ROWS($G$4:G93)</f>
        <v>90</v>
      </c>
      <c r="I93" s="281" t="str">
        <f>IF('School Level Expenditures'!$B$2=A93,'School Tables'!H93,"")</f>
        <v/>
      </c>
      <c r="J93" s="281" t="str">
        <f>IFERROR(SMALL($I$4:$I$325,ROWS($I$4:I93)),"")</f>
        <v/>
      </c>
      <c r="K93" s="256" t="b">
        <f t="shared" si="6"/>
        <v>0</v>
      </c>
      <c r="P93" s="257"/>
      <c r="Q93" s="257"/>
      <c r="R93" s="257"/>
      <c r="S93" s="256"/>
      <c r="T93" s="256"/>
      <c r="U93" s="256"/>
      <c r="V93" s="256"/>
      <c r="W93">
        <v>101</v>
      </c>
      <c r="X93" t="s">
        <v>952</v>
      </c>
      <c r="Y93" t="s">
        <v>954</v>
      </c>
      <c r="Z93">
        <v>20140</v>
      </c>
      <c r="AA93" t="s">
        <v>1518</v>
      </c>
      <c r="AB93">
        <v>6</v>
      </c>
      <c r="AC93" t="s">
        <v>1649</v>
      </c>
      <c r="AD93" s="281">
        <f>ROWS($AC$4:AC93)</f>
        <v>90</v>
      </c>
      <c r="AE93" s="281" t="str">
        <f>IF('School Level Expenditures'!$B$2='School Tables'!W93,'School Tables'!AD93,"")</f>
        <v/>
      </c>
      <c r="AF93" s="281" t="str">
        <f>IFERROR(SMALL(AE93:$AE$100,ROWS($AE$4:AE93)),"")</f>
        <v/>
      </c>
      <c r="AG93" s="256" t="b">
        <f t="shared" si="8"/>
        <v>0</v>
      </c>
      <c r="AH93">
        <v>271</v>
      </c>
      <c r="AI93">
        <v>271</v>
      </c>
      <c r="AJ93" t="s">
        <v>1128</v>
      </c>
      <c r="AK93">
        <v>9</v>
      </c>
      <c r="AL93" t="s">
        <v>1662</v>
      </c>
    </row>
    <row r="94" spans="1:38" ht="12.75" x14ac:dyDescent="0.2">
      <c r="A94">
        <v>279</v>
      </c>
      <c r="B94" t="s">
        <v>1142</v>
      </c>
      <c r="C94" t="s">
        <v>1146</v>
      </c>
      <c r="D94">
        <v>21190</v>
      </c>
      <c r="E94" t="s">
        <v>61</v>
      </c>
      <c r="F94">
        <v>29</v>
      </c>
      <c r="G94" t="s">
        <v>1659</v>
      </c>
      <c r="H94" s="281">
        <f>ROWS($G$4:G94)</f>
        <v>91</v>
      </c>
      <c r="I94" s="281" t="str">
        <f>IF('School Level Expenditures'!$B$2=A94,'School Tables'!H94,"")</f>
        <v/>
      </c>
      <c r="J94" s="281" t="str">
        <f>IFERROR(SMALL($I$4:$I$325,ROWS($I$4:I94)),"")</f>
        <v/>
      </c>
      <c r="K94" s="256" t="b">
        <f t="shared" si="6"/>
        <v>0</v>
      </c>
      <c r="P94" s="256"/>
      <c r="Q94" s="256"/>
      <c r="R94" s="256"/>
      <c r="S94" s="257"/>
      <c r="T94" s="257"/>
      <c r="U94" s="257"/>
      <c r="V94" s="257"/>
      <c r="W94">
        <v>515</v>
      </c>
      <c r="X94" t="s">
        <v>1421</v>
      </c>
      <c r="Y94" t="s">
        <v>1422</v>
      </c>
      <c r="Z94">
        <v>22000</v>
      </c>
      <c r="AA94" t="s">
        <v>1518</v>
      </c>
      <c r="AB94">
        <v>85</v>
      </c>
      <c r="AC94" t="s">
        <v>1730</v>
      </c>
      <c r="AD94" s="281">
        <f>ROWS($AC$4:AC94)</f>
        <v>91</v>
      </c>
      <c r="AE94" s="281" t="str">
        <f>IF('School Level Expenditures'!$B$2='School Tables'!W94,'School Tables'!AD94,"")</f>
        <v/>
      </c>
      <c r="AF94" s="281" t="str">
        <f>IFERROR(SMALL(AE94:$AE$100,ROWS($AE$4:AE94)),"")</f>
        <v/>
      </c>
      <c r="AG94" s="256" t="b">
        <f t="shared" si="8"/>
        <v>0</v>
      </c>
      <c r="AH94">
        <v>274</v>
      </c>
      <c r="AI94">
        <v>0</v>
      </c>
      <c r="AJ94" t="s">
        <v>1130</v>
      </c>
      <c r="AK94">
        <v>47</v>
      </c>
      <c r="AL94" t="s">
        <v>1698</v>
      </c>
    </row>
    <row r="95" spans="1:38" ht="12.75" x14ac:dyDescent="0.2">
      <c r="A95">
        <v>185</v>
      </c>
      <c r="B95" t="s">
        <v>1037</v>
      </c>
      <c r="C95" t="s">
        <v>1040</v>
      </c>
      <c r="D95">
        <v>26755</v>
      </c>
      <c r="E95" t="s">
        <v>61</v>
      </c>
      <c r="F95">
        <v>18</v>
      </c>
      <c r="G95" t="s">
        <v>1676</v>
      </c>
      <c r="H95" s="281">
        <f>ROWS($G$4:G95)</f>
        <v>92</v>
      </c>
      <c r="I95" s="281" t="str">
        <f>IF('School Level Expenditures'!$B$2=A95,'School Tables'!H95,"")</f>
        <v/>
      </c>
      <c r="J95" s="281" t="str">
        <f>IFERROR(SMALL($I$4:$I$325,ROWS($I$4:I95)),"")</f>
        <v/>
      </c>
      <c r="K95" s="256" t="b">
        <f t="shared" si="6"/>
        <v>0</v>
      </c>
      <c r="P95" s="257"/>
      <c r="Q95" s="257"/>
      <c r="R95" s="257"/>
      <c r="S95" s="256"/>
      <c r="T95" s="256"/>
      <c r="U95" s="256"/>
      <c r="V95" s="256"/>
      <c r="W95">
        <v>741</v>
      </c>
      <c r="X95" t="s">
        <v>1508</v>
      </c>
      <c r="Y95" t="s">
        <v>1509</v>
      </c>
      <c r="Z95">
        <v>29149</v>
      </c>
      <c r="AA95" t="s">
        <v>1518</v>
      </c>
      <c r="AB95">
        <v>423</v>
      </c>
      <c r="AC95" t="s">
        <v>1508</v>
      </c>
      <c r="AD95" s="281">
        <f>ROWS($AC$4:AC95)</f>
        <v>92</v>
      </c>
      <c r="AE95" s="281" t="str">
        <f>IF('School Level Expenditures'!$B$2='School Tables'!W95,'School Tables'!AD95,"")</f>
        <v/>
      </c>
      <c r="AF95" s="281" t="str">
        <f>IFERROR(SMALL(AE95:$AE$100,ROWS($AE$4:AE95)),"")</f>
        <v/>
      </c>
      <c r="AG95" s="256" t="b">
        <f t="shared" si="8"/>
        <v>0</v>
      </c>
      <c r="AH95">
        <v>275</v>
      </c>
      <c r="AI95">
        <v>0</v>
      </c>
      <c r="AJ95" t="s">
        <v>1133</v>
      </c>
      <c r="AK95">
        <v>24</v>
      </c>
      <c r="AL95" t="s">
        <v>1656</v>
      </c>
    </row>
    <row r="96" spans="1:38" ht="12.75" x14ac:dyDescent="0.2">
      <c r="A96">
        <v>371</v>
      </c>
      <c r="B96" t="s">
        <v>1268</v>
      </c>
      <c r="C96" t="s">
        <v>1810</v>
      </c>
      <c r="D96">
        <v>29242</v>
      </c>
      <c r="E96" t="s">
        <v>61</v>
      </c>
      <c r="F96">
        <v>42</v>
      </c>
      <c r="G96" t="s">
        <v>1634</v>
      </c>
      <c r="H96" s="281">
        <f>ROWS($G$4:G96)</f>
        <v>93</v>
      </c>
      <c r="I96" s="281" t="str">
        <f>IF('School Level Expenditures'!$B$2=A96,'School Tables'!H96,"")</f>
        <v/>
      </c>
      <c r="J96" s="281" t="str">
        <f>IFERROR(SMALL($I$4:$I$325,ROWS($I$4:I96)),"")</f>
        <v/>
      </c>
      <c r="K96" s="256" t="b">
        <f t="shared" si="6"/>
        <v>0</v>
      </c>
      <c r="P96" s="256"/>
      <c r="Q96" s="256"/>
      <c r="R96" s="256"/>
      <c r="S96" s="257"/>
      <c r="T96" s="257"/>
      <c r="U96" s="257"/>
      <c r="V96" s="257"/>
      <c r="W96">
        <v>534</v>
      </c>
      <c r="X96" t="s">
        <v>1428</v>
      </c>
      <c r="Y96" t="s">
        <v>1434</v>
      </c>
      <c r="Z96">
        <v>22770</v>
      </c>
      <c r="AA96" t="s">
        <v>1518</v>
      </c>
      <c r="AB96">
        <v>106</v>
      </c>
      <c r="AC96" t="s">
        <v>1638</v>
      </c>
      <c r="AD96" s="281">
        <f>ROWS($AC$4:AC96)</f>
        <v>93</v>
      </c>
      <c r="AE96" s="281" t="str">
        <f>IF('School Level Expenditures'!$B$2='School Tables'!W96,'School Tables'!AD96,"")</f>
        <v/>
      </c>
      <c r="AF96" s="281" t="str">
        <f>IFERROR(SMALL(AE96:$AE$100,ROWS($AE$4:AE96)),"")</f>
        <v/>
      </c>
      <c r="AG96" s="256" t="b">
        <f t="shared" si="8"/>
        <v>0</v>
      </c>
      <c r="AH96">
        <v>276</v>
      </c>
      <c r="AI96">
        <v>0</v>
      </c>
      <c r="AJ96" t="s">
        <v>1135</v>
      </c>
      <c r="AK96">
        <v>65</v>
      </c>
      <c r="AL96" t="s">
        <v>1699</v>
      </c>
    </row>
    <row r="97" spans="1:38" ht="12.75" x14ac:dyDescent="0.2">
      <c r="A97">
        <v>261</v>
      </c>
      <c r="B97" t="s">
        <v>1108</v>
      </c>
      <c r="C97" t="s">
        <v>1110</v>
      </c>
      <c r="D97">
        <v>20550</v>
      </c>
      <c r="E97" t="s">
        <v>61</v>
      </c>
      <c r="F97">
        <v>15</v>
      </c>
      <c r="G97" t="s">
        <v>1639</v>
      </c>
      <c r="H97" s="281">
        <f>ROWS($G$4:G97)</f>
        <v>94</v>
      </c>
      <c r="I97" s="281" t="str">
        <f>IF('School Level Expenditures'!$B$2=A97,'School Tables'!H97,"")</f>
        <v/>
      </c>
      <c r="J97" s="281" t="str">
        <f>IFERROR(SMALL($I$4:$I$325,ROWS($I$4:I97)),"")</f>
        <v/>
      </c>
      <c r="K97" s="256" t="b">
        <f t="shared" si="6"/>
        <v>0</v>
      </c>
      <c r="P97" s="257"/>
      <c r="Q97" s="257"/>
      <c r="R97" s="257"/>
      <c r="S97" s="256"/>
      <c r="T97" s="256"/>
      <c r="U97" s="256"/>
      <c r="V97" s="256"/>
      <c r="W97">
        <v>727</v>
      </c>
      <c r="X97" t="s">
        <v>1497</v>
      </c>
      <c r="Y97" t="s">
        <v>1499</v>
      </c>
      <c r="Z97">
        <v>28605</v>
      </c>
      <c r="AA97" t="s">
        <v>1518</v>
      </c>
      <c r="AB97">
        <v>412</v>
      </c>
      <c r="AC97" t="s">
        <v>1497</v>
      </c>
      <c r="AD97" s="281">
        <f>ROWS($AC$4:AC97)</f>
        <v>94</v>
      </c>
      <c r="AE97" s="281" t="str">
        <f>IF('School Level Expenditures'!$B$2='School Tables'!W97,'School Tables'!AD97,"")</f>
        <v/>
      </c>
      <c r="AF97" s="281" t="str">
        <f>IFERROR(SMALL(AE97:$AE$100,ROWS($AE$4:AE97)),"")</f>
        <v/>
      </c>
      <c r="AG97" s="256" t="b">
        <f t="shared" si="8"/>
        <v>0</v>
      </c>
      <c r="AH97">
        <v>279</v>
      </c>
      <c r="AI97">
        <v>279</v>
      </c>
      <c r="AJ97" t="s">
        <v>1142</v>
      </c>
      <c r="AK97">
        <v>29</v>
      </c>
      <c r="AL97" t="s">
        <v>1659</v>
      </c>
    </row>
    <row r="98" spans="1:38" ht="12.75" x14ac:dyDescent="0.2">
      <c r="A98">
        <v>187</v>
      </c>
      <c r="B98" t="s">
        <v>1041</v>
      </c>
      <c r="C98" t="s">
        <v>1042</v>
      </c>
      <c r="D98">
        <v>20350</v>
      </c>
      <c r="E98" t="s">
        <v>61</v>
      </c>
      <c r="F98">
        <v>13</v>
      </c>
      <c r="G98" t="s">
        <v>1677</v>
      </c>
      <c r="H98" s="281">
        <f>ROWS($G$4:G98)</f>
        <v>95</v>
      </c>
      <c r="I98" s="281" t="str">
        <f>IF('School Level Expenditures'!$B$2=A98,'School Tables'!H98,"")</f>
        <v/>
      </c>
      <c r="J98" s="281" t="str">
        <f>IFERROR(SMALL($I$4:$I$325,ROWS($I$4:I98)),"")</f>
        <v/>
      </c>
      <c r="K98" s="256" t="b">
        <f t="shared" si="6"/>
        <v>0</v>
      </c>
      <c r="P98" s="256"/>
      <c r="Q98" s="256"/>
      <c r="R98" s="256"/>
      <c r="S98" s="257"/>
      <c r="T98" s="257"/>
      <c r="U98" s="257"/>
      <c r="V98" s="257"/>
      <c r="W98">
        <v>568</v>
      </c>
      <c r="X98" t="s">
        <v>1453</v>
      </c>
      <c r="Y98" t="s">
        <v>1456</v>
      </c>
      <c r="Z98">
        <v>21480</v>
      </c>
      <c r="AA98" t="s">
        <v>1518</v>
      </c>
      <c r="AB98">
        <v>36</v>
      </c>
      <c r="AC98" t="s">
        <v>1703</v>
      </c>
      <c r="AD98" s="281">
        <f>ROWS($AC$4:AC98)</f>
        <v>95</v>
      </c>
      <c r="AE98" s="281" t="str">
        <f>IF('School Level Expenditures'!$B$2='School Tables'!W98,'School Tables'!AD98,"")</f>
        <v/>
      </c>
      <c r="AF98" s="281" t="str">
        <f>IFERROR(SMALL(AE98:$AE$100,ROWS($AE$4:AE98)),"")</f>
        <v/>
      </c>
      <c r="AG98" s="256" t="b">
        <f t="shared" si="8"/>
        <v>0</v>
      </c>
      <c r="AH98">
        <v>281</v>
      </c>
      <c r="AI98">
        <v>281</v>
      </c>
      <c r="AJ98" t="s">
        <v>1149</v>
      </c>
      <c r="AK98">
        <v>16</v>
      </c>
      <c r="AL98" t="s">
        <v>1670</v>
      </c>
    </row>
    <row r="99" spans="1:38" ht="76.5" x14ac:dyDescent="0.2">
      <c r="A99">
        <v>279</v>
      </c>
      <c r="B99" t="s">
        <v>1142</v>
      </c>
      <c r="C99" t="s">
        <v>1143</v>
      </c>
      <c r="D99">
        <v>21165</v>
      </c>
      <c r="E99" t="s">
        <v>61</v>
      </c>
      <c r="F99">
        <v>29</v>
      </c>
      <c r="G99" t="s">
        <v>1659</v>
      </c>
      <c r="H99" s="281">
        <f>ROWS($G$4:G99)</f>
        <v>96</v>
      </c>
      <c r="I99" s="281" t="str">
        <f>IF('School Level Expenditures'!$B$2=A99,'School Tables'!H99,"")</f>
        <v/>
      </c>
      <c r="J99" s="281" t="str">
        <f>IFERROR(SMALL($I$4:$I$325,ROWS($I$4:I99)),"")</f>
        <v/>
      </c>
      <c r="K99" s="256" t="b">
        <f t="shared" si="6"/>
        <v>0</v>
      </c>
      <c r="P99" s="255"/>
      <c r="Q99" s="255"/>
      <c r="R99" s="255"/>
      <c r="S99" s="256"/>
      <c r="T99" s="256"/>
      <c r="U99" s="256"/>
      <c r="V99" s="256"/>
      <c r="W99">
        <v>572</v>
      </c>
      <c r="X99" t="s">
        <v>1457</v>
      </c>
      <c r="Y99" t="s">
        <v>1460</v>
      </c>
      <c r="Z99">
        <v>23070</v>
      </c>
      <c r="AA99" t="s">
        <v>1518</v>
      </c>
      <c r="AB99">
        <v>63</v>
      </c>
      <c r="AC99" t="s">
        <v>1675</v>
      </c>
      <c r="AD99" s="281">
        <f>ROWS($AC$4:AC99)</f>
        <v>96</v>
      </c>
      <c r="AE99" s="281" t="str">
        <f>IF('School Level Expenditures'!$B$2='School Tables'!W99,'School Tables'!AD99,"")</f>
        <v/>
      </c>
      <c r="AF99" s="281" t="str">
        <f>IFERROR(SMALL(AE99:$AE$100,ROWS($AE$4:AE99)),"")</f>
        <v/>
      </c>
      <c r="AG99" s="256" t="b">
        <f t="shared" si="8"/>
        <v>0</v>
      </c>
      <c r="AH99" s="282">
        <v>708</v>
      </c>
      <c r="AI99" s="282">
        <v>708</v>
      </c>
      <c r="AJ99" s="282" t="s">
        <v>1483</v>
      </c>
      <c r="AK99" s="282">
        <v>432</v>
      </c>
      <c r="AL99" s="282" t="s">
        <v>1483</v>
      </c>
    </row>
    <row r="100" spans="1:38" ht="12.75" x14ac:dyDescent="0.2">
      <c r="A100">
        <v>141</v>
      </c>
      <c r="B100" t="s">
        <v>997</v>
      </c>
      <c r="C100" t="s">
        <v>998</v>
      </c>
      <c r="D100">
        <v>20430</v>
      </c>
      <c r="E100" t="s">
        <v>61</v>
      </c>
      <c r="F100">
        <v>11</v>
      </c>
      <c r="G100" t="s">
        <v>1678</v>
      </c>
      <c r="H100" s="281">
        <f>ROWS($G$4:G100)</f>
        <v>97</v>
      </c>
      <c r="I100" s="281" t="str">
        <f>IF('School Level Expenditures'!$B$2=A100,'School Tables'!H100,"")</f>
        <v/>
      </c>
      <c r="J100" s="281" t="str">
        <f>IFERROR(SMALL($I$4:$I$325,ROWS($I$4:I100)),"")</f>
        <v/>
      </c>
      <c r="K100" s="256" t="b">
        <f t="shared" si="6"/>
        <v>0</v>
      </c>
      <c r="P100" s="255"/>
      <c r="Q100" s="255"/>
      <c r="R100" s="255"/>
      <c r="S100" s="255"/>
      <c r="T100" s="255"/>
      <c r="U100" s="255"/>
      <c r="V100" s="255"/>
      <c r="W100">
        <v>575</v>
      </c>
      <c r="X100" t="s">
        <v>1463</v>
      </c>
      <c r="Y100" t="s">
        <v>1467</v>
      </c>
      <c r="Z100">
        <v>28640</v>
      </c>
      <c r="AA100" t="s">
        <v>1518</v>
      </c>
      <c r="AB100">
        <v>95</v>
      </c>
      <c r="AC100" t="s">
        <v>1684</v>
      </c>
      <c r="AD100" s="281">
        <f>ROWS($AC$4:AC100)</f>
        <v>97</v>
      </c>
      <c r="AE100" s="281" t="str">
        <f>IF('School Level Expenditures'!$B$2='School Tables'!W100,'School Tables'!AD100,"")</f>
        <v/>
      </c>
      <c r="AF100" s="281" t="str">
        <f>IFERROR(SMALL(AE100:$AE$100,ROWS($AE$4:AE100)),"")</f>
        <v/>
      </c>
      <c r="AG100" s="256" t="b">
        <f t="shared" si="8"/>
        <v>0</v>
      </c>
      <c r="AH100">
        <v>285</v>
      </c>
      <c r="AI100">
        <v>285</v>
      </c>
      <c r="AJ100" t="s">
        <v>1151</v>
      </c>
      <c r="AK100">
        <v>30</v>
      </c>
      <c r="AL100" t="s">
        <v>1673</v>
      </c>
    </row>
    <row r="101" spans="1:38" ht="12.75" x14ac:dyDescent="0.2">
      <c r="A101">
        <v>742</v>
      </c>
      <c r="B101" t="s">
        <v>1511</v>
      </c>
      <c r="C101" t="s">
        <v>1512</v>
      </c>
      <c r="D101">
        <v>29151</v>
      </c>
      <c r="E101" t="s">
        <v>61</v>
      </c>
      <c r="F101">
        <v>425</v>
      </c>
      <c r="G101" t="s">
        <v>1511</v>
      </c>
      <c r="H101" s="281">
        <f>ROWS($G$4:G101)</f>
        <v>98</v>
      </c>
      <c r="I101" s="281" t="str">
        <f>IF('School Level Expenditures'!$B$2=A101,'School Tables'!H101,"")</f>
        <v/>
      </c>
      <c r="J101" s="281" t="str">
        <f>IFERROR(SMALL($I$4:$I$325,ROWS($I$4:I101)),"")</f>
        <v/>
      </c>
      <c r="K101" s="256" t="b">
        <f t="shared" si="6"/>
        <v>0</v>
      </c>
      <c r="P101" s="255"/>
      <c r="Q101" s="255"/>
      <c r="R101" s="255"/>
      <c r="S101" s="255"/>
      <c r="T101" s="255"/>
      <c r="U101" s="255"/>
      <c r="V101" s="255"/>
      <c r="W101">
        <v>581</v>
      </c>
      <c r="X101" t="s">
        <v>1468</v>
      </c>
      <c r="Y101" t="s">
        <v>1469</v>
      </c>
      <c r="Z101">
        <v>20780</v>
      </c>
      <c r="AA101" t="s">
        <v>1518</v>
      </c>
      <c r="AB101">
        <v>21</v>
      </c>
      <c r="AC101" t="s">
        <v>1705</v>
      </c>
      <c r="AD101" s="281">
        <f>ROWS($AC$4:AC101)</f>
        <v>98</v>
      </c>
      <c r="AE101" s="281" t="str">
        <f>IF('School Level Expenditures'!$B$2='School Tables'!W101,'School Tables'!AD101,"")</f>
        <v/>
      </c>
      <c r="AF101" s="281" t="str">
        <f>IFERROR(SMALL(AE$100:$AE101,ROWS($AE$4:AE101)),"")</f>
        <v/>
      </c>
      <c r="AG101" s="256" t="b">
        <f t="shared" si="8"/>
        <v>0</v>
      </c>
      <c r="AH101">
        <v>288</v>
      </c>
      <c r="AI101">
        <v>0</v>
      </c>
      <c r="AJ101" t="s">
        <v>1157</v>
      </c>
      <c r="AK101">
        <v>35</v>
      </c>
      <c r="AL101" t="s">
        <v>1648</v>
      </c>
    </row>
    <row r="102" spans="1:38" ht="12.75" x14ac:dyDescent="0.2">
      <c r="A102">
        <v>750</v>
      </c>
      <c r="B102" t="s">
        <v>1679</v>
      </c>
      <c r="C102" t="s">
        <v>1680</v>
      </c>
      <c r="D102">
        <v>29238</v>
      </c>
      <c r="E102" t="s">
        <v>61</v>
      </c>
      <c r="F102">
        <v>450</v>
      </c>
      <c r="G102" t="s">
        <v>1681</v>
      </c>
      <c r="H102" s="281">
        <f>ROWS($G$4:G102)</f>
        <v>99</v>
      </c>
      <c r="I102" s="281" t="str">
        <f>IF('School Level Expenditures'!$B$2=A102,'School Tables'!H102,"")</f>
        <v/>
      </c>
      <c r="J102" s="281" t="str">
        <f>IFERROR(SMALL($I$4:$I$325,ROWS($I$4:I102)),"")</f>
        <v/>
      </c>
      <c r="K102" s="256" t="b">
        <f t="shared" si="6"/>
        <v>0</v>
      </c>
      <c r="P102" s="255"/>
      <c r="Q102" s="255"/>
      <c r="R102" s="255"/>
      <c r="S102" s="255"/>
      <c r="T102" s="255"/>
      <c r="U102" s="255"/>
      <c r="V102" s="255"/>
      <c r="W102">
        <v>582</v>
      </c>
      <c r="X102" t="s">
        <v>1470</v>
      </c>
      <c r="Y102" t="s">
        <v>1472</v>
      </c>
      <c r="Z102">
        <v>22950</v>
      </c>
      <c r="AA102" t="s">
        <v>1518</v>
      </c>
      <c r="AB102">
        <v>59</v>
      </c>
      <c r="AC102" t="s">
        <v>1728</v>
      </c>
      <c r="AD102" s="281">
        <f>ROWS($AC$4:AC102)</f>
        <v>99</v>
      </c>
      <c r="AE102" s="281" t="str">
        <f>IF('School Level Expenditures'!$B$2='School Tables'!W102,'School Tables'!AD102,"")</f>
        <v/>
      </c>
      <c r="AF102" s="281" t="str">
        <f>IFERROR(SMALL(AE$100:$AE102,ROWS($AE$4:AE102)),"")</f>
        <v/>
      </c>
      <c r="AG102" s="256" t="b">
        <f t="shared" si="8"/>
        <v>0</v>
      </c>
      <c r="AH102">
        <v>291</v>
      </c>
      <c r="AI102">
        <v>291</v>
      </c>
      <c r="AJ102" t="s">
        <v>1159</v>
      </c>
      <c r="AK102">
        <v>35</v>
      </c>
      <c r="AL102" t="s">
        <v>1648</v>
      </c>
    </row>
    <row r="103" spans="1:38" ht="25.5" x14ac:dyDescent="0.2">
      <c r="A103">
        <v>191</v>
      </c>
      <c r="B103" t="s">
        <v>1045</v>
      </c>
      <c r="C103" t="s">
        <v>1047</v>
      </c>
      <c r="D103">
        <v>21245</v>
      </c>
      <c r="E103" t="s">
        <v>61</v>
      </c>
      <c r="F103">
        <v>73</v>
      </c>
      <c r="G103" t="s">
        <v>1682</v>
      </c>
      <c r="H103" s="281">
        <f>ROWS($G$4:G103)</f>
        <v>100</v>
      </c>
      <c r="I103" s="281" t="str">
        <f>IF('School Level Expenditures'!$B$2=A103,'School Tables'!H103,"")</f>
        <v/>
      </c>
      <c r="J103" s="281" t="str">
        <f>IFERROR(SMALL($I$4:$I$325,ROWS($I$4:I103)),"")</f>
        <v/>
      </c>
      <c r="K103" s="256" t="b">
        <f t="shared" si="6"/>
        <v>0</v>
      </c>
      <c r="P103" s="255"/>
      <c r="Q103" s="255"/>
      <c r="R103" s="255"/>
      <c r="S103" s="255"/>
      <c r="T103" s="255"/>
      <c r="U103" s="255"/>
      <c r="V103" s="255"/>
      <c r="W103">
        <v>238</v>
      </c>
      <c r="X103" t="s">
        <v>1084</v>
      </c>
      <c r="Y103" t="s">
        <v>1086</v>
      </c>
      <c r="Z103">
        <v>20910</v>
      </c>
      <c r="AA103" t="s">
        <v>1518</v>
      </c>
      <c r="AB103">
        <v>23</v>
      </c>
      <c r="AC103" t="s">
        <v>1644</v>
      </c>
      <c r="AD103" s="281">
        <f>ROWS($AC$4:AC103)</f>
        <v>100</v>
      </c>
      <c r="AE103" s="281" t="str">
        <f>IF('School Level Expenditures'!$B$2='School Tables'!W103,'School Tables'!AD103,"")</f>
        <v/>
      </c>
      <c r="AF103" s="281" t="str">
        <f>IFERROR(SMALL(AE$100:$AE103,ROWS($AE$4:AE103)),"")</f>
        <v/>
      </c>
      <c r="AG103" s="256" t="b">
        <f t="shared" si="8"/>
        <v>1</v>
      </c>
      <c r="AH103" s="282">
        <v>706</v>
      </c>
      <c r="AI103" s="282">
        <v>706</v>
      </c>
      <c r="AJ103" s="282" t="s">
        <v>1481</v>
      </c>
      <c r="AK103" s="282">
        <v>431</v>
      </c>
      <c r="AL103" s="282" t="s">
        <v>1481</v>
      </c>
    </row>
    <row r="104" spans="1:38" ht="12.75" x14ac:dyDescent="0.2">
      <c r="A104">
        <v>195</v>
      </c>
      <c r="B104" t="s">
        <v>1049</v>
      </c>
      <c r="C104" t="s">
        <v>1050</v>
      </c>
      <c r="D104">
        <v>21250</v>
      </c>
      <c r="E104" t="s">
        <v>61</v>
      </c>
      <c r="F104">
        <v>79</v>
      </c>
      <c r="G104" t="s">
        <v>1683</v>
      </c>
      <c r="H104" s="281">
        <f>ROWS($G$4:G104)</f>
        <v>101</v>
      </c>
      <c r="I104" s="281" t="str">
        <f>IF('School Level Expenditures'!$B$2=A104,'School Tables'!H104,"")</f>
        <v/>
      </c>
      <c r="J104" s="281" t="str">
        <f>IFERROR(SMALL($I$4:$I$325,ROWS($I$4:I104)),"")</f>
        <v/>
      </c>
      <c r="K104" s="256" t="b">
        <f t="shared" si="6"/>
        <v>0</v>
      </c>
      <c r="P104" s="255"/>
      <c r="Q104" s="255"/>
      <c r="R104" s="255"/>
      <c r="S104" s="255"/>
      <c r="T104" s="255"/>
      <c r="U104" s="255"/>
      <c r="V104" s="255"/>
      <c r="W104" s="216"/>
      <c r="AD104" s="281"/>
      <c r="AE104" s="281"/>
      <c r="AF104" s="281"/>
      <c r="AG104" s="256"/>
      <c r="AH104">
        <v>295</v>
      </c>
      <c r="AI104">
        <v>295</v>
      </c>
      <c r="AJ104" t="s">
        <v>1161</v>
      </c>
      <c r="AK104">
        <v>88</v>
      </c>
      <c r="AL104" t="s">
        <v>1690</v>
      </c>
    </row>
    <row r="105" spans="1:38" ht="38.25" x14ac:dyDescent="0.2">
      <c r="A105">
        <v>363</v>
      </c>
      <c r="B105" t="s">
        <v>1256</v>
      </c>
      <c r="C105" t="s">
        <v>1581</v>
      </c>
      <c r="D105">
        <v>21670</v>
      </c>
      <c r="E105" t="s">
        <v>61</v>
      </c>
      <c r="F105">
        <v>93</v>
      </c>
      <c r="G105" t="s">
        <v>1665</v>
      </c>
      <c r="H105" s="281">
        <f>ROWS($G$4:G105)</f>
        <v>102</v>
      </c>
      <c r="I105" s="281" t="str">
        <f>IF('School Level Expenditures'!$B$2=A105,'School Tables'!H105,"")</f>
        <v/>
      </c>
      <c r="J105" s="281" t="str">
        <f>IFERROR(SMALL($I$4:$I$325,ROWS($I$4:I105)),"")</f>
        <v/>
      </c>
      <c r="K105" s="256" t="b">
        <f t="shared" si="6"/>
        <v>0</v>
      </c>
      <c r="P105" s="255"/>
      <c r="Q105" s="255"/>
      <c r="R105" s="255"/>
      <c r="S105" s="255"/>
      <c r="T105" s="255"/>
      <c r="U105" s="255"/>
      <c r="V105" s="255"/>
      <c r="W105" s="216"/>
      <c r="AH105" s="282">
        <v>719</v>
      </c>
      <c r="AI105" s="282">
        <v>719</v>
      </c>
      <c r="AJ105" s="282" t="s">
        <v>1491</v>
      </c>
      <c r="AK105" s="282">
        <v>408</v>
      </c>
      <c r="AL105" s="282" t="s">
        <v>1491</v>
      </c>
    </row>
    <row r="106" spans="1:38" ht="12.75" x14ac:dyDescent="0.2">
      <c r="A106">
        <v>199</v>
      </c>
      <c r="B106" t="s">
        <v>1051</v>
      </c>
      <c r="C106" t="s">
        <v>1053</v>
      </c>
      <c r="D106">
        <v>28525</v>
      </c>
      <c r="E106" t="s">
        <v>61</v>
      </c>
      <c r="F106">
        <v>19</v>
      </c>
      <c r="G106" t="s">
        <v>1643</v>
      </c>
      <c r="H106" s="281">
        <f>ROWS($G$4:G106)</f>
        <v>103</v>
      </c>
      <c r="I106" s="281" t="str">
        <f>IF('School Level Expenditures'!$B$2=A106,'School Tables'!H106,"")</f>
        <v/>
      </c>
      <c r="J106" s="281" t="str">
        <f>IFERROR(SMALL($I$4:$I$325,ROWS($I$4:I106)),"")</f>
        <v/>
      </c>
      <c r="K106" s="256" t="b">
        <f t="shared" si="6"/>
        <v>0</v>
      </c>
      <c r="P106" s="255"/>
      <c r="Q106" s="255"/>
      <c r="R106" s="255"/>
      <c r="S106" s="255"/>
      <c r="T106" s="255"/>
      <c r="U106" s="255"/>
      <c r="V106" s="255"/>
      <c r="W106" s="216"/>
      <c r="AH106" s="282">
        <v>722</v>
      </c>
      <c r="AI106" s="282">
        <v>722</v>
      </c>
      <c r="AJ106" t="s">
        <v>1815</v>
      </c>
      <c r="AK106" s="282">
        <v>453</v>
      </c>
      <c r="AL106" t="s">
        <v>1815</v>
      </c>
    </row>
    <row r="107" spans="1:38" ht="12.75" x14ac:dyDescent="0.2">
      <c r="A107">
        <v>575</v>
      </c>
      <c r="B107" t="s">
        <v>1463</v>
      </c>
      <c r="C107" t="s">
        <v>1465</v>
      </c>
      <c r="D107">
        <v>21130</v>
      </c>
      <c r="E107" t="s">
        <v>61</v>
      </c>
      <c r="F107">
        <v>95</v>
      </c>
      <c r="G107" t="s">
        <v>1684</v>
      </c>
      <c r="H107" s="281">
        <f>ROWS($G$4:G107)</f>
        <v>104</v>
      </c>
      <c r="I107" s="281" t="str">
        <f>IF('School Level Expenditures'!$B$2=A107,'School Tables'!H107,"")</f>
        <v/>
      </c>
      <c r="J107" s="281" t="str">
        <f>IFERROR(SMALL($I$4:$I$325,ROWS($I$4:I107)),"")</f>
        <v/>
      </c>
      <c r="K107" s="256" t="b">
        <f t="shared" si="6"/>
        <v>0</v>
      </c>
      <c r="P107" s="255"/>
      <c r="Q107" s="255"/>
      <c r="R107" s="255"/>
      <c r="S107" s="255"/>
      <c r="T107" s="255"/>
      <c r="U107" s="255"/>
      <c r="V107" s="255"/>
      <c r="W107" s="216"/>
      <c r="AH107">
        <v>299</v>
      </c>
      <c r="AI107">
        <v>299</v>
      </c>
      <c r="AJ107" t="s">
        <v>1166</v>
      </c>
      <c r="AK107">
        <v>71</v>
      </c>
      <c r="AL107" t="s">
        <v>1704</v>
      </c>
    </row>
    <row r="108" spans="1:38" ht="12.75" x14ac:dyDescent="0.2">
      <c r="A108">
        <v>461</v>
      </c>
      <c r="B108" t="s">
        <v>1361</v>
      </c>
      <c r="C108" t="s">
        <v>1371</v>
      </c>
      <c r="D108">
        <v>22725</v>
      </c>
      <c r="E108" t="s">
        <v>61</v>
      </c>
      <c r="F108">
        <v>54</v>
      </c>
      <c r="G108" t="s">
        <v>1657</v>
      </c>
      <c r="H108" s="281">
        <f>ROWS($G$4:G108)</f>
        <v>105</v>
      </c>
      <c r="I108" s="281" t="str">
        <f>IF('School Level Expenditures'!$B$2=A108,'School Tables'!H108,"")</f>
        <v/>
      </c>
      <c r="J108" s="281" t="str">
        <f>IFERROR(SMALL($I$4:$I$325,ROWS($I$4:I108)),"")</f>
        <v/>
      </c>
      <c r="K108" s="256" t="b">
        <f t="shared" si="6"/>
        <v>0</v>
      </c>
      <c r="P108" s="255"/>
      <c r="Q108" s="255"/>
      <c r="R108" s="255"/>
      <c r="S108" s="255"/>
      <c r="T108" s="255"/>
      <c r="U108" s="255"/>
      <c r="V108" s="255"/>
      <c r="W108" s="216"/>
      <c r="AH108">
        <v>305</v>
      </c>
      <c r="AI108">
        <v>0</v>
      </c>
      <c r="AJ108" t="s">
        <v>1168</v>
      </c>
      <c r="AK108">
        <v>68</v>
      </c>
      <c r="AL108" t="s">
        <v>1706</v>
      </c>
    </row>
    <row r="109" spans="1:38" ht="12.75" x14ac:dyDescent="0.2">
      <c r="A109">
        <v>335</v>
      </c>
      <c r="B109" t="s">
        <v>895</v>
      </c>
      <c r="C109" t="s">
        <v>1199</v>
      </c>
      <c r="D109">
        <v>21530</v>
      </c>
      <c r="E109" t="s">
        <v>61</v>
      </c>
      <c r="F109">
        <v>37</v>
      </c>
      <c r="G109" t="s">
        <v>1640</v>
      </c>
      <c r="H109" s="281">
        <f>ROWS($G$4:G109)</f>
        <v>106</v>
      </c>
      <c r="I109" s="281" t="str">
        <f>IF('School Level Expenditures'!$B$2=A109,'School Tables'!H109,"")</f>
        <v/>
      </c>
      <c r="J109" s="281" t="str">
        <f>IFERROR(SMALL($I$4:$I$325,ROWS($I$4:I109)),"")</f>
        <v/>
      </c>
      <c r="K109" s="256" t="b">
        <f t="shared" si="6"/>
        <v>0</v>
      </c>
      <c r="P109" s="255"/>
      <c r="Q109" s="255"/>
      <c r="R109" s="255"/>
      <c r="S109" s="255"/>
      <c r="T109" s="255"/>
      <c r="U109" s="255"/>
      <c r="V109" s="255"/>
      <c r="W109" s="216"/>
      <c r="AH109">
        <v>306</v>
      </c>
      <c r="AI109">
        <v>0</v>
      </c>
      <c r="AJ109" t="s">
        <v>1172</v>
      </c>
      <c r="AK109">
        <v>35</v>
      </c>
      <c r="AL109" t="s">
        <v>1648</v>
      </c>
    </row>
    <row r="110" spans="1:38" ht="12.75" x14ac:dyDescent="0.2">
      <c r="A110">
        <v>211</v>
      </c>
      <c r="B110" t="s">
        <v>1068</v>
      </c>
      <c r="C110" t="s">
        <v>1069</v>
      </c>
      <c r="D110">
        <v>21330</v>
      </c>
      <c r="E110" t="s">
        <v>61</v>
      </c>
      <c r="F110">
        <v>75</v>
      </c>
      <c r="G110" t="s">
        <v>1685</v>
      </c>
      <c r="H110" s="281">
        <f>ROWS($G$4:G110)</f>
        <v>107</v>
      </c>
      <c r="I110" s="281" t="str">
        <f>IF('School Level Expenditures'!$B$2=A110,'School Tables'!H110,"")</f>
        <v/>
      </c>
      <c r="J110" s="281" t="str">
        <f>IFERROR(SMALL($I$4:$I$325,ROWS($I$4:I110)),"")</f>
        <v/>
      </c>
      <c r="K110" s="256" t="b">
        <f t="shared" si="6"/>
        <v>0</v>
      </c>
      <c r="P110" s="255"/>
      <c r="Q110" s="255"/>
      <c r="R110" s="255"/>
      <c r="S110" s="255"/>
      <c r="T110" s="255"/>
      <c r="U110" s="255"/>
      <c r="V110" s="255"/>
      <c r="W110" s="216"/>
      <c r="AH110">
        <v>315</v>
      </c>
      <c r="AI110">
        <v>315</v>
      </c>
      <c r="AJ110" t="s">
        <v>1176</v>
      </c>
      <c r="AK110">
        <v>27</v>
      </c>
      <c r="AL110" t="s">
        <v>1687</v>
      </c>
    </row>
    <row r="111" spans="1:38" ht="12.75" x14ac:dyDescent="0.2">
      <c r="A111">
        <v>335</v>
      </c>
      <c r="B111" t="s">
        <v>895</v>
      </c>
      <c r="C111" t="s">
        <v>1209</v>
      </c>
      <c r="D111">
        <v>21610</v>
      </c>
      <c r="E111" t="s">
        <v>61</v>
      </c>
      <c r="F111">
        <v>37</v>
      </c>
      <c r="G111" t="s">
        <v>1640</v>
      </c>
      <c r="H111" s="281">
        <f>ROWS($G$4:G111)</f>
        <v>108</v>
      </c>
      <c r="I111" s="281" t="str">
        <f>IF('School Level Expenditures'!$B$2=A111,'School Tables'!H111,"")</f>
        <v/>
      </c>
      <c r="J111" s="281" t="str">
        <f>IFERROR(SMALL($I$4:$I$325,ROWS($I$4:I111)),"")</f>
        <v/>
      </c>
      <c r="K111" s="256" t="b">
        <f t="shared" si="6"/>
        <v>0</v>
      </c>
      <c r="P111" s="255"/>
      <c r="Q111" s="255"/>
      <c r="R111" s="255"/>
      <c r="S111" s="255"/>
      <c r="T111" s="255"/>
      <c r="U111" s="255"/>
      <c r="V111" s="255"/>
      <c r="W111" s="216"/>
      <c r="AH111">
        <v>317</v>
      </c>
      <c r="AI111">
        <v>317</v>
      </c>
      <c r="AJ111" t="s">
        <v>1180</v>
      </c>
      <c r="AK111">
        <v>84</v>
      </c>
      <c r="AL111" t="s">
        <v>1714</v>
      </c>
    </row>
    <row r="112" spans="1:38" ht="12.75" x14ac:dyDescent="0.2">
      <c r="A112">
        <v>112</v>
      </c>
      <c r="B112" t="s">
        <v>966</v>
      </c>
      <c r="C112" t="s">
        <v>972</v>
      </c>
      <c r="D112">
        <v>22250</v>
      </c>
      <c r="E112" t="s">
        <v>61</v>
      </c>
      <c r="F112">
        <v>1</v>
      </c>
      <c r="G112" t="s">
        <v>1636</v>
      </c>
      <c r="H112" s="281">
        <f>ROWS($G$4:G112)</f>
        <v>109</v>
      </c>
      <c r="I112" s="281" t="str">
        <f>IF('School Level Expenditures'!$B$2=A112,'School Tables'!H112,"")</f>
        <v/>
      </c>
      <c r="J112" s="281" t="str">
        <f>IFERROR(SMALL($I$4:$I$325,ROWS($I$4:I112)),"")</f>
        <v/>
      </c>
      <c r="K112" s="256" t="b">
        <f t="shared" si="6"/>
        <v>0</v>
      </c>
      <c r="P112" s="255"/>
      <c r="Q112" s="255"/>
      <c r="R112" s="255"/>
      <c r="S112" s="255"/>
      <c r="T112" s="255"/>
      <c r="U112" s="255"/>
      <c r="V112" s="255"/>
      <c r="W112" s="216"/>
      <c r="AH112">
        <v>319</v>
      </c>
      <c r="AI112">
        <v>319</v>
      </c>
      <c r="AJ112" t="s">
        <v>1184</v>
      </c>
      <c r="AK112">
        <v>12</v>
      </c>
      <c r="AL112" t="s">
        <v>1711</v>
      </c>
    </row>
    <row r="113" spans="1:38" ht="12.75" x14ac:dyDescent="0.2">
      <c r="A113">
        <v>215</v>
      </c>
      <c r="B113" t="s">
        <v>1070</v>
      </c>
      <c r="C113" t="s">
        <v>1071</v>
      </c>
      <c r="D113">
        <v>22450</v>
      </c>
      <c r="E113" t="s">
        <v>61</v>
      </c>
      <c r="F113">
        <v>50</v>
      </c>
      <c r="G113" t="s">
        <v>1686</v>
      </c>
      <c r="H113" s="281">
        <f>ROWS($G$4:G113)</f>
        <v>110</v>
      </c>
      <c r="I113" s="281" t="str">
        <f>IF('School Level Expenditures'!$B$2=A113,'School Tables'!H113,"")</f>
        <v/>
      </c>
      <c r="J113" s="281" t="str">
        <f>IFERROR(SMALL($I$4:$I$325,ROWS($I$4:I113)),"")</f>
        <v/>
      </c>
      <c r="K113" s="256" t="b">
        <f t="shared" si="6"/>
        <v>0</v>
      </c>
      <c r="P113" s="255"/>
      <c r="Q113" s="255"/>
      <c r="R113" s="255"/>
      <c r="S113" s="255"/>
      <c r="T113" s="255"/>
      <c r="U113" s="255"/>
      <c r="V113" s="255"/>
      <c r="W113" s="216"/>
      <c r="AH113">
        <v>327</v>
      </c>
      <c r="AI113">
        <v>327</v>
      </c>
      <c r="AJ113" t="s">
        <v>1191</v>
      </c>
      <c r="AK113">
        <v>76</v>
      </c>
      <c r="AL113" t="s">
        <v>1708</v>
      </c>
    </row>
    <row r="114" spans="1:38" ht="12.75" x14ac:dyDescent="0.2">
      <c r="A114">
        <v>315</v>
      </c>
      <c r="B114" t="s">
        <v>1176</v>
      </c>
      <c r="C114" t="s">
        <v>1177</v>
      </c>
      <c r="D114">
        <v>21095</v>
      </c>
      <c r="E114" t="s">
        <v>61</v>
      </c>
      <c r="F114">
        <v>27</v>
      </c>
      <c r="G114" t="s">
        <v>1687</v>
      </c>
      <c r="H114" s="281">
        <f>ROWS($G$4:G114)</f>
        <v>111</v>
      </c>
      <c r="I114" s="281" t="str">
        <f>IF('School Level Expenditures'!$B$2=A114,'School Tables'!H114,"")</f>
        <v/>
      </c>
      <c r="J114" s="281" t="str">
        <f>IFERROR(SMALL($I$4:$I$325,ROWS($I$4:I114)),"")</f>
        <v/>
      </c>
      <c r="K114" s="256" t="b">
        <f t="shared" si="6"/>
        <v>0</v>
      </c>
      <c r="P114" s="255"/>
      <c r="Q114" s="255"/>
      <c r="R114" s="255"/>
      <c r="S114" s="255"/>
      <c r="T114" s="255"/>
      <c r="U114" s="255"/>
      <c r="V114" s="255"/>
      <c r="W114" s="216"/>
      <c r="AH114">
        <v>333</v>
      </c>
      <c r="AI114">
        <v>333</v>
      </c>
      <c r="AJ114" t="s">
        <v>1193</v>
      </c>
      <c r="AK114">
        <v>13</v>
      </c>
      <c r="AL114" t="s">
        <v>1677</v>
      </c>
    </row>
    <row r="115" spans="1:38" ht="63.75" x14ac:dyDescent="0.2">
      <c r="A115">
        <v>131</v>
      </c>
      <c r="B115" t="s">
        <v>989</v>
      </c>
      <c r="C115" t="s">
        <v>994</v>
      </c>
      <c r="D115">
        <v>20390</v>
      </c>
      <c r="E115" t="s">
        <v>61</v>
      </c>
      <c r="F115">
        <v>10</v>
      </c>
      <c r="G115" t="s">
        <v>1667</v>
      </c>
      <c r="H115" s="281">
        <f>ROWS($G$4:G115)</f>
        <v>112</v>
      </c>
      <c r="I115" s="281" t="str">
        <f>IF('School Level Expenditures'!$B$2=A115,'School Tables'!H115,"")</f>
        <v/>
      </c>
      <c r="J115" s="281" t="str">
        <f>IFERROR(SMALL($I$4:$I$325,ROWS($I$4:I115)),"")</f>
        <v/>
      </c>
      <c r="K115" s="256" t="b">
        <f t="shared" si="6"/>
        <v>0</v>
      </c>
      <c r="P115" s="255"/>
      <c r="Q115" s="255"/>
      <c r="R115" s="255"/>
      <c r="S115" s="255"/>
      <c r="T115" s="255"/>
      <c r="U115" s="255"/>
      <c r="V115" s="255"/>
      <c r="W115" s="216"/>
      <c r="AH115" s="282">
        <v>733</v>
      </c>
      <c r="AI115" s="282">
        <v>733</v>
      </c>
      <c r="AJ115" s="282" t="s">
        <v>1503</v>
      </c>
      <c r="AK115" s="282">
        <v>418</v>
      </c>
      <c r="AL115" s="282" t="s">
        <v>1503</v>
      </c>
    </row>
    <row r="116" spans="1:38" ht="12.75" x14ac:dyDescent="0.2">
      <c r="A116">
        <v>407</v>
      </c>
      <c r="B116" t="s">
        <v>1312</v>
      </c>
      <c r="C116" t="s">
        <v>1314</v>
      </c>
      <c r="D116">
        <v>22905</v>
      </c>
      <c r="E116" t="s">
        <v>61</v>
      </c>
      <c r="F116">
        <v>58</v>
      </c>
      <c r="G116" t="s">
        <v>1688</v>
      </c>
      <c r="H116" s="281">
        <f>ROWS($G$4:G116)</f>
        <v>113</v>
      </c>
      <c r="I116" s="281" t="str">
        <f>IF('School Level Expenditures'!$B$2=A116,'School Tables'!H116,"")</f>
        <v/>
      </c>
      <c r="J116" s="281" t="str">
        <f>IFERROR(SMALL($I$4:$I$325,ROWS($I$4:I116)),"")</f>
        <v/>
      </c>
      <c r="K116" s="256" t="b">
        <f t="shared" si="6"/>
        <v>0</v>
      </c>
      <c r="P116" s="255"/>
      <c r="Q116" s="255"/>
      <c r="R116" s="255"/>
      <c r="S116" s="255"/>
      <c r="T116" s="255"/>
      <c r="U116" s="255"/>
      <c r="V116" s="255"/>
      <c r="W116" s="216"/>
      <c r="AH116">
        <v>335</v>
      </c>
      <c r="AI116">
        <v>335</v>
      </c>
      <c r="AJ116" t="s">
        <v>895</v>
      </c>
      <c r="AK116">
        <v>37</v>
      </c>
      <c r="AL116" t="s">
        <v>1640</v>
      </c>
    </row>
    <row r="117" spans="1:38" ht="12.75" x14ac:dyDescent="0.2">
      <c r="A117">
        <v>407</v>
      </c>
      <c r="B117" t="s">
        <v>1312</v>
      </c>
      <c r="C117" t="s">
        <v>1315</v>
      </c>
      <c r="D117">
        <v>26600</v>
      </c>
      <c r="E117" t="s">
        <v>61</v>
      </c>
      <c r="F117">
        <v>58</v>
      </c>
      <c r="G117" t="s">
        <v>1688</v>
      </c>
      <c r="H117" s="281">
        <f>ROWS($G$4:G117)</f>
        <v>114</v>
      </c>
      <c r="I117" s="281" t="str">
        <f>IF('School Level Expenditures'!$B$2=A117,'School Tables'!H117,"")</f>
        <v/>
      </c>
      <c r="J117" s="281" t="str">
        <f>IFERROR(SMALL($I$4:$I$325,ROWS($I$4:I117)),"")</f>
        <v/>
      </c>
      <c r="K117" s="256" t="b">
        <f t="shared" si="6"/>
        <v>0</v>
      </c>
      <c r="P117" s="255"/>
      <c r="Q117" s="255"/>
      <c r="R117" s="255"/>
      <c r="S117" s="255"/>
      <c r="T117" s="255"/>
      <c r="U117" s="255"/>
      <c r="V117" s="255"/>
      <c r="W117" s="216"/>
      <c r="AH117">
        <v>339</v>
      </c>
      <c r="AI117">
        <v>339</v>
      </c>
      <c r="AJ117" t="s">
        <v>1213</v>
      </c>
      <c r="AK117">
        <v>29</v>
      </c>
      <c r="AL117" t="s">
        <v>1659</v>
      </c>
    </row>
    <row r="118" spans="1:38" ht="12.75" x14ac:dyDescent="0.2">
      <c r="A118">
        <v>223</v>
      </c>
      <c r="B118" t="s">
        <v>1072</v>
      </c>
      <c r="C118" t="s">
        <v>1074</v>
      </c>
      <c r="D118">
        <v>22755</v>
      </c>
      <c r="E118" t="s">
        <v>61</v>
      </c>
      <c r="F118">
        <v>55</v>
      </c>
      <c r="G118" t="s">
        <v>1689</v>
      </c>
      <c r="H118" s="281">
        <f>ROWS($G$4:G118)</f>
        <v>115</v>
      </c>
      <c r="I118" s="281" t="str">
        <f>IF('School Level Expenditures'!$B$2=A118,'School Tables'!H118,"")</f>
        <v/>
      </c>
      <c r="J118" s="281" t="str">
        <f>IFERROR(SMALL($I$4:$I$325,ROWS($I$4:I118)),"")</f>
        <v/>
      </c>
      <c r="K118" s="256" t="b">
        <f t="shared" si="6"/>
        <v>0</v>
      </c>
      <c r="P118" s="255"/>
      <c r="Q118" s="255"/>
      <c r="R118" s="255"/>
      <c r="S118" s="255"/>
      <c r="T118" s="255"/>
      <c r="U118" s="255"/>
      <c r="V118" s="255"/>
      <c r="W118" s="216"/>
      <c r="AH118">
        <v>341</v>
      </c>
      <c r="AI118">
        <v>341</v>
      </c>
      <c r="AJ118" t="s">
        <v>1215</v>
      </c>
      <c r="AK118">
        <v>29</v>
      </c>
      <c r="AL118" t="s">
        <v>1659</v>
      </c>
    </row>
    <row r="119" spans="1:38" ht="12.75" x14ac:dyDescent="0.2">
      <c r="A119">
        <v>225</v>
      </c>
      <c r="B119" t="s">
        <v>1075</v>
      </c>
      <c r="C119" t="s">
        <v>1520</v>
      </c>
      <c r="D119">
        <v>20790</v>
      </c>
      <c r="E119" t="s">
        <v>61</v>
      </c>
      <c r="F119">
        <v>90</v>
      </c>
      <c r="G119" t="s">
        <v>1631</v>
      </c>
      <c r="H119" s="281">
        <f>ROWS($G$4:G119)</f>
        <v>116</v>
      </c>
      <c r="I119" s="281" t="str">
        <f>IF('School Level Expenditures'!$B$2=A119,'School Tables'!H119,"")</f>
        <v/>
      </c>
      <c r="J119" s="281" t="str">
        <f>IFERROR(SMALL($I$4:$I$325,ROWS($I$4:I119)),"")</f>
        <v/>
      </c>
      <c r="K119" s="256" t="b">
        <f t="shared" si="6"/>
        <v>0</v>
      </c>
      <c r="P119" s="255"/>
      <c r="Q119" s="255"/>
      <c r="R119" s="255"/>
      <c r="S119" s="255"/>
      <c r="T119" s="255"/>
      <c r="U119" s="255"/>
      <c r="V119" s="255"/>
      <c r="W119" s="216"/>
      <c r="AH119">
        <v>342</v>
      </c>
      <c r="AI119">
        <v>0</v>
      </c>
      <c r="AJ119" t="s">
        <v>1217</v>
      </c>
      <c r="AK119">
        <v>87</v>
      </c>
      <c r="AL119" t="s">
        <v>1694</v>
      </c>
    </row>
    <row r="120" spans="1:38" ht="12.75" x14ac:dyDescent="0.2">
      <c r="A120">
        <v>225</v>
      </c>
      <c r="B120" t="s">
        <v>1075</v>
      </c>
      <c r="C120" t="s">
        <v>1076</v>
      </c>
      <c r="D120">
        <v>20770</v>
      </c>
      <c r="E120" t="s">
        <v>61</v>
      </c>
      <c r="F120">
        <v>90</v>
      </c>
      <c r="G120" t="s">
        <v>1631</v>
      </c>
      <c r="H120" s="281">
        <f>ROWS($G$4:G120)</f>
        <v>117</v>
      </c>
      <c r="I120" s="281" t="str">
        <f>IF('School Level Expenditures'!$B$2=A120,'School Tables'!H120,"")</f>
        <v/>
      </c>
      <c r="J120" s="281" t="str">
        <f>IFERROR(SMALL($I$4:$I$325,ROWS($I$4:I120)),"")</f>
        <v/>
      </c>
      <c r="K120" s="256" t="b">
        <f t="shared" si="6"/>
        <v>0</v>
      </c>
      <c r="P120" s="255"/>
      <c r="Q120" s="255"/>
      <c r="R120" s="255"/>
      <c r="S120" s="255"/>
      <c r="T120" s="255"/>
      <c r="U120" s="255"/>
      <c r="V120" s="255"/>
      <c r="W120" s="216"/>
      <c r="AH120">
        <v>343</v>
      </c>
      <c r="AI120">
        <v>0</v>
      </c>
      <c r="AJ120" t="s">
        <v>1221</v>
      </c>
      <c r="AK120">
        <v>62</v>
      </c>
      <c r="AL120" t="s">
        <v>1653</v>
      </c>
    </row>
    <row r="121" spans="1:38" ht="12.75" x14ac:dyDescent="0.2">
      <c r="A121">
        <v>112</v>
      </c>
      <c r="B121" t="s">
        <v>966</v>
      </c>
      <c r="C121" t="s">
        <v>973</v>
      </c>
      <c r="D121">
        <v>22260</v>
      </c>
      <c r="E121" t="s">
        <v>61</v>
      </c>
      <c r="F121">
        <v>1</v>
      </c>
      <c r="G121" t="s">
        <v>1636</v>
      </c>
      <c r="H121" s="281">
        <f>ROWS($G$4:G121)</f>
        <v>118</v>
      </c>
      <c r="I121" s="281" t="str">
        <f>IF('School Level Expenditures'!$B$2=A121,'School Tables'!H121,"")</f>
        <v/>
      </c>
      <c r="J121" s="281" t="str">
        <f>IFERROR(SMALL($I$4:$I$325,ROWS($I$4:I121)),"")</f>
        <v/>
      </c>
      <c r="K121" s="256" t="b">
        <f t="shared" si="6"/>
        <v>0</v>
      </c>
      <c r="P121" s="255"/>
      <c r="Q121" s="255"/>
      <c r="R121" s="255"/>
      <c r="S121" s="255"/>
      <c r="T121" s="255"/>
      <c r="U121" s="255"/>
      <c r="V121" s="255"/>
      <c r="W121" s="216"/>
      <c r="AH121">
        <v>345</v>
      </c>
      <c r="AI121">
        <v>345</v>
      </c>
      <c r="AJ121" t="s">
        <v>1226</v>
      </c>
      <c r="AK121">
        <v>89</v>
      </c>
      <c r="AL121" t="s">
        <v>1709</v>
      </c>
    </row>
    <row r="122" spans="1:38" ht="12.75" x14ac:dyDescent="0.2">
      <c r="A122">
        <v>295</v>
      </c>
      <c r="B122" t="s">
        <v>1161</v>
      </c>
      <c r="C122" t="s">
        <v>1162</v>
      </c>
      <c r="D122">
        <v>21335</v>
      </c>
      <c r="E122" t="s">
        <v>61</v>
      </c>
      <c r="F122">
        <v>88</v>
      </c>
      <c r="G122" t="s">
        <v>1690</v>
      </c>
      <c r="H122" s="281">
        <f>ROWS($G$4:G122)</f>
        <v>119</v>
      </c>
      <c r="I122" s="281" t="str">
        <f>IF('School Level Expenditures'!$B$2=A122,'School Tables'!H122,"")</f>
        <v/>
      </c>
      <c r="J122" s="281" t="str">
        <f>IFERROR(SMALL($I$4:$I$325,ROWS($I$4:I122)),"")</f>
        <v/>
      </c>
      <c r="K122" s="256" t="b">
        <f t="shared" si="6"/>
        <v>0</v>
      </c>
      <c r="P122" s="255"/>
      <c r="Q122" s="255"/>
      <c r="R122" s="255"/>
      <c r="S122" s="255"/>
      <c r="T122" s="255"/>
      <c r="U122" s="255"/>
      <c r="V122" s="255"/>
      <c r="W122" s="216"/>
      <c r="AH122">
        <v>351</v>
      </c>
      <c r="AI122">
        <v>351</v>
      </c>
      <c r="AJ122" t="s">
        <v>1228</v>
      </c>
      <c r="AK122">
        <v>26</v>
      </c>
      <c r="AL122" t="s">
        <v>1700</v>
      </c>
    </row>
    <row r="123" spans="1:38" ht="12.75" x14ac:dyDescent="0.2">
      <c r="A123">
        <v>263</v>
      </c>
      <c r="B123" t="s">
        <v>1112</v>
      </c>
      <c r="C123" t="s">
        <v>1116</v>
      </c>
      <c r="D123">
        <v>20975</v>
      </c>
      <c r="E123" t="s">
        <v>61</v>
      </c>
      <c r="F123">
        <v>66</v>
      </c>
      <c r="G123" t="s">
        <v>1691</v>
      </c>
      <c r="H123" s="281">
        <f>ROWS($G$4:G123)</f>
        <v>120</v>
      </c>
      <c r="I123" s="281" t="str">
        <f>IF('School Level Expenditures'!$B$2=A123,'School Tables'!H123,"")</f>
        <v/>
      </c>
      <c r="J123" s="281" t="str">
        <f>IFERROR(SMALL($I$4:$I$325,ROWS($I$4:I123)),"")</f>
        <v/>
      </c>
      <c r="K123" s="256" t="b">
        <f t="shared" si="6"/>
        <v>0</v>
      </c>
      <c r="P123" s="255"/>
      <c r="Q123" s="255"/>
      <c r="R123" s="255"/>
      <c r="S123" s="255"/>
      <c r="T123" s="255"/>
      <c r="U123" s="255"/>
      <c r="V123" s="255"/>
      <c r="W123" s="216"/>
      <c r="AH123">
        <v>352</v>
      </c>
      <c r="AI123">
        <v>0</v>
      </c>
      <c r="AJ123" t="s">
        <v>1235</v>
      </c>
      <c r="AK123">
        <v>46</v>
      </c>
      <c r="AL123" t="s">
        <v>1635</v>
      </c>
    </row>
    <row r="124" spans="1:38" ht="63.75" x14ac:dyDescent="0.2">
      <c r="A124">
        <v>718</v>
      </c>
      <c r="B124" t="s">
        <v>1811</v>
      </c>
      <c r="C124" t="s">
        <v>1811</v>
      </c>
      <c r="D124">
        <v>29244</v>
      </c>
      <c r="E124" t="s">
        <v>61</v>
      </c>
      <c r="F124">
        <v>451</v>
      </c>
      <c r="G124" t="s">
        <v>1811</v>
      </c>
      <c r="H124" s="281">
        <f>ROWS($G$4:G124)</f>
        <v>121</v>
      </c>
      <c r="I124" s="281" t="str">
        <f>IF('School Level Expenditures'!$B$2=A124,'School Tables'!H124,"")</f>
        <v/>
      </c>
      <c r="J124" s="281" t="str">
        <f>IFERROR(SMALL($I$4:$I$325,ROWS($I$4:I124)),"")</f>
        <v/>
      </c>
      <c r="K124" s="256" t="b">
        <f t="shared" si="6"/>
        <v>0</v>
      </c>
      <c r="P124" s="255"/>
      <c r="Q124" s="255"/>
      <c r="R124" s="255"/>
      <c r="S124" s="255"/>
      <c r="T124" s="255"/>
      <c r="U124" s="255"/>
      <c r="V124" s="255"/>
      <c r="AH124" s="282">
        <v>744</v>
      </c>
      <c r="AI124" s="282">
        <v>744</v>
      </c>
      <c r="AJ124" s="282" t="s">
        <v>1583</v>
      </c>
      <c r="AK124" s="282">
        <v>430</v>
      </c>
      <c r="AL124" s="282" t="s">
        <v>1583</v>
      </c>
    </row>
    <row r="125" spans="1:38" ht="12.75" x14ac:dyDescent="0.2">
      <c r="A125">
        <v>245</v>
      </c>
      <c r="B125" t="s">
        <v>1088</v>
      </c>
      <c r="C125" t="s">
        <v>1089</v>
      </c>
      <c r="D125">
        <v>20935</v>
      </c>
      <c r="E125" t="s">
        <v>61</v>
      </c>
      <c r="F125">
        <v>24</v>
      </c>
      <c r="G125" t="s">
        <v>1656</v>
      </c>
      <c r="H125" s="281">
        <f>ROWS($G$4:G125)</f>
        <v>122</v>
      </c>
      <c r="I125" s="281" t="str">
        <f>IF('School Level Expenditures'!$B$2=A125,'School Tables'!H125,"")</f>
        <v/>
      </c>
      <c r="J125" s="281" t="str">
        <f>IFERROR(SMALL($I$4:$I$325,ROWS($I$4:I125)),"")</f>
        <v/>
      </c>
      <c r="K125" s="256" t="b">
        <f t="shared" si="6"/>
        <v>0</v>
      </c>
      <c r="S125" s="255"/>
      <c r="T125" s="255"/>
      <c r="U125" s="255"/>
      <c r="V125" s="255"/>
      <c r="AH125">
        <v>353</v>
      </c>
      <c r="AI125">
        <v>353</v>
      </c>
      <c r="AJ125" t="s">
        <v>1243</v>
      </c>
      <c r="AK125">
        <v>69</v>
      </c>
      <c r="AL125" t="s">
        <v>1713</v>
      </c>
    </row>
    <row r="126" spans="1:38" ht="12.75" x14ac:dyDescent="0.2">
      <c r="A126">
        <v>79</v>
      </c>
      <c r="B126" t="s">
        <v>944</v>
      </c>
      <c r="C126" t="s">
        <v>945</v>
      </c>
      <c r="D126">
        <v>20535</v>
      </c>
      <c r="E126" t="s">
        <v>61</v>
      </c>
      <c r="F126">
        <v>15</v>
      </c>
      <c r="G126" t="s">
        <v>1639</v>
      </c>
      <c r="H126" s="281">
        <f>ROWS($G$4:G126)</f>
        <v>123</v>
      </c>
      <c r="I126" s="281" t="str">
        <f>IF('School Level Expenditures'!$B$2=A126,'School Tables'!H126,"")</f>
        <v/>
      </c>
      <c r="J126" s="281" t="str">
        <f>IFERROR(SMALL($I$4:$I$325,ROWS($I$4:I126)),"")</f>
        <v/>
      </c>
      <c r="K126" s="256" t="b">
        <f t="shared" si="6"/>
        <v>0</v>
      </c>
      <c r="AH126">
        <v>355</v>
      </c>
      <c r="AI126">
        <v>355</v>
      </c>
      <c r="AJ126" t="s">
        <v>1245</v>
      </c>
      <c r="AK126">
        <v>20</v>
      </c>
      <c r="AL126" t="s">
        <v>1671</v>
      </c>
    </row>
    <row r="127" spans="1:38" ht="12.75" x14ac:dyDescent="0.2">
      <c r="A127">
        <v>335</v>
      </c>
      <c r="B127" t="s">
        <v>895</v>
      </c>
      <c r="C127" t="s">
        <v>1582</v>
      </c>
      <c r="D127">
        <v>21640</v>
      </c>
      <c r="E127" t="s">
        <v>61</v>
      </c>
      <c r="F127">
        <v>37</v>
      </c>
      <c r="G127" t="s">
        <v>1640</v>
      </c>
      <c r="H127" s="281">
        <f>ROWS($G$4:G127)</f>
        <v>124</v>
      </c>
      <c r="I127" s="281" t="str">
        <f>IF('School Level Expenditures'!$B$2=A127,'School Tables'!H127,"")</f>
        <v/>
      </c>
      <c r="J127" s="281" t="str">
        <f>IFERROR(SMALL($I$4:$I$325,ROWS($I$4:I127)),"")</f>
        <v/>
      </c>
      <c r="K127" s="256" t="b">
        <f t="shared" si="6"/>
        <v>0</v>
      </c>
      <c r="AH127">
        <v>357</v>
      </c>
      <c r="AI127">
        <v>357</v>
      </c>
      <c r="AJ127" t="s">
        <v>1247</v>
      </c>
      <c r="AK127">
        <v>40</v>
      </c>
      <c r="AL127" t="s">
        <v>1693</v>
      </c>
    </row>
    <row r="128" spans="1:38" ht="38.25" x14ac:dyDescent="0.2">
      <c r="A128">
        <v>175</v>
      </c>
      <c r="B128" t="s">
        <v>1033</v>
      </c>
      <c r="C128" t="s">
        <v>1036</v>
      </c>
      <c r="D128">
        <v>22055</v>
      </c>
      <c r="E128" t="s">
        <v>61</v>
      </c>
      <c r="F128">
        <v>61</v>
      </c>
      <c r="G128" t="s">
        <v>1692</v>
      </c>
      <c r="H128" s="281">
        <f>ROWS($G$4:G128)</f>
        <v>125</v>
      </c>
      <c r="I128" s="281" t="str">
        <f>IF('School Level Expenditures'!$B$2=A128,'School Tables'!H128,"")</f>
        <v/>
      </c>
      <c r="J128" s="281" t="str">
        <f>IFERROR(SMALL($I$4:$I$325,ROWS($I$4:I128)),"")</f>
        <v/>
      </c>
      <c r="K128" s="256" t="b">
        <f t="shared" si="6"/>
        <v>0</v>
      </c>
      <c r="AH128" s="282">
        <v>729</v>
      </c>
      <c r="AI128" s="282">
        <v>729</v>
      </c>
      <c r="AJ128" s="282" t="s">
        <v>1500</v>
      </c>
      <c r="AK128" s="282">
        <v>416</v>
      </c>
      <c r="AL128" s="282" t="s">
        <v>1500</v>
      </c>
    </row>
    <row r="129" spans="1:38" ht="12.75" x14ac:dyDescent="0.2">
      <c r="A129">
        <v>357</v>
      </c>
      <c r="B129" t="s">
        <v>1247</v>
      </c>
      <c r="C129" t="s">
        <v>1250</v>
      </c>
      <c r="D129">
        <v>27895</v>
      </c>
      <c r="E129" t="s">
        <v>61</v>
      </c>
      <c r="F129">
        <v>40</v>
      </c>
      <c r="G129" t="s">
        <v>1693</v>
      </c>
      <c r="H129" s="281">
        <f>ROWS($G$4:G129)</f>
        <v>126</v>
      </c>
      <c r="I129" s="281" t="str">
        <f>IF('School Level Expenditures'!$B$2=A129,'School Tables'!H129,"")</f>
        <v/>
      </c>
      <c r="J129" s="281" t="str">
        <f>IFERROR(SMALL($I$4:$I$325,ROWS($I$4:I129)),"")</f>
        <v/>
      </c>
      <c r="K129" s="256" t="b">
        <f t="shared" si="6"/>
        <v>0</v>
      </c>
      <c r="AH129">
        <v>359</v>
      </c>
      <c r="AI129">
        <v>359</v>
      </c>
      <c r="AJ129" t="s">
        <v>1252</v>
      </c>
      <c r="AK129">
        <v>64</v>
      </c>
      <c r="AL129" t="s">
        <v>1715</v>
      </c>
    </row>
    <row r="130" spans="1:38" ht="12.75" x14ac:dyDescent="0.2">
      <c r="A130">
        <v>342</v>
      </c>
      <c r="B130" t="s">
        <v>1217</v>
      </c>
      <c r="C130" t="s">
        <v>1220</v>
      </c>
      <c r="D130">
        <v>28990</v>
      </c>
      <c r="E130" t="s">
        <v>61</v>
      </c>
      <c r="F130">
        <v>87</v>
      </c>
      <c r="G130" t="s">
        <v>1694</v>
      </c>
      <c r="H130" s="281">
        <f>ROWS($G$4:G130)</f>
        <v>127</v>
      </c>
      <c r="I130" s="281" t="str">
        <f>IF('School Level Expenditures'!$B$2=A130,'School Tables'!H130,"")</f>
        <v/>
      </c>
      <c r="J130" s="281" t="str">
        <f>IFERROR(SMALL($I$4:$I$325,ROWS($I$4:I130)),"")</f>
        <v/>
      </c>
      <c r="K130" s="256" t="b">
        <f t="shared" si="6"/>
        <v>0</v>
      </c>
      <c r="AH130">
        <v>363</v>
      </c>
      <c r="AI130">
        <v>0</v>
      </c>
      <c r="AJ130" t="s">
        <v>1256</v>
      </c>
      <c r="AK130">
        <v>93</v>
      </c>
      <c r="AL130" t="s">
        <v>1665</v>
      </c>
    </row>
    <row r="131" spans="1:38" ht="12.75" x14ac:dyDescent="0.2">
      <c r="A131">
        <v>335</v>
      </c>
      <c r="B131" t="s">
        <v>895</v>
      </c>
      <c r="C131" t="s">
        <v>1203</v>
      </c>
      <c r="D131">
        <v>21560</v>
      </c>
      <c r="E131" t="s">
        <v>61</v>
      </c>
      <c r="F131">
        <v>37</v>
      </c>
      <c r="G131" t="s">
        <v>1640</v>
      </c>
      <c r="H131" s="281">
        <f>ROWS($G$4:G131)</f>
        <v>128</v>
      </c>
      <c r="I131" s="281" t="str">
        <f>IF('School Level Expenditures'!$B$2=A131,'School Tables'!H131,"")</f>
        <v/>
      </c>
      <c r="J131" s="281" t="str">
        <f>IFERROR(SMALL($I$4:$I$325,ROWS($I$4:I131)),"")</f>
        <v/>
      </c>
      <c r="K131" s="256" t="b">
        <f t="shared" si="6"/>
        <v>0</v>
      </c>
      <c r="AH131">
        <v>365</v>
      </c>
      <c r="AI131">
        <v>365</v>
      </c>
      <c r="AJ131" t="s">
        <v>1261</v>
      </c>
      <c r="AK131">
        <v>77</v>
      </c>
      <c r="AL131" t="s">
        <v>1716</v>
      </c>
    </row>
    <row r="132" spans="1:38" ht="12.75" x14ac:dyDescent="0.2">
      <c r="A132">
        <v>267</v>
      </c>
      <c r="B132" t="s">
        <v>1117</v>
      </c>
      <c r="C132" t="s">
        <v>1121</v>
      </c>
      <c r="D132">
        <v>27900</v>
      </c>
      <c r="E132" t="s">
        <v>61</v>
      </c>
      <c r="F132">
        <v>81</v>
      </c>
      <c r="G132" t="s">
        <v>1668</v>
      </c>
      <c r="H132" s="281">
        <f>ROWS($G$4:G132)</f>
        <v>129</v>
      </c>
      <c r="I132" s="281" t="str">
        <f>IF('School Level Expenditures'!$B$2=A132,'School Tables'!H132,"")</f>
        <v/>
      </c>
      <c r="J132" s="281" t="str">
        <f>IFERROR(SMALL($I$4:$I$325,ROWS($I$4:I132)),"")</f>
        <v/>
      </c>
      <c r="K132" s="256" t="b">
        <f t="shared" si="6"/>
        <v>0</v>
      </c>
      <c r="AH132">
        <v>367</v>
      </c>
      <c r="AI132">
        <v>367</v>
      </c>
      <c r="AJ132" t="s">
        <v>1263</v>
      </c>
      <c r="AK132">
        <v>39</v>
      </c>
      <c r="AL132" t="s">
        <v>1660</v>
      </c>
    </row>
    <row r="133" spans="1:38" ht="12.75" x14ac:dyDescent="0.2">
      <c r="A133">
        <v>251</v>
      </c>
      <c r="B133" t="s">
        <v>1092</v>
      </c>
      <c r="C133" t="s">
        <v>1094</v>
      </c>
      <c r="D133">
        <v>20955</v>
      </c>
      <c r="E133" t="s">
        <v>61</v>
      </c>
      <c r="F133">
        <v>34</v>
      </c>
      <c r="G133" t="s">
        <v>1695</v>
      </c>
      <c r="H133" s="281">
        <f>ROWS($G$4:G133)</f>
        <v>130</v>
      </c>
      <c r="I133" s="281" t="str">
        <f>IF('School Level Expenditures'!$B$2=A133,'School Tables'!H133,"")</f>
        <v/>
      </c>
      <c r="J133" s="281" t="str">
        <f>IFERROR(SMALL($I$4:$I$325,ROWS($I$4:I133)),"")</f>
        <v/>
      </c>
      <c r="K133" s="256" t="b">
        <f t="shared" ref="K133:K196" si="9">C133=C134</f>
        <v>0</v>
      </c>
      <c r="AH133">
        <v>369</v>
      </c>
      <c r="AI133">
        <v>369</v>
      </c>
      <c r="AJ133" t="s">
        <v>1265</v>
      </c>
      <c r="AK133">
        <v>45</v>
      </c>
      <c r="AL133" t="s">
        <v>1717</v>
      </c>
    </row>
    <row r="134" spans="1:38" ht="51" x14ac:dyDescent="0.2">
      <c r="A134">
        <v>255</v>
      </c>
      <c r="B134" t="s">
        <v>1096</v>
      </c>
      <c r="C134" t="s">
        <v>1098</v>
      </c>
      <c r="D134">
        <v>21680</v>
      </c>
      <c r="E134" t="s">
        <v>61</v>
      </c>
      <c r="F134">
        <v>92</v>
      </c>
      <c r="G134" t="s">
        <v>1696</v>
      </c>
      <c r="H134" s="281">
        <f>ROWS($G$4:G134)</f>
        <v>131</v>
      </c>
      <c r="I134" s="281" t="str">
        <f>IF('School Level Expenditures'!$B$2=A134,'School Tables'!H134,"")</f>
        <v/>
      </c>
      <c r="J134" s="281" t="str">
        <f>IFERROR(SMALL($I$4:$I$325,ROWS($I$4:I134)),"")</f>
        <v/>
      </c>
      <c r="K134" s="256" t="b">
        <f t="shared" si="9"/>
        <v>0</v>
      </c>
      <c r="AH134" s="282">
        <v>704</v>
      </c>
      <c r="AI134" s="282">
        <v>704</v>
      </c>
      <c r="AJ134" s="282" t="s">
        <v>1479</v>
      </c>
      <c r="AK134" s="282">
        <v>427</v>
      </c>
      <c r="AL134" s="282" t="s">
        <v>1479</v>
      </c>
    </row>
    <row r="135" spans="1:38" ht="12.75" x14ac:dyDescent="0.2">
      <c r="A135">
        <v>257</v>
      </c>
      <c r="B135" t="s">
        <v>1100</v>
      </c>
      <c r="C135" t="s">
        <v>1101</v>
      </c>
      <c r="D135">
        <v>22345</v>
      </c>
      <c r="E135" t="s">
        <v>61</v>
      </c>
      <c r="F135">
        <v>48</v>
      </c>
      <c r="G135" t="s">
        <v>1652</v>
      </c>
      <c r="H135" s="281">
        <f>ROWS($G$4:G135)</f>
        <v>132</v>
      </c>
      <c r="I135" s="281" t="str">
        <f>IF('School Level Expenditures'!$B$2=A135,'School Tables'!H135,"")</f>
        <v/>
      </c>
      <c r="J135" s="281" t="str">
        <f>IFERROR(SMALL($I$4:$I$325,ROWS($I$4:I135)),"")</f>
        <v/>
      </c>
      <c r="K135" s="256" t="b">
        <f t="shared" si="9"/>
        <v>0</v>
      </c>
      <c r="AH135">
        <v>371</v>
      </c>
      <c r="AI135">
        <v>371</v>
      </c>
      <c r="AJ135" t="s">
        <v>1268</v>
      </c>
      <c r="AK135">
        <v>42</v>
      </c>
      <c r="AL135" t="s">
        <v>1634</v>
      </c>
    </row>
    <row r="136" spans="1:38" ht="12.75" x14ac:dyDescent="0.2">
      <c r="A136">
        <v>259</v>
      </c>
      <c r="B136" t="s">
        <v>1102</v>
      </c>
      <c r="C136" t="s">
        <v>1104</v>
      </c>
      <c r="D136">
        <v>21815</v>
      </c>
      <c r="E136" t="s">
        <v>61</v>
      </c>
      <c r="F136">
        <v>41</v>
      </c>
      <c r="G136" t="s">
        <v>1654</v>
      </c>
      <c r="H136" s="281">
        <f>ROWS($G$4:G136)</f>
        <v>133</v>
      </c>
      <c r="I136" s="281" t="str">
        <f>IF('School Level Expenditures'!$B$2=A136,'School Tables'!H136,"")</f>
        <v/>
      </c>
      <c r="J136" s="281" t="str">
        <f>IFERROR(SMALL($I$4:$I$325,ROWS($I$4:I136)),"")</f>
        <v/>
      </c>
      <c r="K136" s="256" t="b">
        <f t="shared" si="9"/>
        <v>0</v>
      </c>
      <c r="AH136">
        <v>375</v>
      </c>
      <c r="AI136">
        <v>375</v>
      </c>
      <c r="AJ136" t="s">
        <v>1286</v>
      </c>
      <c r="AK136">
        <v>29</v>
      </c>
      <c r="AL136" t="s">
        <v>1659</v>
      </c>
    </row>
    <row r="137" spans="1:38" ht="12.75" x14ac:dyDescent="0.2">
      <c r="A137">
        <v>259</v>
      </c>
      <c r="B137" t="s">
        <v>1102</v>
      </c>
      <c r="C137" t="s">
        <v>1103</v>
      </c>
      <c r="D137">
        <v>27530</v>
      </c>
      <c r="E137" t="s">
        <v>61</v>
      </c>
      <c r="F137">
        <v>41</v>
      </c>
      <c r="G137" t="s">
        <v>1654</v>
      </c>
      <c r="H137" s="281">
        <f>ROWS($G$4:G137)</f>
        <v>134</v>
      </c>
      <c r="I137" s="281" t="str">
        <f>IF('School Level Expenditures'!$B$2=A137,'School Tables'!H137,"")</f>
        <v/>
      </c>
      <c r="J137" s="281" t="str">
        <f>IFERROR(SMALL($I$4:$I$325,ROWS($I$4:I137)),"")</f>
        <v/>
      </c>
      <c r="K137" s="256" t="b">
        <f t="shared" si="9"/>
        <v>0</v>
      </c>
      <c r="AH137">
        <v>377</v>
      </c>
      <c r="AI137">
        <v>377</v>
      </c>
      <c r="AJ137" t="s">
        <v>1288</v>
      </c>
      <c r="AK137">
        <v>19</v>
      </c>
      <c r="AL137" t="s">
        <v>1643</v>
      </c>
    </row>
    <row r="138" spans="1:38" ht="12.75" x14ac:dyDescent="0.2">
      <c r="A138">
        <v>261</v>
      </c>
      <c r="B138" t="s">
        <v>1108</v>
      </c>
      <c r="C138" t="s">
        <v>1109</v>
      </c>
      <c r="D138">
        <v>20540</v>
      </c>
      <c r="E138" t="s">
        <v>61</v>
      </c>
      <c r="F138">
        <v>15</v>
      </c>
      <c r="G138" t="s">
        <v>1639</v>
      </c>
      <c r="H138" s="281">
        <f>ROWS($G$4:G138)</f>
        <v>135</v>
      </c>
      <c r="I138" s="281" t="str">
        <f>IF('School Level Expenditures'!$B$2=A138,'School Tables'!H138,"")</f>
        <v/>
      </c>
      <c r="J138" s="281" t="str">
        <f>IFERROR(SMALL($I$4:$I$325,ROWS($I$4:I138)),"")</f>
        <v/>
      </c>
      <c r="K138" s="256" t="b">
        <f t="shared" si="9"/>
        <v>0</v>
      </c>
      <c r="AH138">
        <v>381</v>
      </c>
      <c r="AI138">
        <v>381</v>
      </c>
      <c r="AJ138" t="s">
        <v>1290</v>
      </c>
      <c r="AK138">
        <v>50</v>
      </c>
      <c r="AL138" t="s">
        <v>1686</v>
      </c>
    </row>
    <row r="139" spans="1:38" ht="12.75" x14ac:dyDescent="0.2">
      <c r="A139">
        <v>491</v>
      </c>
      <c r="B139" t="s">
        <v>1400</v>
      </c>
      <c r="C139" t="s">
        <v>1403</v>
      </c>
      <c r="D139">
        <v>29202</v>
      </c>
      <c r="E139" t="s">
        <v>61</v>
      </c>
      <c r="F139">
        <v>56</v>
      </c>
      <c r="G139" t="s">
        <v>1697</v>
      </c>
      <c r="H139" s="281">
        <f>ROWS($G$4:G139)</f>
        <v>136</v>
      </c>
      <c r="I139" s="281" t="str">
        <f>IF('School Level Expenditures'!$B$2=A139,'School Tables'!H139,"")</f>
        <v/>
      </c>
      <c r="J139" s="281" t="str">
        <f>IFERROR(SMALL($I$4:$I$325,ROWS($I$4:I139)),"")</f>
        <v/>
      </c>
      <c r="K139" s="256" t="b">
        <f t="shared" si="9"/>
        <v>0</v>
      </c>
      <c r="AH139">
        <v>387</v>
      </c>
      <c r="AI139">
        <v>387</v>
      </c>
      <c r="AJ139" t="s">
        <v>1292</v>
      </c>
      <c r="AK139">
        <v>16</v>
      </c>
      <c r="AL139" t="s">
        <v>1670</v>
      </c>
    </row>
    <row r="140" spans="1:38" ht="12.75" x14ac:dyDescent="0.2">
      <c r="A140">
        <v>343</v>
      </c>
      <c r="B140" t="s">
        <v>1221</v>
      </c>
      <c r="C140" t="s">
        <v>1225</v>
      </c>
      <c r="D140">
        <v>26405</v>
      </c>
      <c r="E140" t="s">
        <v>61</v>
      </c>
      <c r="F140">
        <v>62</v>
      </c>
      <c r="G140" t="s">
        <v>1653</v>
      </c>
      <c r="H140" s="281">
        <f>ROWS($G$4:G140)</f>
        <v>137</v>
      </c>
      <c r="I140" s="281" t="str">
        <f>IF('School Level Expenditures'!$B$2=A140,'School Tables'!H140,"")</f>
        <v/>
      </c>
      <c r="J140" s="281" t="str">
        <f>IFERROR(SMALL($I$4:$I$325,ROWS($I$4:I140)),"")</f>
        <v/>
      </c>
      <c r="K140" s="256" t="b">
        <f t="shared" si="9"/>
        <v>0</v>
      </c>
      <c r="AH140">
        <v>388</v>
      </c>
      <c r="AI140">
        <v>0</v>
      </c>
      <c r="AJ140" t="s">
        <v>1754</v>
      </c>
      <c r="AK140">
        <v>4</v>
      </c>
      <c r="AL140" t="s">
        <v>1651</v>
      </c>
    </row>
    <row r="141" spans="1:38" ht="12.75" x14ac:dyDescent="0.2">
      <c r="A141">
        <v>269</v>
      </c>
      <c r="B141" t="s">
        <v>1123</v>
      </c>
      <c r="C141" t="s">
        <v>1124</v>
      </c>
      <c r="D141">
        <v>29200</v>
      </c>
      <c r="E141" t="s">
        <v>61</v>
      </c>
      <c r="F141">
        <v>2</v>
      </c>
      <c r="G141" t="s">
        <v>1637</v>
      </c>
      <c r="H141" s="281">
        <f>ROWS($G$4:G141)</f>
        <v>138</v>
      </c>
      <c r="I141" s="281" t="str">
        <f>IF('School Level Expenditures'!$B$2=A141,'School Tables'!H141,"")</f>
        <v/>
      </c>
      <c r="J141" s="281" t="str">
        <f>IFERROR(SMALL($I$4:$I$325,ROWS($I$4:I141)),"")</f>
        <v/>
      </c>
      <c r="K141" s="256" t="b">
        <f t="shared" si="9"/>
        <v>0</v>
      </c>
      <c r="AH141">
        <v>391</v>
      </c>
      <c r="AI141">
        <v>391</v>
      </c>
      <c r="AJ141" t="s">
        <v>1300</v>
      </c>
      <c r="AK141">
        <v>50</v>
      </c>
      <c r="AL141" t="s">
        <v>1686</v>
      </c>
    </row>
    <row r="142" spans="1:38" ht="12.75" x14ac:dyDescent="0.2">
      <c r="A142">
        <v>269</v>
      </c>
      <c r="B142" t="s">
        <v>1123</v>
      </c>
      <c r="C142" t="s">
        <v>1125</v>
      </c>
      <c r="D142">
        <v>29201</v>
      </c>
      <c r="E142" t="s">
        <v>61</v>
      </c>
      <c r="F142">
        <v>2</v>
      </c>
      <c r="G142" t="s">
        <v>1637</v>
      </c>
      <c r="H142" s="281">
        <f>ROWS($G$4:G142)</f>
        <v>139</v>
      </c>
      <c r="I142" s="281" t="str">
        <f>IF('School Level Expenditures'!$B$2=A142,'School Tables'!H142,"")</f>
        <v/>
      </c>
      <c r="J142" s="281" t="str">
        <f>IFERROR(SMALL($I$4:$I$325,ROWS($I$4:I142)),"")</f>
        <v/>
      </c>
      <c r="K142" s="256" t="b">
        <f t="shared" si="9"/>
        <v>0</v>
      </c>
      <c r="AH142">
        <v>399</v>
      </c>
      <c r="AI142">
        <v>399</v>
      </c>
      <c r="AJ142" t="s">
        <v>1302</v>
      </c>
      <c r="AK142">
        <v>31</v>
      </c>
      <c r="AL142" t="s">
        <v>1718</v>
      </c>
    </row>
    <row r="143" spans="1:38" ht="12.75" x14ac:dyDescent="0.2">
      <c r="A143">
        <v>271</v>
      </c>
      <c r="B143" t="s">
        <v>1128</v>
      </c>
      <c r="C143" t="s">
        <v>1129</v>
      </c>
      <c r="D143">
        <v>20355</v>
      </c>
      <c r="E143" t="s">
        <v>61</v>
      </c>
      <c r="F143">
        <v>9</v>
      </c>
      <c r="G143" t="s">
        <v>1662</v>
      </c>
      <c r="H143" s="281">
        <f>ROWS($G$4:G143)</f>
        <v>140</v>
      </c>
      <c r="I143" s="281" t="str">
        <f>IF('School Level Expenditures'!$B$2=A143,'School Tables'!H143,"")</f>
        <v/>
      </c>
      <c r="J143" s="281" t="str">
        <f>IFERROR(SMALL($I$4:$I$325,ROWS($I$4:I143)),"")</f>
        <v/>
      </c>
      <c r="K143" s="256" t="b">
        <f t="shared" si="9"/>
        <v>0</v>
      </c>
      <c r="AH143">
        <v>401</v>
      </c>
      <c r="AI143">
        <v>401</v>
      </c>
      <c r="AJ143" t="s">
        <v>1306</v>
      </c>
      <c r="AK143">
        <v>43</v>
      </c>
      <c r="AL143" t="s">
        <v>1725</v>
      </c>
    </row>
    <row r="144" spans="1:38" ht="25.5" x14ac:dyDescent="0.2">
      <c r="A144">
        <v>357</v>
      </c>
      <c r="B144" t="s">
        <v>1247</v>
      </c>
      <c r="C144" t="s">
        <v>1251</v>
      </c>
      <c r="D144">
        <v>26580</v>
      </c>
      <c r="E144" t="s">
        <v>61</v>
      </c>
      <c r="F144">
        <v>40</v>
      </c>
      <c r="G144" t="s">
        <v>1693</v>
      </c>
      <c r="H144" s="281">
        <f>ROWS($G$4:G144)</f>
        <v>141</v>
      </c>
      <c r="I144" s="281" t="str">
        <f>IF('School Level Expenditures'!$B$2=A144,'School Tables'!H144,"")</f>
        <v/>
      </c>
      <c r="J144" s="281" t="str">
        <f>IFERROR(SMALL($I$4:$I$325,ROWS($I$4:I144)),"")</f>
        <v/>
      </c>
      <c r="K144" s="256" t="b">
        <f t="shared" si="9"/>
        <v>0</v>
      </c>
      <c r="AH144" s="282">
        <v>740</v>
      </c>
      <c r="AI144" s="282">
        <v>740</v>
      </c>
      <c r="AJ144" s="282" t="s">
        <v>1507</v>
      </c>
      <c r="AK144" s="282">
        <v>422</v>
      </c>
      <c r="AL144" s="282" t="s">
        <v>1507</v>
      </c>
    </row>
    <row r="145" spans="1:38" ht="51" x14ac:dyDescent="0.2">
      <c r="A145">
        <v>274</v>
      </c>
      <c r="B145" t="s">
        <v>1130</v>
      </c>
      <c r="C145" t="s">
        <v>1132</v>
      </c>
      <c r="D145">
        <v>22275</v>
      </c>
      <c r="E145" t="s">
        <v>61</v>
      </c>
      <c r="F145">
        <v>47</v>
      </c>
      <c r="G145" t="s">
        <v>1698</v>
      </c>
      <c r="H145" s="281">
        <f>ROWS($G$4:G145)</f>
        <v>142</v>
      </c>
      <c r="I145" s="281" t="str">
        <f>IF('School Level Expenditures'!$B$2=A145,'School Tables'!H145,"")</f>
        <v/>
      </c>
      <c r="J145" s="281" t="str">
        <f>IFERROR(SMALL($I$4:$I$325,ROWS($I$4:I145)),"")</f>
        <v/>
      </c>
      <c r="K145" s="256" t="b">
        <f t="shared" si="9"/>
        <v>0</v>
      </c>
      <c r="AH145" s="282">
        <v>703</v>
      </c>
      <c r="AI145" s="282">
        <v>703</v>
      </c>
      <c r="AJ145" s="282" t="s">
        <v>1476</v>
      </c>
      <c r="AK145" s="282">
        <v>402</v>
      </c>
      <c r="AL145" s="282" t="s">
        <v>1476</v>
      </c>
    </row>
    <row r="146" spans="1:38" ht="12.75" x14ac:dyDescent="0.2">
      <c r="A146">
        <v>503</v>
      </c>
      <c r="B146" t="s">
        <v>1413</v>
      </c>
      <c r="C146" t="s">
        <v>1414</v>
      </c>
      <c r="D146">
        <v>20980</v>
      </c>
      <c r="E146" t="s">
        <v>61</v>
      </c>
      <c r="F146">
        <v>24</v>
      </c>
      <c r="G146" t="s">
        <v>1656</v>
      </c>
      <c r="H146" s="281">
        <f>ROWS($G$4:G146)</f>
        <v>143</v>
      </c>
      <c r="I146" s="281" t="str">
        <f>IF('School Level Expenditures'!$B$2=A146,'School Tables'!H146,"")</f>
        <v/>
      </c>
      <c r="J146" s="281" t="str">
        <f>IFERROR(SMALL($I$4:$I$325,ROWS($I$4:I146)),"")</f>
        <v/>
      </c>
      <c r="K146" s="256" t="b">
        <f t="shared" si="9"/>
        <v>0</v>
      </c>
      <c r="AH146">
        <v>405</v>
      </c>
      <c r="AI146">
        <v>405</v>
      </c>
      <c r="AJ146" t="s">
        <v>1310</v>
      </c>
      <c r="AK146">
        <v>21</v>
      </c>
      <c r="AL146" t="s">
        <v>1705</v>
      </c>
    </row>
    <row r="147" spans="1:38" ht="51" x14ac:dyDescent="0.2">
      <c r="A147">
        <v>351</v>
      </c>
      <c r="B147" t="s">
        <v>1228</v>
      </c>
      <c r="C147" t="s">
        <v>1231</v>
      </c>
      <c r="D147">
        <v>21020</v>
      </c>
      <c r="E147" t="s">
        <v>61</v>
      </c>
      <c r="F147">
        <v>26</v>
      </c>
      <c r="G147" t="s">
        <v>1700</v>
      </c>
      <c r="H147" s="281">
        <f>ROWS($G$4:G147)</f>
        <v>144</v>
      </c>
      <c r="I147" s="281" t="str">
        <f>IF('School Level Expenditures'!$B$2=A147,'School Tables'!H147,"")</f>
        <v/>
      </c>
      <c r="J147" s="281" t="str">
        <f>IFERROR(SMALL($I$4:$I$325,ROWS($I$4:I147)),"")</f>
        <v/>
      </c>
      <c r="K147" s="256" t="b">
        <f t="shared" si="9"/>
        <v>0</v>
      </c>
      <c r="AH147" s="282">
        <v>716</v>
      </c>
      <c r="AI147" s="282">
        <v>716</v>
      </c>
      <c r="AJ147" s="282" t="s">
        <v>1599</v>
      </c>
      <c r="AK147" s="282">
        <v>441</v>
      </c>
      <c r="AL147" s="282" t="s">
        <v>1599</v>
      </c>
    </row>
    <row r="148" spans="1:38" ht="12.75" x14ac:dyDescent="0.2">
      <c r="A148">
        <v>351</v>
      </c>
      <c r="B148" t="s">
        <v>1228</v>
      </c>
      <c r="C148" t="s">
        <v>1232</v>
      </c>
      <c r="D148">
        <v>21025</v>
      </c>
      <c r="E148" t="s">
        <v>61</v>
      </c>
      <c r="F148">
        <v>26</v>
      </c>
      <c r="G148" t="s">
        <v>1700</v>
      </c>
      <c r="H148" s="281">
        <f>ROWS($G$4:G148)</f>
        <v>145</v>
      </c>
      <c r="I148" s="281" t="str">
        <f>IF('School Level Expenditures'!$B$2=A148,'School Tables'!H148,"")</f>
        <v/>
      </c>
      <c r="J148" s="281" t="str">
        <f>IFERROR(SMALL($I$4:$I$325,ROWS($I$4:I148)),"")</f>
        <v/>
      </c>
      <c r="K148" s="256" t="b">
        <f t="shared" si="9"/>
        <v>0</v>
      </c>
      <c r="AH148">
        <v>407</v>
      </c>
      <c r="AI148">
        <v>407</v>
      </c>
      <c r="AJ148" t="s">
        <v>1312</v>
      </c>
      <c r="AK148">
        <v>58</v>
      </c>
      <c r="AL148" t="s">
        <v>1688</v>
      </c>
    </row>
    <row r="149" spans="1:38" ht="12.75" x14ac:dyDescent="0.2">
      <c r="A149">
        <v>247</v>
      </c>
      <c r="B149" t="s">
        <v>1090</v>
      </c>
      <c r="C149" t="s">
        <v>1091</v>
      </c>
      <c r="D149">
        <v>20670</v>
      </c>
      <c r="E149" t="s">
        <v>61</v>
      </c>
      <c r="F149">
        <v>103</v>
      </c>
      <c r="G149" t="s">
        <v>1701</v>
      </c>
      <c r="H149" s="281">
        <f>ROWS($G$4:G149)</f>
        <v>146</v>
      </c>
      <c r="I149" s="281" t="str">
        <f>IF('School Level Expenditures'!$B$2=A149,'School Tables'!H149,"")</f>
        <v/>
      </c>
      <c r="J149" s="281" t="str">
        <f>IFERROR(SMALL($I$4:$I$325,ROWS($I$4:I149)),"")</f>
        <v/>
      </c>
      <c r="K149" s="256" t="b">
        <f t="shared" si="9"/>
        <v>0</v>
      </c>
      <c r="AH149">
        <v>411</v>
      </c>
      <c r="AI149">
        <v>411</v>
      </c>
      <c r="AJ149" t="s">
        <v>1316</v>
      </c>
      <c r="AK149">
        <v>44</v>
      </c>
      <c r="AL149" t="s">
        <v>1719</v>
      </c>
    </row>
    <row r="150" spans="1:38" ht="12.75" x14ac:dyDescent="0.2">
      <c r="A150">
        <v>335</v>
      </c>
      <c r="B150" t="s">
        <v>895</v>
      </c>
      <c r="C150" t="s">
        <v>1206</v>
      </c>
      <c r="D150">
        <v>21590</v>
      </c>
      <c r="E150" t="s">
        <v>61</v>
      </c>
      <c r="F150">
        <v>37</v>
      </c>
      <c r="G150" t="s">
        <v>1640</v>
      </c>
      <c r="H150" s="281">
        <f>ROWS($G$4:G150)</f>
        <v>147</v>
      </c>
      <c r="I150" s="281" t="str">
        <f>IF('School Level Expenditures'!$B$2=A150,'School Tables'!H150,"")</f>
        <v/>
      </c>
      <c r="J150" s="281" t="str">
        <f>IFERROR(SMALL($I$4:$I$325,ROWS($I$4:I150)),"")</f>
        <v/>
      </c>
      <c r="K150" s="256" t="b">
        <f t="shared" si="9"/>
        <v>0</v>
      </c>
      <c r="AH150">
        <v>413</v>
      </c>
      <c r="AI150">
        <v>413</v>
      </c>
      <c r="AJ150" t="s">
        <v>1318</v>
      </c>
      <c r="AK150">
        <v>44</v>
      </c>
      <c r="AL150" t="s">
        <v>1719</v>
      </c>
    </row>
    <row r="151" spans="1:38" ht="12.75" x14ac:dyDescent="0.2">
      <c r="A151">
        <v>341</v>
      </c>
      <c r="B151" t="s">
        <v>1215</v>
      </c>
      <c r="C151" t="s">
        <v>1216</v>
      </c>
      <c r="D151">
        <v>23000</v>
      </c>
      <c r="E151" t="s">
        <v>61</v>
      </c>
      <c r="F151">
        <v>29</v>
      </c>
      <c r="G151" t="s">
        <v>1659</v>
      </c>
      <c r="H151" s="281">
        <f>ROWS($G$4:G151)</f>
        <v>148</v>
      </c>
      <c r="I151" s="281" t="str">
        <f>IF('School Level Expenditures'!$B$2=A151,'School Tables'!H151,"")</f>
        <v/>
      </c>
      <c r="J151" s="281" t="str">
        <f>IFERROR(SMALL($I$4:$I$325,ROWS($I$4:I151)),"")</f>
        <v/>
      </c>
      <c r="K151" s="256" t="b">
        <f t="shared" si="9"/>
        <v>0</v>
      </c>
      <c r="AH151">
        <v>423</v>
      </c>
      <c r="AI151">
        <v>0</v>
      </c>
      <c r="AJ151" t="s">
        <v>1320</v>
      </c>
      <c r="AK151">
        <v>5</v>
      </c>
      <c r="AL151" t="s">
        <v>1710</v>
      </c>
    </row>
    <row r="152" spans="1:38" ht="12.75" x14ac:dyDescent="0.2">
      <c r="A152">
        <v>113</v>
      </c>
      <c r="B152" t="s">
        <v>978</v>
      </c>
      <c r="C152" t="s">
        <v>980</v>
      </c>
      <c r="D152">
        <v>20335</v>
      </c>
      <c r="E152" t="s">
        <v>61</v>
      </c>
      <c r="F152">
        <v>9</v>
      </c>
      <c r="G152" t="s">
        <v>1662</v>
      </c>
      <c r="H152" s="281">
        <f>ROWS($G$4:G152)</f>
        <v>149</v>
      </c>
      <c r="I152" s="281" t="str">
        <f>IF('School Level Expenditures'!$B$2=A152,'School Tables'!H152,"")</f>
        <v/>
      </c>
      <c r="J152" s="281" t="str">
        <f>IFERROR(SMALL($I$4:$I$325,ROWS($I$4:I152)),"")</f>
        <v/>
      </c>
      <c r="K152" s="256" t="b">
        <f t="shared" si="9"/>
        <v>0</v>
      </c>
      <c r="AH152">
        <v>425</v>
      </c>
      <c r="AI152">
        <v>425</v>
      </c>
      <c r="AJ152" t="s">
        <v>1325</v>
      </c>
      <c r="AK152">
        <v>28</v>
      </c>
      <c r="AL152" t="s">
        <v>1722</v>
      </c>
    </row>
    <row r="153" spans="1:38" ht="12.75" x14ac:dyDescent="0.2">
      <c r="A153">
        <v>279</v>
      </c>
      <c r="B153" t="s">
        <v>1142</v>
      </c>
      <c r="C153" t="s">
        <v>1539</v>
      </c>
      <c r="D153">
        <v>29180</v>
      </c>
      <c r="E153" t="s">
        <v>61</v>
      </c>
      <c r="F153">
        <v>29</v>
      </c>
      <c r="G153" t="s">
        <v>1659</v>
      </c>
      <c r="H153" s="281">
        <f>ROWS($G$4:G153)</f>
        <v>150</v>
      </c>
      <c r="I153" s="281" t="str">
        <f>IF('School Level Expenditures'!$B$2=A153,'School Tables'!H153,"")</f>
        <v/>
      </c>
      <c r="J153" s="281" t="str">
        <f>IFERROR(SMALL($I$4:$I$325,ROWS($I$4:I153)),"")</f>
        <v/>
      </c>
      <c r="K153" s="256" t="b">
        <f t="shared" si="9"/>
        <v>0</v>
      </c>
      <c r="AH153">
        <v>427</v>
      </c>
      <c r="AI153">
        <v>427</v>
      </c>
      <c r="AJ153" t="s">
        <v>1329</v>
      </c>
      <c r="AK153">
        <v>53</v>
      </c>
      <c r="AL153" t="s">
        <v>1632</v>
      </c>
    </row>
    <row r="154" spans="1:38" ht="12.75" x14ac:dyDescent="0.2">
      <c r="A154">
        <v>35</v>
      </c>
      <c r="B154" t="s">
        <v>919</v>
      </c>
      <c r="C154" t="s">
        <v>920</v>
      </c>
      <c r="D154">
        <v>20325</v>
      </c>
      <c r="E154" t="s">
        <v>61</v>
      </c>
      <c r="F154">
        <v>9</v>
      </c>
      <c r="G154" t="s">
        <v>1662</v>
      </c>
      <c r="H154" s="281">
        <f>ROWS($G$4:G154)</f>
        <v>151</v>
      </c>
      <c r="I154" s="281" t="str">
        <f>IF('School Level Expenditures'!$B$2=A154,'School Tables'!H154,"")</f>
        <v/>
      </c>
      <c r="J154" s="281" t="str">
        <f>IFERROR(SMALL($I$4:$I$325,ROWS($I$4:I154)),"")</f>
        <v/>
      </c>
      <c r="K154" s="256" t="b">
        <f t="shared" si="9"/>
        <v>0</v>
      </c>
      <c r="AH154">
        <v>428</v>
      </c>
      <c r="AI154">
        <v>0</v>
      </c>
      <c r="AJ154" t="s">
        <v>1333</v>
      </c>
      <c r="AK154">
        <v>48</v>
      </c>
      <c r="AL154" t="s">
        <v>1652</v>
      </c>
    </row>
    <row r="155" spans="1:38" ht="12.75" x14ac:dyDescent="0.2">
      <c r="A155">
        <v>276</v>
      </c>
      <c r="B155" t="s">
        <v>1135</v>
      </c>
      <c r="C155" t="s">
        <v>1139</v>
      </c>
      <c r="D155">
        <v>21980</v>
      </c>
      <c r="E155" t="s">
        <v>61</v>
      </c>
      <c r="F155">
        <v>65</v>
      </c>
      <c r="G155" t="s">
        <v>1699</v>
      </c>
      <c r="H155" s="281">
        <f>ROWS($G$4:G155)</f>
        <v>152</v>
      </c>
      <c r="I155" s="281" t="str">
        <f>IF('School Level Expenditures'!$B$2=A155,'School Tables'!H155,"")</f>
        <v/>
      </c>
      <c r="J155" s="281" t="str">
        <f>IFERROR(SMALL($I$4:$I$325,ROWS($I$4:I155)),"")</f>
        <v/>
      </c>
      <c r="K155" s="256" t="b">
        <f t="shared" si="9"/>
        <v>0</v>
      </c>
      <c r="AH155">
        <v>435</v>
      </c>
      <c r="AI155">
        <v>435</v>
      </c>
      <c r="AJ155" t="s">
        <v>1335</v>
      </c>
      <c r="AK155">
        <v>23</v>
      </c>
      <c r="AL155" t="s">
        <v>1644</v>
      </c>
    </row>
    <row r="156" spans="1:38" ht="12.75" x14ac:dyDescent="0.2">
      <c r="A156">
        <v>276</v>
      </c>
      <c r="B156" t="s">
        <v>1135</v>
      </c>
      <c r="C156" t="s">
        <v>1140</v>
      </c>
      <c r="D156">
        <v>26530</v>
      </c>
      <c r="E156" t="s">
        <v>61</v>
      </c>
      <c r="F156">
        <v>65</v>
      </c>
      <c r="G156" t="s">
        <v>1699</v>
      </c>
      <c r="H156" s="281">
        <f>ROWS($G$4:G156)</f>
        <v>153</v>
      </c>
      <c r="I156" s="281" t="str">
        <f>IF('School Level Expenditures'!$B$2=A156,'School Tables'!H156,"")</f>
        <v/>
      </c>
      <c r="J156" s="281" t="str">
        <f>IFERROR(SMALL($I$4:$I$325,ROWS($I$4:I156)),"")</f>
        <v/>
      </c>
      <c r="K156" s="256" t="b">
        <f t="shared" si="9"/>
        <v>0</v>
      </c>
      <c r="AH156">
        <v>437</v>
      </c>
      <c r="AI156">
        <v>437</v>
      </c>
      <c r="AJ156" t="s">
        <v>1337</v>
      </c>
      <c r="AK156">
        <v>7</v>
      </c>
      <c r="AL156" t="s">
        <v>1661</v>
      </c>
    </row>
    <row r="157" spans="1:38" ht="12.75" x14ac:dyDescent="0.2">
      <c r="A157">
        <v>276</v>
      </c>
      <c r="B157" t="s">
        <v>1135</v>
      </c>
      <c r="C157" t="s">
        <v>1812</v>
      </c>
      <c r="D157">
        <v>29259</v>
      </c>
      <c r="E157" t="s">
        <v>61</v>
      </c>
      <c r="F157">
        <v>65</v>
      </c>
      <c r="G157" t="s">
        <v>1699</v>
      </c>
      <c r="H157" s="281">
        <f>ROWS($G$4:G157)</f>
        <v>154</v>
      </c>
      <c r="I157" s="281" t="str">
        <f>IF('School Level Expenditures'!$B$2=A157,'School Tables'!H157,"")</f>
        <v/>
      </c>
      <c r="J157" s="281" t="str">
        <f>IFERROR(SMALL($I$4:$I$325,ROWS($I$4:I157)),"")</f>
        <v/>
      </c>
      <c r="K157" s="256" t="b">
        <f t="shared" si="9"/>
        <v>0</v>
      </c>
      <c r="AH157">
        <v>439</v>
      </c>
      <c r="AI157">
        <v>439</v>
      </c>
      <c r="AJ157" t="s">
        <v>1340</v>
      </c>
      <c r="AK157">
        <v>51</v>
      </c>
      <c r="AL157" t="s">
        <v>1723</v>
      </c>
    </row>
    <row r="158" spans="1:38" ht="12.75" x14ac:dyDescent="0.2">
      <c r="A158">
        <v>276</v>
      </c>
      <c r="B158" t="s">
        <v>1135</v>
      </c>
      <c r="C158" t="s">
        <v>1813</v>
      </c>
      <c r="D158">
        <v>26565</v>
      </c>
      <c r="E158" t="s">
        <v>61</v>
      </c>
      <c r="F158">
        <v>65</v>
      </c>
      <c r="G158" t="s">
        <v>1699</v>
      </c>
      <c r="H158" s="281">
        <f>ROWS($G$4:G158)</f>
        <v>155</v>
      </c>
      <c r="I158" s="281" t="str">
        <f>IF('School Level Expenditures'!$B$2=A158,'School Tables'!H158,"")</f>
        <v/>
      </c>
      <c r="J158" s="281" t="str">
        <f>IFERROR(SMALL($I$4:$I$325,ROWS($I$4:I158)),"")</f>
        <v/>
      </c>
      <c r="K158" s="256" t="b">
        <f t="shared" si="9"/>
        <v>0</v>
      </c>
      <c r="AH158">
        <v>441</v>
      </c>
      <c r="AI158">
        <v>441</v>
      </c>
      <c r="AJ158" t="s">
        <v>1344</v>
      </c>
      <c r="AK158">
        <v>32</v>
      </c>
      <c r="AL158" t="s">
        <v>1724</v>
      </c>
    </row>
    <row r="159" spans="1:38" ht="12.75" x14ac:dyDescent="0.2">
      <c r="A159">
        <v>525</v>
      </c>
      <c r="B159" t="s">
        <v>1424</v>
      </c>
      <c r="C159" t="s">
        <v>1425</v>
      </c>
      <c r="D159">
        <v>20365</v>
      </c>
      <c r="E159" t="s">
        <v>61</v>
      </c>
      <c r="F159">
        <v>13</v>
      </c>
      <c r="G159" t="s">
        <v>1677</v>
      </c>
      <c r="H159" s="281">
        <f>ROWS($G$4:G159)</f>
        <v>156</v>
      </c>
      <c r="I159" s="281" t="str">
        <f>IF('School Level Expenditures'!$B$2=A159,'School Tables'!H159,"")</f>
        <v/>
      </c>
      <c r="J159" s="281" t="str">
        <f>IFERROR(SMALL($I$4:$I$325,ROWS($I$4:I159)),"")</f>
        <v/>
      </c>
      <c r="K159" s="256" t="b">
        <f t="shared" si="9"/>
        <v>0</v>
      </c>
      <c r="AH159">
        <v>447</v>
      </c>
      <c r="AI159">
        <v>447</v>
      </c>
      <c r="AJ159" t="s">
        <v>1346</v>
      </c>
      <c r="AK159">
        <v>48</v>
      </c>
      <c r="AL159" t="s">
        <v>1652</v>
      </c>
    </row>
    <row r="160" spans="1:38" ht="38.25" x14ac:dyDescent="0.2">
      <c r="A160">
        <v>281</v>
      </c>
      <c r="B160" t="s">
        <v>1149</v>
      </c>
      <c r="C160" t="s">
        <v>1150</v>
      </c>
      <c r="D160">
        <v>20605</v>
      </c>
      <c r="E160" t="s">
        <v>61</v>
      </c>
      <c r="F160">
        <v>16</v>
      </c>
      <c r="G160" t="s">
        <v>1670</v>
      </c>
      <c r="H160" s="281">
        <f>ROWS($G$4:G160)</f>
        <v>157</v>
      </c>
      <c r="I160" s="281" t="str">
        <f>IF('School Level Expenditures'!$B$2=A160,'School Tables'!H160,"")</f>
        <v/>
      </c>
      <c r="J160" s="281" t="str">
        <f>IFERROR(SMALL($I$4:$I$325,ROWS($I$4:I160)),"")</f>
        <v/>
      </c>
      <c r="K160" s="256" t="b">
        <f t="shared" si="9"/>
        <v>0</v>
      </c>
      <c r="AH160" s="282">
        <v>735</v>
      </c>
      <c r="AI160" s="282">
        <v>735</v>
      </c>
      <c r="AJ160" s="282" t="s">
        <v>1505</v>
      </c>
      <c r="AK160" s="282">
        <v>419</v>
      </c>
      <c r="AL160" s="282" t="s">
        <v>1505</v>
      </c>
    </row>
    <row r="161" spans="1:38" ht="12.75" x14ac:dyDescent="0.2">
      <c r="A161">
        <v>288</v>
      </c>
      <c r="B161" t="s">
        <v>1157</v>
      </c>
      <c r="C161" t="s">
        <v>1158</v>
      </c>
      <c r="D161">
        <v>21405</v>
      </c>
      <c r="E161" t="s">
        <v>61</v>
      </c>
      <c r="F161">
        <v>35</v>
      </c>
      <c r="G161" t="s">
        <v>1648</v>
      </c>
      <c r="H161" s="281">
        <f>ROWS($G$4:G161)</f>
        <v>158</v>
      </c>
      <c r="I161" s="281" t="str">
        <f>IF('School Level Expenditures'!$B$2=A161,'School Tables'!H161,"")</f>
        <v/>
      </c>
      <c r="J161" s="281" t="str">
        <f>IFERROR(SMALL($I$4:$I$325,ROWS($I$4:I161)),"")</f>
        <v/>
      </c>
      <c r="K161" s="256" t="b">
        <f t="shared" si="9"/>
        <v>0</v>
      </c>
      <c r="AH161">
        <v>449</v>
      </c>
      <c r="AI161">
        <v>449</v>
      </c>
      <c r="AJ161" t="s">
        <v>1348</v>
      </c>
      <c r="AK161">
        <v>52</v>
      </c>
      <c r="AL161" t="s">
        <v>1707</v>
      </c>
    </row>
    <row r="162" spans="1:38" ht="12.75" x14ac:dyDescent="0.2">
      <c r="A162">
        <v>453</v>
      </c>
      <c r="B162" t="s">
        <v>1357</v>
      </c>
      <c r="C162" t="s">
        <v>1358</v>
      </c>
      <c r="D162">
        <v>21385</v>
      </c>
      <c r="E162" t="s">
        <v>61</v>
      </c>
      <c r="F162">
        <v>33</v>
      </c>
      <c r="G162" t="s">
        <v>1702</v>
      </c>
      <c r="H162" s="281">
        <f>ROWS($G$4:G162)</f>
        <v>159</v>
      </c>
      <c r="I162" s="281" t="str">
        <f>IF('School Level Expenditures'!$B$2=A162,'School Tables'!H162,"")</f>
        <v/>
      </c>
      <c r="J162" s="281" t="str">
        <f>IFERROR(SMALL($I$4:$I$325,ROWS($I$4:I162)),"")</f>
        <v/>
      </c>
      <c r="K162" s="256" t="b">
        <f t="shared" si="9"/>
        <v>0</v>
      </c>
      <c r="AH162">
        <v>450</v>
      </c>
      <c r="AI162">
        <v>0</v>
      </c>
      <c r="AJ162" t="s">
        <v>1354</v>
      </c>
      <c r="AK162">
        <v>35</v>
      </c>
      <c r="AL162" t="s">
        <v>1648</v>
      </c>
    </row>
    <row r="163" spans="1:38" ht="12.75" x14ac:dyDescent="0.2">
      <c r="A163">
        <v>568</v>
      </c>
      <c r="B163" t="s">
        <v>1453</v>
      </c>
      <c r="C163" t="s">
        <v>1455</v>
      </c>
      <c r="D163">
        <v>21475</v>
      </c>
      <c r="E163" t="s">
        <v>61</v>
      </c>
      <c r="F163">
        <v>36</v>
      </c>
      <c r="G163" t="s">
        <v>1703</v>
      </c>
      <c r="H163" s="281">
        <f>ROWS($G$4:G163)</f>
        <v>160</v>
      </c>
      <c r="I163" s="281" t="str">
        <f>IF('School Level Expenditures'!$B$2=A163,'School Tables'!H163,"")</f>
        <v/>
      </c>
      <c r="J163" s="281" t="str">
        <f>IFERROR(SMALL($I$4:$I$325,ROWS($I$4:I163)),"")</f>
        <v/>
      </c>
      <c r="K163" s="256" t="b">
        <f t="shared" si="9"/>
        <v>0</v>
      </c>
      <c r="AH163">
        <v>453</v>
      </c>
      <c r="AI163">
        <v>453</v>
      </c>
      <c r="AJ163" t="s">
        <v>1357</v>
      </c>
      <c r="AK163">
        <v>33</v>
      </c>
      <c r="AL163" t="s">
        <v>1702</v>
      </c>
    </row>
    <row r="164" spans="1:38" ht="12.75" x14ac:dyDescent="0.2">
      <c r="A164">
        <v>291</v>
      </c>
      <c r="B164" t="s">
        <v>1159</v>
      </c>
      <c r="C164" t="s">
        <v>1160</v>
      </c>
      <c r="D164">
        <v>21410</v>
      </c>
      <c r="E164" t="s">
        <v>61</v>
      </c>
      <c r="F164">
        <v>35</v>
      </c>
      <c r="G164" t="s">
        <v>1648</v>
      </c>
      <c r="H164" s="281">
        <f>ROWS($G$4:G164)</f>
        <v>161</v>
      </c>
      <c r="I164" s="281" t="str">
        <f>IF('School Level Expenditures'!$B$2=A164,'School Tables'!H164,"")</f>
        <v/>
      </c>
      <c r="J164" s="281" t="str">
        <f>IFERROR(SMALL($I$4:$I$325,ROWS($I$4:I164)),"")</f>
        <v/>
      </c>
      <c r="K164" s="256" t="b">
        <f t="shared" si="9"/>
        <v>0</v>
      </c>
      <c r="AH164">
        <v>457</v>
      </c>
      <c r="AI164">
        <v>0</v>
      </c>
      <c r="AJ164" t="s">
        <v>1597</v>
      </c>
      <c r="AK164">
        <v>78</v>
      </c>
      <c r="AL164" t="s">
        <v>1726</v>
      </c>
    </row>
    <row r="165" spans="1:38" ht="12.75" x14ac:dyDescent="0.2">
      <c r="A165">
        <v>371</v>
      </c>
      <c r="B165" t="s">
        <v>1268</v>
      </c>
      <c r="C165" t="s">
        <v>1280</v>
      </c>
      <c r="D165">
        <v>21915</v>
      </c>
      <c r="E165" t="s">
        <v>61</v>
      </c>
      <c r="F165">
        <v>42</v>
      </c>
      <c r="G165" t="s">
        <v>1634</v>
      </c>
      <c r="H165" s="281">
        <f>ROWS($G$4:G165)</f>
        <v>162</v>
      </c>
      <c r="I165" s="281" t="str">
        <f>IF('School Level Expenditures'!$B$2=A165,'School Tables'!H165,"")</f>
        <v/>
      </c>
      <c r="J165" s="281" t="str">
        <f>IFERROR(SMALL($I$4:$I$325,ROWS($I$4:I165)),"")</f>
        <v/>
      </c>
      <c r="K165" s="256" t="b">
        <f t="shared" si="9"/>
        <v>0</v>
      </c>
      <c r="AH165">
        <v>724</v>
      </c>
      <c r="AI165">
        <v>724</v>
      </c>
      <c r="AJ165" s="71" t="s">
        <v>1834</v>
      </c>
      <c r="AK165">
        <v>454</v>
      </c>
      <c r="AL165" s="71" t="s">
        <v>1834</v>
      </c>
    </row>
    <row r="166" spans="1:38" ht="38.25" x14ac:dyDescent="0.2">
      <c r="A166">
        <v>299</v>
      </c>
      <c r="B166" t="s">
        <v>1166</v>
      </c>
      <c r="C166" t="s">
        <v>1167</v>
      </c>
      <c r="D166">
        <v>29169</v>
      </c>
      <c r="E166" t="s">
        <v>61</v>
      </c>
      <c r="F166">
        <v>71</v>
      </c>
      <c r="G166" t="s">
        <v>1704</v>
      </c>
      <c r="H166" s="281">
        <f>ROWS($G$4:G166)</f>
        <v>163</v>
      </c>
      <c r="I166" s="281" t="str">
        <f>IF('School Level Expenditures'!$B$2=A166,'School Tables'!H166,"")</f>
        <v/>
      </c>
      <c r="J166" s="281" t="str">
        <f>IFERROR(SMALL($I$4:$I$325,ROWS($I$4:I166)),"")</f>
        <v/>
      </c>
      <c r="K166" s="256" t="b">
        <f t="shared" si="9"/>
        <v>0</v>
      </c>
      <c r="AH166" s="282">
        <v>737</v>
      </c>
      <c r="AI166" s="282">
        <v>737</v>
      </c>
      <c r="AJ166" s="282" t="s">
        <v>1506</v>
      </c>
      <c r="AK166" s="282">
        <v>420</v>
      </c>
      <c r="AL166" s="282" t="s">
        <v>1506</v>
      </c>
    </row>
    <row r="167" spans="1:38" ht="12.75" x14ac:dyDescent="0.2">
      <c r="A167">
        <v>267</v>
      </c>
      <c r="B167" t="s">
        <v>1117</v>
      </c>
      <c r="C167" t="s">
        <v>1814</v>
      </c>
      <c r="D167">
        <v>21075</v>
      </c>
      <c r="E167" t="s">
        <v>61</v>
      </c>
      <c r="F167">
        <v>81</v>
      </c>
      <c r="G167" t="s">
        <v>1668</v>
      </c>
      <c r="H167" s="281">
        <f>ROWS($G$4:G167)</f>
        <v>164</v>
      </c>
      <c r="I167" s="281" t="str">
        <f>IF('School Level Expenditures'!$B$2=A167,'School Tables'!H167,"")</f>
        <v/>
      </c>
      <c r="J167" s="281" t="str">
        <f>IFERROR(SMALL($I$4:$I$325,ROWS($I$4:I167)),"")</f>
        <v/>
      </c>
      <c r="K167" s="256" t="b">
        <f t="shared" si="9"/>
        <v>0</v>
      </c>
      <c r="AH167">
        <v>461</v>
      </c>
      <c r="AI167">
        <v>461</v>
      </c>
      <c r="AJ167" t="s">
        <v>1361</v>
      </c>
      <c r="AK167">
        <v>54</v>
      </c>
      <c r="AL167" t="s">
        <v>1657</v>
      </c>
    </row>
    <row r="168" spans="1:38" ht="12.75" x14ac:dyDescent="0.2">
      <c r="A168">
        <v>227</v>
      </c>
      <c r="B168" t="s">
        <v>1078</v>
      </c>
      <c r="C168" t="s">
        <v>1079</v>
      </c>
      <c r="D168">
        <v>20800</v>
      </c>
      <c r="E168" t="s">
        <v>61</v>
      </c>
      <c r="F168">
        <v>21</v>
      </c>
      <c r="G168" t="s">
        <v>1705</v>
      </c>
      <c r="H168" s="281">
        <f>ROWS($G$4:G168)</f>
        <v>165</v>
      </c>
      <c r="I168" s="281" t="str">
        <f>IF('School Level Expenditures'!$B$2=A168,'School Tables'!H168,"")</f>
        <v/>
      </c>
      <c r="J168" s="281" t="str">
        <f>IFERROR(SMALL($I$4:$I$325,ROWS($I$4:I168)),"")</f>
        <v/>
      </c>
      <c r="K168" s="256" t="b">
        <f t="shared" si="9"/>
        <v>0</v>
      </c>
      <c r="AH168">
        <v>463</v>
      </c>
      <c r="AI168">
        <v>463</v>
      </c>
      <c r="AJ168" t="s">
        <v>1373</v>
      </c>
      <c r="AK168">
        <v>104</v>
      </c>
      <c r="AL168" t="s">
        <v>1727</v>
      </c>
    </row>
    <row r="169" spans="1:38" ht="12.75" x14ac:dyDescent="0.2">
      <c r="A169">
        <v>173</v>
      </c>
      <c r="B169" t="s">
        <v>1018</v>
      </c>
      <c r="C169" t="s">
        <v>1020</v>
      </c>
      <c r="D169">
        <v>20595</v>
      </c>
      <c r="E169" t="s">
        <v>61</v>
      </c>
      <c r="F169">
        <v>16</v>
      </c>
      <c r="G169" t="s">
        <v>1670</v>
      </c>
      <c r="H169" s="281">
        <f>ROWS($G$4:G169)</f>
        <v>166</v>
      </c>
      <c r="I169" s="281" t="str">
        <f>IF('School Level Expenditures'!$B$2=A169,'School Tables'!H169,"")</f>
        <v/>
      </c>
      <c r="J169" s="281" t="str">
        <f>IFERROR(SMALL($I$4:$I$325,ROWS($I$4:I169)),"")</f>
        <v/>
      </c>
      <c r="K169" s="256" t="b">
        <f t="shared" si="9"/>
        <v>0</v>
      </c>
      <c r="AH169">
        <v>467</v>
      </c>
      <c r="AI169">
        <v>467</v>
      </c>
      <c r="AJ169" t="s">
        <v>1375</v>
      </c>
      <c r="AK169">
        <v>48</v>
      </c>
      <c r="AL169" t="s">
        <v>1652</v>
      </c>
    </row>
    <row r="170" spans="1:38" ht="12.75" x14ac:dyDescent="0.2">
      <c r="A170">
        <v>305</v>
      </c>
      <c r="B170" t="s">
        <v>1168</v>
      </c>
      <c r="C170" t="s">
        <v>1171</v>
      </c>
      <c r="D170">
        <v>20880</v>
      </c>
      <c r="E170" t="s">
        <v>61</v>
      </c>
      <c r="F170">
        <v>68</v>
      </c>
      <c r="G170" t="s">
        <v>1706</v>
      </c>
      <c r="H170" s="281">
        <f>ROWS($G$4:G170)</f>
        <v>167</v>
      </c>
      <c r="I170" s="281" t="str">
        <f>IF('School Level Expenditures'!$B$2=A170,'School Tables'!H170,"")</f>
        <v/>
      </c>
      <c r="J170" s="281" t="str">
        <f>IFERROR(SMALL($I$4:$I$325,ROWS($I$4:I170)),"")</f>
        <v/>
      </c>
      <c r="K170" s="256" t="b">
        <f t="shared" si="9"/>
        <v>0</v>
      </c>
      <c r="AH170">
        <v>471</v>
      </c>
      <c r="AI170">
        <v>471</v>
      </c>
      <c r="AJ170" t="s">
        <v>1377</v>
      </c>
      <c r="AK170">
        <v>50</v>
      </c>
      <c r="AL170" t="s">
        <v>1686</v>
      </c>
    </row>
    <row r="171" spans="1:38" ht="12.75" x14ac:dyDescent="0.2">
      <c r="A171">
        <v>722</v>
      </c>
      <c r="B171" t="s">
        <v>1815</v>
      </c>
      <c r="C171" t="s">
        <v>1815</v>
      </c>
      <c r="D171">
        <v>29246</v>
      </c>
      <c r="E171" t="s">
        <v>61</v>
      </c>
      <c r="F171">
        <v>453</v>
      </c>
      <c r="G171" t="s">
        <v>1815</v>
      </c>
      <c r="H171" s="281">
        <f>ROWS($G$4:G171)</f>
        <v>168</v>
      </c>
      <c r="I171" s="281" t="str">
        <f>IF('School Level Expenditures'!$B$2=A171,'School Tables'!H171,"")</f>
        <v/>
      </c>
      <c r="J171" s="281" t="str">
        <f>IFERROR(SMALL($I$4:$I$325,ROWS($I$4:I171)),"")</f>
        <v/>
      </c>
      <c r="K171" s="256" t="b">
        <f t="shared" si="9"/>
        <v>0</v>
      </c>
      <c r="AH171">
        <v>473</v>
      </c>
      <c r="AI171">
        <v>473</v>
      </c>
      <c r="AJ171" t="s">
        <v>1380</v>
      </c>
      <c r="AK171">
        <v>57</v>
      </c>
      <c r="AL171" t="s">
        <v>1669</v>
      </c>
    </row>
    <row r="172" spans="1:38" ht="12.75" x14ac:dyDescent="0.2">
      <c r="A172">
        <v>306</v>
      </c>
      <c r="B172" t="s">
        <v>1172</v>
      </c>
      <c r="C172" t="s">
        <v>1173</v>
      </c>
      <c r="D172">
        <v>21420</v>
      </c>
      <c r="E172" t="s">
        <v>61</v>
      </c>
      <c r="F172">
        <v>35</v>
      </c>
      <c r="G172" t="s">
        <v>1648</v>
      </c>
      <c r="H172" s="281">
        <f>ROWS($G$4:G172)</f>
        <v>169</v>
      </c>
      <c r="I172" s="281" t="str">
        <f>IF('School Level Expenditures'!$B$2=A172,'School Tables'!H172,"")</f>
        <v/>
      </c>
      <c r="J172" s="281" t="str">
        <f>IFERROR(SMALL($I$4:$I$325,ROWS($I$4:I172)),"")</f>
        <v/>
      </c>
      <c r="K172" s="256" t="b">
        <f t="shared" si="9"/>
        <v>0</v>
      </c>
      <c r="AH172">
        <v>476</v>
      </c>
      <c r="AI172">
        <v>0</v>
      </c>
      <c r="AJ172" t="s">
        <v>1388</v>
      </c>
      <c r="AK172">
        <v>17</v>
      </c>
      <c r="AL172" t="s">
        <v>1666</v>
      </c>
    </row>
    <row r="173" spans="1:38" ht="12.75" x14ac:dyDescent="0.2">
      <c r="A173">
        <v>449</v>
      </c>
      <c r="B173" t="s">
        <v>1348</v>
      </c>
      <c r="C173" t="s">
        <v>1350</v>
      </c>
      <c r="D173">
        <v>22515</v>
      </c>
      <c r="E173" t="s">
        <v>61</v>
      </c>
      <c r="F173">
        <v>52</v>
      </c>
      <c r="G173" t="s">
        <v>1707</v>
      </c>
      <c r="H173" s="281">
        <f>ROWS($G$4:G173)</f>
        <v>170</v>
      </c>
      <c r="I173" s="281" t="str">
        <f>IF('School Level Expenditures'!$B$2=A173,'School Tables'!H173,"")</f>
        <v/>
      </c>
      <c r="J173" s="281" t="str">
        <f>IFERROR(SMALL($I$4:$I$325,ROWS($I$4:I173)),"")</f>
        <v/>
      </c>
      <c r="K173" s="256" t="b">
        <f t="shared" si="9"/>
        <v>0</v>
      </c>
      <c r="AH173">
        <v>485</v>
      </c>
      <c r="AI173">
        <v>485</v>
      </c>
      <c r="AJ173" t="s">
        <v>1392</v>
      </c>
      <c r="AK173">
        <v>21</v>
      </c>
      <c r="AL173" t="s">
        <v>1705</v>
      </c>
    </row>
    <row r="174" spans="1:38" ht="38.25" x14ac:dyDescent="0.2">
      <c r="A174">
        <v>352</v>
      </c>
      <c r="B174" t="s">
        <v>1235</v>
      </c>
      <c r="C174" t="s">
        <v>1238</v>
      </c>
      <c r="D174">
        <v>22180</v>
      </c>
      <c r="E174" t="s">
        <v>61</v>
      </c>
      <c r="F174">
        <v>46</v>
      </c>
      <c r="G174" t="s">
        <v>1635</v>
      </c>
      <c r="H174" s="281">
        <f>ROWS($G$4:G174)</f>
        <v>171</v>
      </c>
      <c r="I174" s="281" t="str">
        <f>IF('School Level Expenditures'!$B$2=A174,'School Tables'!H174,"")</f>
        <v/>
      </c>
      <c r="J174" s="281" t="str">
        <f>IFERROR(SMALL($I$4:$I$325,ROWS($I$4:I174)),"")</f>
        <v/>
      </c>
      <c r="K174" s="256" t="b">
        <f t="shared" si="9"/>
        <v>0</v>
      </c>
      <c r="AH174" s="282">
        <v>705</v>
      </c>
      <c r="AI174" s="282">
        <v>705</v>
      </c>
      <c r="AJ174" s="282" t="s">
        <v>1480</v>
      </c>
      <c r="AK174" s="282">
        <v>403</v>
      </c>
      <c r="AL174" s="282" t="s">
        <v>1480</v>
      </c>
    </row>
    <row r="175" spans="1:38" ht="12.75" x14ac:dyDescent="0.2">
      <c r="A175">
        <v>327</v>
      </c>
      <c r="B175" t="s">
        <v>1191</v>
      </c>
      <c r="C175" t="s">
        <v>1192</v>
      </c>
      <c r="D175">
        <v>20835</v>
      </c>
      <c r="E175" t="s">
        <v>61</v>
      </c>
      <c r="F175">
        <v>76</v>
      </c>
      <c r="G175" t="s">
        <v>1708</v>
      </c>
      <c r="H175" s="281">
        <f>ROWS($G$4:G175)</f>
        <v>172</v>
      </c>
      <c r="I175" s="281" t="str">
        <f>IF('School Level Expenditures'!$B$2=A175,'School Tables'!H175,"")</f>
        <v/>
      </c>
      <c r="J175" s="281" t="str">
        <f>IFERROR(SMALL($I$4:$I$325,ROWS($I$4:I175)),"")</f>
        <v/>
      </c>
      <c r="K175" s="256" t="b">
        <f t="shared" si="9"/>
        <v>0</v>
      </c>
      <c r="AH175">
        <v>486</v>
      </c>
      <c r="AI175">
        <v>0</v>
      </c>
      <c r="AJ175" t="s">
        <v>1395</v>
      </c>
      <c r="AK175">
        <v>80</v>
      </c>
      <c r="AL175" t="s">
        <v>1645</v>
      </c>
    </row>
    <row r="176" spans="1:38" ht="12.75" x14ac:dyDescent="0.2">
      <c r="A176">
        <v>572</v>
      </c>
      <c r="B176" t="s">
        <v>1457</v>
      </c>
      <c r="C176" t="s">
        <v>1458</v>
      </c>
      <c r="D176">
        <v>23035</v>
      </c>
      <c r="E176" t="s">
        <v>61</v>
      </c>
      <c r="F176">
        <v>63</v>
      </c>
      <c r="G176" t="s">
        <v>1675</v>
      </c>
      <c r="H176" s="281">
        <f>ROWS($G$4:G176)</f>
        <v>173</v>
      </c>
      <c r="I176" s="281" t="str">
        <f>IF('School Level Expenditures'!$B$2=A176,'School Tables'!H176,"")</f>
        <v/>
      </c>
      <c r="J176" s="281" t="str">
        <f>IFERROR(SMALL($I$4:$I$325,ROWS($I$4:I176)),"")</f>
        <v/>
      </c>
      <c r="K176" s="256" t="b">
        <f t="shared" si="9"/>
        <v>0</v>
      </c>
      <c r="AH176">
        <v>491</v>
      </c>
      <c r="AI176">
        <v>491</v>
      </c>
      <c r="AJ176" t="s">
        <v>1400</v>
      </c>
      <c r="AK176">
        <v>56</v>
      </c>
      <c r="AL176" t="s">
        <v>1697</v>
      </c>
    </row>
    <row r="177" spans="1:38" ht="12.75" x14ac:dyDescent="0.2">
      <c r="A177">
        <v>333</v>
      </c>
      <c r="B177" t="s">
        <v>1193</v>
      </c>
      <c r="C177" t="s">
        <v>1194</v>
      </c>
      <c r="D177">
        <v>20360</v>
      </c>
      <c r="E177" t="s">
        <v>61</v>
      </c>
      <c r="F177">
        <v>13</v>
      </c>
      <c r="G177" t="s">
        <v>1677</v>
      </c>
      <c r="H177" s="281">
        <f>ROWS($G$4:G177)</f>
        <v>174</v>
      </c>
      <c r="I177" s="281" t="str">
        <f>IF('School Level Expenditures'!$B$2=A177,'School Tables'!H177,"")</f>
        <v/>
      </c>
      <c r="J177" s="281" t="str">
        <f>IFERROR(SMALL($I$4:$I$325,ROWS($I$4:I177)),"")</f>
        <v/>
      </c>
      <c r="K177" s="256" t="b">
        <f t="shared" si="9"/>
        <v>0</v>
      </c>
      <c r="AH177">
        <v>493</v>
      </c>
      <c r="AI177">
        <v>0</v>
      </c>
      <c r="AJ177" t="s">
        <v>1405</v>
      </c>
      <c r="AK177">
        <v>39</v>
      </c>
      <c r="AL177" t="s">
        <v>1660</v>
      </c>
    </row>
    <row r="178" spans="1:38" ht="12.75" x14ac:dyDescent="0.2">
      <c r="A178">
        <v>371</v>
      </c>
      <c r="B178" t="s">
        <v>1268</v>
      </c>
      <c r="C178" t="s">
        <v>1283</v>
      </c>
      <c r="D178">
        <v>21935</v>
      </c>
      <c r="E178" t="s">
        <v>61</v>
      </c>
      <c r="F178">
        <v>42</v>
      </c>
      <c r="G178" t="s">
        <v>1634</v>
      </c>
      <c r="H178" s="281">
        <f>ROWS($G$4:G178)</f>
        <v>175</v>
      </c>
      <c r="I178" s="281" t="str">
        <f>IF('School Level Expenditures'!$B$2=A178,'School Tables'!H178,"")</f>
        <v/>
      </c>
      <c r="J178" s="281" t="str">
        <f>IFERROR(SMALL($I$4:$I$325,ROWS($I$4:I178)),"")</f>
        <v/>
      </c>
      <c r="K178" s="256" t="b">
        <f t="shared" si="9"/>
        <v>0</v>
      </c>
      <c r="AH178">
        <v>495</v>
      </c>
      <c r="AI178">
        <v>495</v>
      </c>
      <c r="AJ178" t="s">
        <v>1407</v>
      </c>
      <c r="AK178">
        <v>21</v>
      </c>
      <c r="AL178" t="s">
        <v>1705</v>
      </c>
    </row>
    <row r="179" spans="1:38" ht="51" x14ac:dyDescent="0.2">
      <c r="A179">
        <v>173</v>
      </c>
      <c r="B179" t="s">
        <v>1018</v>
      </c>
      <c r="C179" t="s">
        <v>1019</v>
      </c>
      <c r="D179">
        <v>20575</v>
      </c>
      <c r="E179" t="s">
        <v>61</v>
      </c>
      <c r="F179">
        <v>16</v>
      </c>
      <c r="G179" t="s">
        <v>1670</v>
      </c>
      <c r="H179" s="281">
        <f>ROWS($G$4:G179)</f>
        <v>176</v>
      </c>
      <c r="I179" s="281" t="str">
        <f>IF('School Level Expenditures'!$B$2=A179,'School Tables'!H179,"")</f>
        <v/>
      </c>
      <c r="J179" s="281" t="str">
        <f>IFERROR(SMALL($I$4:$I$325,ROWS($I$4:I179)),"")</f>
        <v/>
      </c>
      <c r="K179" s="256" t="b">
        <f t="shared" si="9"/>
        <v>0</v>
      </c>
      <c r="AH179" s="282">
        <v>714</v>
      </c>
      <c r="AI179" s="282">
        <v>714</v>
      </c>
      <c r="AJ179" s="282" t="s">
        <v>1590</v>
      </c>
      <c r="AK179" s="282">
        <v>437</v>
      </c>
      <c r="AL179" s="282" t="s">
        <v>1590</v>
      </c>
    </row>
    <row r="180" spans="1:38" ht="12.75" x14ac:dyDescent="0.2">
      <c r="A180">
        <v>101</v>
      </c>
      <c r="B180" t="s">
        <v>952</v>
      </c>
      <c r="C180" s="71" t="s">
        <v>1762</v>
      </c>
      <c r="D180">
        <v>20160</v>
      </c>
      <c r="E180" t="s">
        <v>61</v>
      </c>
      <c r="F180">
        <v>6</v>
      </c>
      <c r="G180" t="s">
        <v>1649</v>
      </c>
      <c r="H180" s="281">
        <f>ROWS($G$4:G180)</f>
        <v>177</v>
      </c>
      <c r="I180" s="281" t="str">
        <f>IF('School Level Expenditures'!$B$2=A180,'School Tables'!H180,"")</f>
        <v/>
      </c>
      <c r="J180" s="281" t="str">
        <f>IFERROR(SMALL($I$4:$I$325,ROWS($I$4:I180)),"")</f>
        <v/>
      </c>
      <c r="K180" s="256" t="b">
        <f t="shared" si="9"/>
        <v>0</v>
      </c>
      <c r="AH180">
        <v>499</v>
      </c>
      <c r="AI180">
        <v>499</v>
      </c>
      <c r="AJ180" t="s">
        <v>1409</v>
      </c>
      <c r="AK180">
        <v>58</v>
      </c>
      <c r="AL180" t="s">
        <v>1688</v>
      </c>
    </row>
    <row r="181" spans="1:38" ht="12.75" x14ac:dyDescent="0.2">
      <c r="A181">
        <v>199</v>
      </c>
      <c r="B181" t="s">
        <v>1051</v>
      </c>
      <c r="C181" s="71" t="s">
        <v>1763</v>
      </c>
      <c r="D181">
        <v>20690</v>
      </c>
      <c r="E181" t="s">
        <v>61</v>
      </c>
      <c r="F181">
        <v>19</v>
      </c>
      <c r="G181" t="s">
        <v>1643</v>
      </c>
      <c r="H181" s="281">
        <f>ROWS($G$4:G181)</f>
        <v>178</v>
      </c>
      <c r="I181" s="281" t="str">
        <f>IF('School Level Expenditures'!$B$2=A181,'School Tables'!H181,"")</f>
        <v/>
      </c>
      <c r="J181" s="281" t="str">
        <f>IFERROR(SMALL($I$4:$I$325,ROWS($I$4:I181)),"")</f>
        <v/>
      </c>
      <c r="K181" s="256" t="b">
        <f t="shared" si="9"/>
        <v>0</v>
      </c>
      <c r="AH181">
        <v>501</v>
      </c>
      <c r="AI181">
        <v>501</v>
      </c>
      <c r="AJ181" t="s">
        <v>1411</v>
      </c>
      <c r="AK181">
        <v>7</v>
      </c>
      <c r="AL181" t="s">
        <v>1661</v>
      </c>
    </row>
    <row r="182" spans="1:38" ht="12.75" x14ac:dyDescent="0.2">
      <c r="A182">
        <v>263</v>
      </c>
      <c r="B182" t="s">
        <v>1112</v>
      </c>
      <c r="C182" t="s">
        <v>1114</v>
      </c>
      <c r="D182">
        <v>20965</v>
      </c>
      <c r="E182" t="s">
        <v>61</v>
      </c>
      <c r="F182">
        <v>66</v>
      </c>
      <c r="G182" t="s">
        <v>1691</v>
      </c>
      <c r="H182" s="281">
        <f>ROWS($G$4:G182)</f>
        <v>179</v>
      </c>
      <c r="I182" s="281" t="str">
        <f>IF('School Level Expenditures'!$B$2=A182,'School Tables'!H182,"")</f>
        <v/>
      </c>
      <c r="J182" s="281" t="str">
        <f>IFERROR(SMALL($I$4:$I$325,ROWS($I$4:I182)),"")</f>
        <v/>
      </c>
      <c r="K182" s="256" t="b">
        <f t="shared" si="9"/>
        <v>0</v>
      </c>
      <c r="AH182">
        <v>503</v>
      </c>
      <c r="AI182">
        <v>503</v>
      </c>
      <c r="AJ182" t="s">
        <v>1413</v>
      </c>
      <c r="AK182">
        <v>24</v>
      </c>
      <c r="AL182" t="s">
        <v>1656</v>
      </c>
    </row>
    <row r="183" spans="1:38" ht="12.75" x14ac:dyDescent="0.2">
      <c r="A183">
        <v>461</v>
      </c>
      <c r="B183" t="s">
        <v>1361</v>
      </c>
      <c r="C183" t="s">
        <v>1372</v>
      </c>
      <c r="D183">
        <v>29080</v>
      </c>
      <c r="E183" t="s">
        <v>61</v>
      </c>
      <c r="F183">
        <v>54</v>
      </c>
      <c r="G183" t="s">
        <v>1657</v>
      </c>
      <c r="H183" s="281">
        <f>ROWS($G$4:G183)</f>
        <v>180</v>
      </c>
      <c r="I183" s="281" t="str">
        <f>IF('School Level Expenditures'!$B$2=A183,'School Tables'!H183,"")</f>
        <v/>
      </c>
      <c r="J183" s="281" t="str">
        <f>IFERROR(SMALL($I$4:$I$325,ROWS($I$4:I183)),"")</f>
        <v/>
      </c>
      <c r="K183" s="256" t="b">
        <f t="shared" si="9"/>
        <v>0</v>
      </c>
      <c r="AH183">
        <v>507</v>
      </c>
      <c r="AI183">
        <v>507</v>
      </c>
      <c r="AJ183" t="s">
        <v>1415</v>
      </c>
      <c r="AK183">
        <v>105</v>
      </c>
      <c r="AL183" t="s">
        <v>1729</v>
      </c>
    </row>
    <row r="184" spans="1:38" ht="12.75" x14ac:dyDescent="0.2">
      <c r="A184">
        <v>491</v>
      </c>
      <c r="B184" t="s">
        <v>1400</v>
      </c>
      <c r="C184" t="s">
        <v>1404</v>
      </c>
      <c r="D184">
        <v>29203</v>
      </c>
      <c r="E184" t="s">
        <v>61</v>
      </c>
      <c r="F184">
        <v>56</v>
      </c>
      <c r="G184" t="s">
        <v>1697</v>
      </c>
      <c r="H184" s="281">
        <f>ROWS($G$4:G184)</f>
        <v>181</v>
      </c>
      <c r="I184" s="281" t="str">
        <f>IF('School Level Expenditures'!$B$2=A184,'School Tables'!H184,"")</f>
        <v/>
      </c>
      <c r="J184" s="281" t="str">
        <f>IFERROR(SMALL($I$4:$I$325,ROWS($I$4:I184)),"")</f>
        <v/>
      </c>
      <c r="K184" s="256" t="b">
        <f t="shared" si="9"/>
        <v>0</v>
      </c>
      <c r="AH184">
        <v>509</v>
      </c>
      <c r="AI184">
        <v>509</v>
      </c>
      <c r="AJ184" t="s">
        <v>1417</v>
      </c>
      <c r="AK184">
        <v>58</v>
      </c>
      <c r="AL184" t="s">
        <v>1688</v>
      </c>
    </row>
    <row r="185" spans="1:38" ht="12.75" x14ac:dyDescent="0.2">
      <c r="A185">
        <v>339</v>
      </c>
      <c r="B185" t="s">
        <v>1213</v>
      </c>
      <c r="C185" t="s">
        <v>1214</v>
      </c>
      <c r="D185">
        <v>21210</v>
      </c>
      <c r="E185" t="s">
        <v>61</v>
      </c>
      <c r="F185">
        <v>29</v>
      </c>
      <c r="G185" t="s">
        <v>1659</v>
      </c>
      <c r="H185" s="281">
        <f>ROWS($G$4:G185)</f>
        <v>182</v>
      </c>
      <c r="I185" s="281" t="str">
        <f>IF('School Level Expenditures'!$B$2=A185,'School Tables'!H185,"")</f>
        <v/>
      </c>
      <c r="J185" s="281" t="str">
        <f>IFERROR(SMALL($I$4:$I$325,ROWS($I$4:I185)),"")</f>
        <v/>
      </c>
      <c r="K185" s="256" t="b">
        <f t="shared" si="9"/>
        <v>0</v>
      </c>
      <c r="AH185" s="283">
        <v>511</v>
      </c>
      <c r="AI185" s="283">
        <v>511</v>
      </c>
      <c r="AJ185" s="283" t="s">
        <v>1419</v>
      </c>
      <c r="AK185" s="283">
        <v>16</v>
      </c>
      <c r="AL185" s="283" t="s">
        <v>1670</v>
      </c>
    </row>
    <row r="186" spans="1:38" ht="51" x14ac:dyDescent="0.2">
      <c r="A186">
        <v>473</v>
      </c>
      <c r="B186" t="s">
        <v>1380</v>
      </c>
      <c r="C186" t="s">
        <v>1384</v>
      </c>
      <c r="D186">
        <v>22875</v>
      </c>
      <c r="E186" t="s">
        <v>61</v>
      </c>
      <c r="F186">
        <v>57</v>
      </c>
      <c r="G186" t="s">
        <v>1669</v>
      </c>
      <c r="H186" s="281">
        <f>ROWS($G$4:G186)</f>
        <v>183</v>
      </c>
      <c r="I186" s="281" t="str">
        <f>IF('School Level Expenditures'!$B$2=A186,'School Tables'!H186,"")</f>
        <v/>
      </c>
      <c r="J186" s="281" t="str">
        <f>IFERROR(SMALL($I$4:$I$325,ROWS($I$4:I186)),"")</f>
        <v/>
      </c>
      <c r="K186" s="256" t="b">
        <f t="shared" si="9"/>
        <v>0</v>
      </c>
      <c r="AH186" s="276">
        <v>721</v>
      </c>
      <c r="AI186" s="276">
        <v>721</v>
      </c>
      <c r="AJ186" s="276" t="s">
        <v>1492</v>
      </c>
      <c r="AK186" s="276">
        <v>409</v>
      </c>
      <c r="AL186" s="276" t="s">
        <v>1492</v>
      </c>
    </row>
    <row r="187" spans="1:38" ht="12.75" x14ac:dyDescent="0.2">
      <c r="A187">
        <v>449</v>
      </c>
      <c r="B187" t="s">
        <v>1348</v>
      </c>
      <c r="C187" t="s">
        <v>1352</v>
      </c>
      <c r="D187">
        <v>22545</v>
      </c>
      <c r="E187" t="s">
        <v>61</v>
      </c>
      <c r="F187">
        <v>52</v>
      </c>
      <c r="G187" t="s">
        <v>1707</v>
      </c>
      <c r="H187" s="281">
        <f>ROWS($G$4:G187)</f>
        <v>184</v>
      </c>
      <c r="I187" s="281" t="str">
        <f>IF('School Level Expenditures'!$B$2=A187,'School Tables'!H187,"")</f>
        <v/>
      </c>
      <c r="J187" s="281" t="str">
        <f>IFERROR(SMALL($I$4:$I$325,ROWS($I$4:I187)),"")</f>
        <v/>
      </c>
      <c r="K187" s="256" t="b">
        <f t="shared" si="9"/>
        <v>0</v>
      </c>
      <c r="AH187" s="283">
        <v>513</v>
      </c>
      <c r="AI187" s="283">
        <v>513</v>
      </c>
      <c r="AJ187" s="283" t="s">
        <v>1755</v>
      </c>
      <c r="AK187" s="283">
        <v>96</v>
      </c>
      <c r="AL187" s="283" t="s">
        <v>1756</v>
      </c>
    </row>
    <row r="188" spans="1:38" ht="12.75" x14ac:dyDescent="0.2">
      <c r="A188">
        <v>345</v>
      </c>
      <c r="B188" t="s">
        <v>1226</v>
      </c>
      <c r="C188" t="s">
        <v>1227</v>
      </c>
      <c r="D188">
        <v>23040</v>
      </c>
      <c r="E188" t="s">
        <v>61</v>
      </c>
      <c r="F188">
        <v>89</v>
      </c>
      <c r="G188" t="s">
        <v>1709</v>
      </c>
      <c r="H188" s="281">
        <f>ROWS($G$4:G188)</f>
        <v>185</v>
      </c>
      <c r="I188" s="281" t="str">
        <f>IF('School Level Expenditures'!$B$2=A188,'School Tables'!H188,"")</f>
        <v/>
      </c>
      <c r="J188" s="281" t="str">
        <f>IFERROR(SMALL($I$4:$I$325,ROWS($I$4:I188)),"")</f>
        <v/>
      </c>
      <c r="K188" s="256" t="b">
        <f t="shared" si="9"/>
        <v>0</v>
      </c>
      <c r="AH188" s="283">
        <v>515</v>
      </c>
      <c r="AI188" s="283">
        <v>515</v>
      </c>
      <c r="AJ188" s="283" t="s">
        <v>1421</v>
      </c>
      <c r="AK188" s="283">
        <v>85</v>
      </c>
      <c r="AL188" s="283" t="s">
        <v>1730</v>
      </c>
    </row>
    <row r="189" spans="1:38" ht="12.75" x14ac:dyDescent="0.2">
      <c r="A189">
        <v>423</v>
      </c>
      <c r="B189" t="s">
        <v>1320</v>
      </c>
      <c r="C189" t="s">
        <v>1324</v>
      </c>
      <c r="D189">
        <v>22805</v>
      </c>
      <c r="E189" t="s">
        <v>61</v>
      </c>
      <c r="F189">
        <v>5</v>
      </c>
      <c r="G189" t="s">
        <v>1710</v>
      </c>
      <c r="H189" s="281">
        <f>ROWS($G$4:G189)</f>
        <v>186</v>
      </c>
      <c r="I189" s="281" t="str">
        <f>IF('School Level Expenditures'!$B$2=A189,'School Tables'!H189,"")</f>
        <v/>
      </c>
      <c r="J189" s="281" t="str">
        <f>IFERROR(SMALL($I$4:$I$325,ROWS($I$4:I189)),"")</f>
        <v/>
      </c>
      <c r="K189" s="256" t="b">
        <f t="shared" si="9"/>
        <v>0</v>
      </c>
      <c r="AH189" s="283">
        <v>519</v>
      </c>
      <c r="AI189" s="283">
        <v>519</v>
      </c>
      <c r="AJ189" s="283" t="s">
        <v>1757</v>
      </c>
      <c r="AK189" s="283">
        <v>91</v>
      </c>
      <c r="AL189" s="283" t="s">
        <v>1758</v>
      </c>
    </row>
    <row r="190" spans="1:38" ht="38.25" x14ac:dyDescent="0.2">
      <c r="A190">
        <v>319</v>
      </c>
      <c r="B190" t="s">
        <v>1184</v>
      </c>
      <c r="C190" t="s">
        <v>1189</v>
      </c>
      <c r="D190">
        <v>20485</v>
      </c>
      <c r="E190" t="s">
        <v>61</v>
      </c>
      <c r="F190">
        <v>12</v>
      </c>
      <c r="G190" t="s">
        <v>1711</v>
      </c>
      <c r="H190" s="281">
        <f>ROWS($G$4:G190)</f>
        <v>187</v>
      </c>
      <c r="I190" s="281" t="str">
        <f>IF('School Level Expenditures'!$B$2=A190,'School Tables'!H190,"")</f>
        <v/>
      </c>
      <c r="J190" s="281" t="str">
        <f>IFERROR(SMALL($I$4:$I$325,ROWS($I$4:I190)),"")</f>
        <v/>
      </c>
      <c r="K190" s="256" t="b">
        <f t="shared" si="9"/>
        <v>0</v>
      </c>
      <c r="AH190" s="276">
        <v>717</v>
      </c>
      <c r="AI190" s="276">
        <v>717</v>
      </c>
      <c r="AJ190" s="276" t="s">
        <v>1490</v>
      </c>
      <c r="AK190" s="276">
        <v>407</v>
      </c>
      <c r="AL190" s="276" t="s">
        <v>1490</v>
      </c>
    </row>
    <row r="191" spans="1:38" ht="12.75" x14ac:dyDescent="0.2">
      <c r="A191">
        <v>381</v>
      </c>
      <c r="B191" t="s">
        <v>1290</v>
      </c>
      <c r="C191" t="s">
        <v>1291</v>
      </c>
      <c r="D191">
        <v>22455</v>
      </c>
      <c r="E191" t="s">
        <v>61</v>
      </c>
      <c r="F191">
        <v>50</v>
      </c>
      <c r="G191" t="s">
        <v>1686</v>
      </c>
      <c r="H191" s="281">
        <f>ROWS($G$4:G191)</f>
        <v>188</v>
      </c>
      <c r="I191" s="281" t="str">
        <f>IF('School Level Expenditures'!$B$2=A191,'School Tables'!H191,"")</f>
        <v/>
      </c>
      <c r="J191" s="281" t="str">
        <f>IFERROR(SMALL($I$4:$I$325,ROWS($I$4:I191)),"")</f>
        <v/>
      </c>
      <c r="K191" s="256" t="b">
        <f t="shared" si="9"/>
        <v>0</v>
      </c>
      <c r="AH191" s="283">
        <v>525</v>
      </c>
      <c r="AI191" s="283">
        <v>525</v>
      </c>
      <c r="AJ191" s="283" t="s">
        <v>1424</v>
      </c>
      <c r="AK191" s="283">
        <v>13</v>
      </c>
      <c r="AL191" s="283" t="s">
        <v>1677</v>
      </c>
    </row>
    <row r="192" spans="1:38" ht="63.75" x14ac:dyDescent="0.2">
      <c r="A192">
        <v>461</v>
      </c>
      <c r="B192" t="s">
        <v>1361</v>
      </c>
      <c r="C192" t="s">
        <v>1364</v>
      </c>
      <c r="D192">
        <v>22665</v>
      </c>
      <c r="E192" t="s">
        <v>61</v>
      </c>
      <c r="F192">
        <v>54</v>
      </c>
      <c r="G192" t="s">
        <v>1657</v>
      </c>
      <c r="H192" s="281">
        <f>ROWS($G$4:G192)</f>
        <v>189</v>
      </c>
      <c r="I192" s="281" t="str">
        <f>IF('School Level Expenditures'!$B$2=A192,'School Tables'!H192,"")</f>
        <v/>
      </c>
      <c r="J192" s="281" t="str">
        <f>IFERROR(SMALL($I$4:$I$325,ROWS($I$4:I192)),"")</f>
        <v/>
      </c>
      <c r="K192" s="256" t="b">
        <f t="shared" si="9"/>
        <v>0</v>
      </c>
      <c r="AH192" s="276">
        <v>731</v>
      </c>
      <c r="AI192" s="276">
        <v>731</v>
      </c>
      <c r="AJ192" s="276" t="s">
        <v>1501</v>
      </c>
      <c r="AK192" s="276">
        <v>417</v>
      </c>
      <c r="AL192" s="276" t="s">
        <v>1501</v>
      </c>
    </row>
    <row r="193" spans="1:38" ht="63.75" x14ac:dyDescent="0.2">
      <c r="A193">
        <v>335</v>
      </c>
      <c r="B193" t="s">
        <v>895</v>
      </c>
      <c r="C193" t="s">
        <v>1204</v>
      </c>
      <c r="D193">
        <v>21565</v>
      </c>
      <c r="E193" t="s">
        <v>61</v>
      </c>
      <c r="F193">
        <v>37</v>
      </c>
      <c r="G193" t="s">
        <v>1640</v>
      </c>
      <c r="H193" s="281">
        <f>ROWS($G$4:G193)</f>
        <v>190</v>
      </c>
      <c r="I193" s="281" t="str">
        <f>IF('School Level Expenditures'!$B$2=A193,'School Tables'!H193,"")</f>
        <v/>
      </c>
      <c r="J193" s="281" t="str">
        <f>IFERROR(SMALL($I$4:$I$325,ROWS($I$4:I193)),"")</f>
        <v/>
      </c>
      <c r="K193" s="256" t="b">
        <f t="shared" si="9"/>
        <v>0</v>
      </c>
      <c r="AH193" s="276">
        <v>741</v>
      </c>
      <c r="AI193" s="276">
        <v>741</v>
      </c>
      <c r="AJ193" s="276" t="s">
        <v>1508</v>
      </c>
      <c r="AK193" s="276">
        <v>423</v>
      </c>
      <c r="AL193" s="276" t="s">
        <v>1508</v>
      </c>
    </row>
    <row r="194" spans="1:38" ht="12.75" x14ac:dyDescent="0.2">
      <c r="A194">
        <v>41</v>
      </c>
      <c r="B194" t="s">
        <v>923</v>
      </c>
      <c r="C194" t="s">
        <v>925</v>
      </c>
      <c r="D194">
        <v>21005</v>
      </c>
      <c r="E194" t="s">
        <v>61</v>
      </c>
      <c r="F194">
        <v>25</v>
      </c>
      <c r="G194" t="s">
        <v>1712</v>
      </c>
      <c r="H194" s="281">
        <f>ROWS($G$4:G194)</f>
        <v>191</v>
      </c>
      <c r="I194" s="281" t="str">
        <f>IF('School Level Expenditures'!$B$2=A194,'School Tables'!H194,"")</f>
        <v/>
      </c>
      <c r="J194" s="281" t="str">
        <f>IFERROR(SMALL($I$4:$I$325,ROWS($I$4:I194)),"")</f>
        <v/>
      </c>
      <c r="K194" s="256" t="b">
        <f t="shared" si="9"/>
        <v>0</v>
      </c>
      <c r="AH194" s="283">
        <v>531</v>
      </c>
      <c r="AI194" s="283">
        <v>531</v>
      </c>
      <c r="AJ194" s="283" t="s">
        <v>1426</v>
      </c>
      <c r="AK194" s="283">
        <v>48</v>
      </c>
      <c r="AL194" s="283" t="s">
        <v>1652</v>
      </c>
    </row>
    <row r="195" spans="1:38" ht="12.75" x14ac:dyDescent="0.2">
      <c r="A195">
        <v>41</v>
      </c>
      <c r="B195" t="s">
        <v>923</v>
      </c>
      <c r="C195" s="71" t="s">
        <v>1761</v>
      </c>
      <c r="D195">
        <v>20990</v>
      </c>
      <c r="E195" t="s">
        <v>61</v>
      </c>
      <c r="F195">
        <v>25</v>
      </c>
      <c r="G195" t="s">
        <v>1712</v>
      </c>
      <c r="H195" s="281">
        <f>ROWS($G$4:G195)</f>
        <v>192</v>
      </c>
      <c r="I195" s="281" t="str">
        <f>IF('School Level Expenditures'!$B$2=A195,'School Tables'!H195,"")</f>
        <v/>
      </c>
      <c r="J195" s="281" t="str">
        <f>IFERROR(SMALL($I$4:$I$325,ROWS($I$4:I195)),"")</f>
        <v/>
      </c>
      <c r="K195" s="256" t="b">
        <f t="shared" si="9"/>
        <v>0</v>
      </c>
      <c r="AH195" s="283">
        <v>534</v>
      </c>
      <c r="AI195" s="283">
        <v>0</v>
      </c>
      <c r="AJ195" s="283" t="s">
        <v>1428</v>
      </c>
      <c r="AK195" s="283">
        <v>106</v>
      </c>
      <c r="AL195" s="283" t="s">
        <v>1638</v>
      </c>
    </row>
    <row r="196" spans="1:38" ht="12.75" x14ac:dyDescent="0.2">
      <c r="A196">
        <v>476</v>
      </c>
      <c r="B196" t="s">
        <v>1388</v>
      </c>
      <c r="C196" s="71" t="s">
        <v>1760</v>
      </c>
      <c r="D196">
        <v>20635</v>
      </c>
      <c r="E196" t="s">
        <v>61</v>
      </c>
      <c r="F196">
        <v>17</v>
      </c>
      <c r="G196" t="s">
        <v>1666</v>
      </c>
      <c r="H196" s="281">
        <f>ROWS($G$4:G196)</f>
        <v>193</v>
      </c>
      <c r="I196" s="281" t="str">
        <f>IF('School Level Expenditures'!$B$2=A196,'School Tables'!H196,"")</f>
        <v/>
      </c>
      <c r="J196" s="281" t="str">
        <f>IFERROR(SMALL($I$4:$I$325,ROWS($I$4:I196)),"")</f>
        <v/>
      </c>
      <c r="K196" s="256" t="b">
        <f t="shared" si="9"/>
        <v>0</v>
      </c>
      <c r="AH196" s="283">
        <v>539</v>
      </c>
      <c r="AI196" s="283">
        <v>539</v>
      </c>
      <c r="AJ196" s="283" t="s">
        <v>1436</v>
      </c>
      <c r="AK196" s="283">
        <v>6</v>
      </c>
      <c r="AL196" s="283" t="s">
        <v>1649</v>
      </c>
    </row>
    <row r="197" spans="1:38" ht="63.75" x14ac:dyDescent="0.2">
      <c r="A197">
        <v>744</v>
      </c>
      <c r="B197" t="s">
        <v>1583</v>
      </c>
      <c r="C197" t="s">
        <v>1583</v>
      </c>
      <c r="D197">
        <v>29167</v>
      </c>
      <c r="E197" t="s">
        <v>61</v>
      </c>
      <c r="F197">
        <v>430</v>
      </c>
      <c r="G197" t="s">
        <v>1583</v>
      </c>
      <c r="H197" s="281">
        <f>ROWS($G$4:G197)</f>
        <v>194</v>
      </c>
      <c r="I197" s="281" t="str">
        <f>IF('School Level Expenditures'!$B$2=A197,'School Tables'!H197,"")</f>
        <v/>
      </c>
      <c r="J197" s="281" t="str">
        <f>IFERROR(SMALL($I$4:$I$325,ROWS($I$4:I197)),"")</f>
        <v/>
      </c>
      <c r="K197" s="256" t="b">
        <f t="shared" ref="K197:K260" si="10">C197=C198</f>
        <v>0</v>
      </c>
      <c r="AH197" s="276">
        <v>727</v>
      </c>
      <c r="AI197" s="276">
        <v>727</v>
      </c>
      <c r="AJ197" s="276" t="s">
        <v>1497</v>
      </c>
      <c r="AK197" s="276">
        <v>412</v>
      </c>
      <c r="AL197" s="276" t="s">
        <v>1497</v>
      </c>
    </row>
    <row r="198" spans="1:38" ht="12.75" x14ac:dyDescent="0.2">
      <c r="A198">
        <v>353</v>
      </c>
      <c r="B198" t="s">
        <v>1243</v>
      </c>
      <c r="C198" t="s">
        <v>1244</v>
      </c>
      <c r="D198">
        <v>29178</v>
      </c>
      <c r="E198" t="s">
        <v>61</v>
      </c>
      <c r="F198">
        <v>69</v>
      </c>
      <c r="G198" t="s">
        <v>1713</v>
      </c>
      <c r="H198" s="281">
        <f>ROWS($G$4:G198)</f>
        <v>195</v>
      </c>
      <c r="I198" s="281" t="str">
        <f>IF('School Level Expenditures'!$B$2=A198,'School Tables'!H198,"")</f>
        <v/>
      </c>
      <c r="J198" s="281" t="str">
        <f>IFERROR(SMALL($I$4:$I$325,ROWS($I$4:I198)),"")</f>
        <v/>
      </c>
      <c r="K198" s="256" t="b">
        <f t="shared" si="10"/>
        <v>0</v>
      </c>
      <c r="AH198" s="283">
        <v>543</v>
      </c>
      <c r="AI198" s="283">
        <v>543</v>
      </c>
      <c r="AJ198" s="283" t="s">
        <v>1438</v>
      </c>
      <c r="AK198" s="283">
        <v>101</v>
      </c>
      <c r="AL198" s="283" t="s">
        <v>1721</v>
      </c>
    </row>
    <row r="199" spans="1:38" ht="12.75" x14ac:dyDescent="0.2">
      <c r="A199">
        <v>355</v>
      </c>
      <c r="B199" t="s">
        <v>1245</v>
      </c>
      <c r="C199" t="s">
        <v>1246</v>
      </c>
      <c r="D199">
        <v>20760</v>
      </c>
      <c r="E199" t="s">
        <v>61</v>
      </c>
      <c r="F199">
        <v>20</v>
      </c>
      <c r="G199" t="s">
        <v>1671</v>
      </c>
      <c r="H199" s="281">
        <f>ROWS($G$4:G199)</f>
        <v>196</v>
      </c>
      <c r="I199" s="281" t="str">
        <f>IF('School Level Expenditures'!$B$2=A199,'School Tables'!H199,"")</f>
        <v/>
      </c>
      <c r="J199" s="281" t="str">
        <f>IFERROR(SMALL($I$4:$I$325,ROWS($I$4:I199)),"")</f>
        <v/>
      </c>
      <c r="K199" s="256" t="b">
        <f t="shared" si="10"/>
        <v>0</v>
      </c>
      <c r="AH199" s="283">
        <v>549</v>
      </c>
      <c r="AI199" s="283">
        <v>549</v>
      </c>
      <c r="AJ199" s="283" t="s">
        <v>1440</v>
      </c>
      <c r="AK199" s="283">
        <v>23</v>
      </c>
      <c r="AL199" s="283" t="s">
        <v>1644</v>
      </c>
    </row>
    <row r="200" spans="1:38" ht="12.75" x14ac:dyDescent="0.2">
      <c r="A200">
        <v>317</v>
      </c>
      <c r="B200" t="s">
        <v>1180</v>
      </c>
      <c r="C200" t="s">
        <v>1183</v>
      </c>
      <c r="D200">
        <v>21450</v>
      </c>
      <c r="E200" t="s">
        <v>61</v>
      </c>
      <c r="F200">
        <v>84</v>
      </c>
      <c r="G200" t="s">
        <v>1714</v>
      </c>
      <c r="H200" s="281">
        <f>ROWS($G$4:G200)</f>
        <v>197</v>
      </c>
      <c r="I200" s="281" t="str">
        <f>IF('School Level Expenditures'!$B$2=A200,'School Tables'!H200,"")</f>
        <v/>
      </c>
      <c r="J200" s="281" t="str">
        <f>IFERROR(SMALL($I$4:$I$325,ROWS($I$4:I200)),"")</f>
        <v/>
      </c>
      <c r="K200" s="256" t="b">
        <f t="shared" si="10"/>
        <v>0</v>
      </c>
      <c r="AH200" s="283">
        <v>551</v>
      </c>
      <c r="AI200" s="283">
        <v>551</v>
      </c>
      <c r="AJ200" s="283" t="s">
        <v>1442</v>
      </c>
      <c r="AK200" s="283">
        <v>34</v>
      </c>
      <c r="AL200" s="283" t="s">
        <v>1695</v>
      </c>
    </row>
    <row r="201" spans="1:38" ht="12.75" x14ac:dyDescent="0.2">
      <c r="A201">
        <v>357</v>
      </c>
      <c r="B201" t="s">
        <v>1247</v>
      </c>
      <c r="C201" t="s">
        <v>1816</v>
      </c>
      <c r="D201">
        <v>29234</v>
      </c>
      <c r="E201" t="s">
        <v>61</v>
      </c>
      <c r="F201">
        <v>40</v>
      </c>
      <c r="G201" t="s">
        <v>1693</v>
      </c>
      <c r="H201" s="281">
        <f>ROWS($G$4:G201)</f>
        <v>198</v>
      </c>
      <c r="I201" s="281" t="str">
        <f>IF('School Level Expenditures'!$B$2=A201,'School Tables'!H201,"")</f>
        <v/>
      </c>
      <c r="J201" s="281" t="str">
        <f>IFERROR(SMALL($I$4:$I$325,ROWS($I$4:I201)),"")</f>
        <v/>
      </c>
      <c r="K201" s="256" t="b">
        <f t="shared" si="10"/>
        <v>0</v>
      </c>
      <c r="AH201" s="283">
        <v>553</v>
      </c>
      <c r="AI201" s="283">
        <v>553</v>
      </c>
      <c r="AJ201" s="283" t="s">
        <v>1444</v>
      </c>
      <c r="AK201" s="283">
        <v>48</v>
      </c>
      <c r="AL201" s="283" t="s">
        <v>1652</v>
      </c>
    </row>
    <row r="202" spans="1:38" ht="12.75" x14ac:dyDescent="0.2">
      <c r="A202">
        <v>111</v>
      </c>
      <c r="B202" t="s">
        <v>958</v>
      </c>
      <c r="C202" t="s">
        <v>961</v>
      </c>
      <c r="D202">
        <v>20250</v>
      </c>
      <c r="E202" t="s">
        <v>61</v>
      </c>
      <c r="F202">
        <v>8</v>
      </c>
      <c r="G202" t="s">
        <v>1629</v>
      </c>
      <c r="H202" s="281">
        <f>ROWS($G$4:G202)</f>
        <v>199</v>
      </c>
      <c r="I202" s="281" t="str">
        <f>IF('School Level Expenditures'!$B$2=A202,'School Tables'!H202,"")</f>
        <v/>
      </c>
      <c r="J202" s="281" t="str">
        <f>IFERROR(SMALL($I$4:$I$325,ROWS($I$4:I202)),"")</f>
        <v/>
      </c>
      <c r="K202" s="256" t="b">
        <f t="shared" si="10"/>
        <v>0</v>
      </c>
      <c r="AH202" s="283">
        <v>555</v>
      </c>
      <c r="AI202" s="283">
        <v>555</v>
      </c>
      <c r="AJ202" s="283" t="s">
        <v>1446</v>
      </c>
      <c r="AK202" s="283">
        <v>24</v>
      </c>
      <c r="AL202" s="283" t="s">
        <v>1656</v>
      </c>
    </row>
    <row r="203" spans="1:38" ht="12.75" x14ac:dyDescent="0.2">
      <c r="A203">
        <v>729</v>
      </c>
      <c r="B203" t="s">
        <v>1500</v>
      </c>
      <c r="C203" t="s">
        <v>1500</v>
      </c>
      <c r="D203">
        <v>29040</v>
      </c>
      <c r="E203" t="s">
        <v>61</v>
      </c>
      <c r="F203">
        <v>416</v>
      </c>
      <c r="G203" t="s">
        <v>1500</v>
      </c>
      <c r="H203" s="281">
        <f>ROWS($G$4:G203)</f>
        <v>200</v>
      </c>
      <c r="I203" s="281" t="str">
        <f>IF('School Level Expenditures'!$B$2=A203,'School Tables'!H203,"")</f>
        <v/>
      </c>
      <c r="J203" s="281" t="str">
        <f>IFERROR(SMALL($I$4:$I$325,ROWS($I$4:I203)),"")</f>
        <v/>
      </c>
      <c r="K203" s="256" t="b">
        <f t="shared" si="10"/>
        <v>0</v>
      </c>
      <c r="AH203" s="283">
        <v>559</v>
      </c>
      <c r="AI203" s="283">
        <v>559</v>
      </c>
      <c r="AJ203" s="283" t="s">
        <v>1449</v>
      </c>
      <c r="AK203" s="283">
        <v>48</v>
      </c>
      <c r="AL203" s="283" t="s">
        <v>1652</v>
      </c>
    </row>
    <row r="204" spans="1:38" ht="12.75" x14ac:dyDescent="0.2">
      <c r="A204">
        <v>359</v>
      </c>
      <c r="B204" t="s">
        <v>1252</v>
      </c>
      <c r="C204" t="s">
        <v>1255</v>
      </c>
      <c r="D204">
        <v>22075</v>
      </c>
      <c r="E204" t="s">
        <v>61</v>
      </c>
      <c r="F204">
        <v>64</v>
      </c>
      <c r="G204" t="s">
        <v>1715</v>
      </c>
      <c r="H204" s="281">
        <f>ROWS($G$4:G204)</f>
        <v>201</v>
      </c>
      <c r="I204" s="281" t="str">
        <f>IF('School Level Expenditures'!$B$2=A204,'School Tables'!H204,"")</f>
        <v/>
      </c>
      <c r="J204" s="281" t="str">
        <f>IFERROR(SMALL($I$4:$I$325,ROWS($I$4:I204)),"")</f>
        <v/>
      </c>
      <c r="K204" s="256" t="b">
        <f t="shared" si="10"/>
        <v>0</v>
      </c>
      <c r="AH204" s="283">
        <v>563</v>
      </c>
      <c r="AI204" s="283">
        <v>563</v>
      </c>
      <c r="AJ204" s="283" t="s">
        <v>1451</v>
      </c>
      <c r="AK204" s="283">
        <v>29</v>
      </c>
      <c r="AL204" s="283" t="s">
        <v>1659</v>
      </c>
    </row>
    <row r="205" spans="1:38" ht="12.75" x14ac:dyDescent="0.2">
      <c r="A205">
        <v>423</v>
      </c>
      <c r="B205" t="s">
        <v>1320</v>
      </c>
      <c r="C205" t="s">
        <v>1321</v>
      </c>
      <c r="D205">
        <v>26660</v>
      </c>
      <c r="E205" t="s">
        <v>61</v>
      </c>
      <c r="F205">
        <v>5</v>
      </c>
      <c r="G205" t="s">
        <v>1710</v>
      </c>
      <c r="H205" s="281">
        <f>ROWS($G$4:G205)</f>
        <v>202</v>
      </c>
      <c r="I205" s="281" t="str">
        <f>IF('School Level Expenditures'!$B$2=A205,'School Tables'!H205,"")</f>
        <v/>
      </c>
      <c r="J205" s="281" t="str">
        <f>IFERROR(SMALL($I$4:$I$325,ROWS($I$4:I205)),"")</f>
        <v/>
      </c>
      <c r="K205" s="256" t="b">
        <f t="shared" si="10"/>
        <v>0</v>
      </c>
      <c r="AH205" s="283">
        <v>568</v>
      </c>
      <c r="AI205" s="283">
        <v>0</v>
      </c>
      <c r="AJ205" s="283" t="s">
        <v>1453</v>
      </c>
      <c r="AK205" s="283">
        <v>36</v>
      </c>
      <c r="AL205" s="283" t="s">
        <v>1703</v>
      </c>
    </row>
    <row r="206" spans="1:38" ht="12.75" x14ac:dyDescent="0.2">
      <c r="A206">
        <v>365</v>
      </c>
      <c r="B206" t="s">
        <v>1261</v>
      </c>
      <c r="C206" t="s">
        <v>1262</v>
      </c>
      <c r="D206">
        <v>20885</v>
      </c>
      <c r="E206" t="s">
        <v>61</v>
      </c>
      <c r="F206">
        <v>77</v>
      </c>
      <c r="G206" t="s">
        <v>1716</v>
      </c>
      <c r="H206" s="281">
        <f>ROWS($G$4:G206)</f>
        <v>203</v>
      </c>
      <c r="I206" s="281" t="str">
        <f>IF('School Level Expenditures'!$B$2=A206,'School Tables'!H206,"")</f>
        <v/>
      </c>
      <c r="J206" s="281" t="str">
        <f>IFERROR(SMALL($I$4:$I$325,ROWS($I$4:I206)),"")</f>
        <v/>
      </c>
      <c r="K206" s="256" t="b">
        <f t="shared" si="10"/>
        <v>0</v>
      </c>
      <c r="AH206" s="283">
        <v>572</v>
      </c>
      <c r="AI206" s="283">
        <v>0</v>
      </c>
      <c r="AJ206" s="283" t="s">
        <v>1457</v>
      </c>
      <c r="AK206" s="283">
        <v>63</v>
      </c>
      <c r="AL206" s="283" t="s">
        <v>1675</v>
      </c>
    </row>
    <row r="207" spans="1:38" ht="12.75" x14ac:dyDescent="0.2">
      <c r="A207">
        <v>367</v>
      </c>
      <c r="B207" t="s">
        <v>1263</v>
      </c>
      <c r="C207" t="s">
        <v>1264</v>
      </c>
      <c r="D207">
        <v>21790</v>
      </c>
      <c r="E207" t="s">
        <v>61</v>
      </c>
      <c r="F207">
        <v>39</v>
      </c>
      <c r="G207" t="s">
        <v>1660</v>
      </c>
      <c r="H207" s="281">
        <f>ROWS($G$4:G207)</f>
        <v>204</v>
      </c>
      <c r="I207" s="281" t="str">
        <f>IF('School Level Expenditures'!$B$2=A207,'School Tables'!H207,"")</f>
        <v/>
      </c>
      <c r="J207" s="281" t="str">
        <f>IFERROR(SMALL($I$4:$I$325,ROWS($I$4:I207)),"")</f>
        <v/>
      </c>
      <c r="K207" s="256" t="b">
        <f t="shared" si="10"/>
        <v>0</v>
      </c>
      <c r="AH207" s="283">
        <v>573</v>
      </c>
      <c r="AI207" s="283">
        <v>573</v>
      </c>
      <c r="AJ207" s="283" t="s">
        <v>1462</v>
      </c>
      <c r="AK207" s="283">
        <v>94</v>
      </c>
      <c r="AL207" s="283" t="s">
        <v>1731</v>
      </c>
    </row>
    <row r="208" spans="1:38" ht="12.75" x14ac:dyDescent="0.2">
      <c r="A208">
        <v>319</v>
      </c>
      <c r="B208" t="s">
        <v>1184</v>
      </c>
      <c r="C208" t="s">
        <v>1185</v>
      </c>
      <c r="D208">
        <v>27905</v>
      </c>
      <c r="E208" t="s">
        <v>61</v>
      </c>
      <c r="F208">
        <v>12</v>
      </c>
      <c r="G208" t="s">
        <v>1711</v>
      </c>
      <c r="H208" s="281">
        <f>ROWS($G$4:G208)</f>
        <v>205</v>
      </c>
      <c r="I208" s="281" t="str">
        <f>IF('School Level Expenditures'!$B$2=A208,'School Tables'!H208,"")</f>
        <v/>
      </c>
      <c r="J208" s="281" t="str">
        <f>IFERROR(SMALL($I$4:$I$325,ROWS($I$4:I208)),"")</f>
        <v/>
      </c>
      <c r="K208" s="256" t="b">
        <f t="shared" si="10"/>
        <v>0</v>
      </c>
      <c r="AH208" s="283">
        <v>575</v>
      </c>
      <c r="AI208" s="283">
        <v>575</v>
      </c>
      <c r="AJ208" s="283" t="s">
        <v>1463</v>
      </c>
      <c r="AK208" s="283">
        <v>95</v>
      </c>
      <c r="AL208" s="283" t="s">
        <v>1684</v>
      </c>
    </row>
    <row r="209" spans="1:38" ht="63.75" x14ac:dyDescent="0.2">
      <c r="A209">
        <v>369</v>
      </c>
      <c r="B209" t="s">
        <v>1265</v>
      </c>
      <c r="C209" t="s">
        <v>1266</v>
      </c>
      <c r="D209">
        <v>22115</v>
      </c>
      <c r="E209" t="s">
        <v>61</v>
      </c>
      <c r="F209">
        <v>45</v>
      </c>
      <c r="G209" t="s">
        <v>1717</v>
      </c>
      <c r="H209" s="281">
        <f>ROWS($G$4:G209)</f>
        <v>206</v>
      </c>
      <c r="I209" s="281" t="str">
        <f>IF('School Level Expenditures'!$B$2=A209,'School Tables'!H209,"")</f>
        <v/>
      </c>
      <c r="J209" s="281" t="str">
        <f>IFERROR(SMALL($I$4:$I$325,ROWS($I$4:I209)),"")</f>
        <v/>
      </c>
      <c r="K209" s="256" t="b">
        <f t="shared" si="10"/>
        <v>0</v>
      </c>
      <c r="AH209" s="276">
        <v>712</v>
      </c>
      <c r="AI209" s="276">
        <v>712</v>
      </c>
      <c r="AJ209" s="276" t="s">
        <v>1489</v>
      </c>
      <c r="AK209" s="276">
        <v>434</v>
      </c>
      <c r="AL209" s="276" t="s">
        <v>1489</v>
      </c>
    </row>
    <row r="210" spans="1:38" ht="12.75" x14ac:dyDescent="0.2">
      <c r="A210">
        <v>704</v>
      </c>
      <c r="B210" t="s">
        <v>1479</v>
      </c>
      <c r="C210" t="s">
        <v>1479</v>
      </c>
      <c r="D210">
        <v>29154</v>
      </c>
      <c r="E210" t="s">
        <v>61</v>
      </c>
      <c r="F210">
        <v>427</v>
      </c>
      <c r="G210" t="s">
        <v>1479</v>
      </c>
      <c r="H210" s="281">
        <f>ROWS($G$4:G210)</f>
        <v>207</v>
      </c>
      <c r="I210" s="281" t="str">
        <f>IF('School Level Expenditures'!$B$2=A210,'School Tables'!H210,"")</f>
        <v/>
      </c>
      <c r="J210" s="281" t="str">
        <f>IFERROR(SMALL($I$4:$I$325,ROWS($I$4:I210)),"")</f>
        <v/>
      </c>
      <c r="K210" s="256" t="b">
        <f t="shared" si="10"/>
        <v>0</v>
      </c>
      <c r="AH210" s="283">
        <v>579</v>
      </c>
      <c r="AI210" s="283">
        <v>579</v>
      </c>
      <c r="AJ210" s="283" t="s">
        <v>1759</v>
      </c>
      <c r="AK210" s="283">
        <v>34</v>
      </c>
      <c r="AL210" s="283" t="s">
        <v>1695</v>
      </c>
    </row>
    <row r="211" spans="1:38" ht="12.75" x14ac:dyDescent="0.2">
      <c r="A211">
        <v>363</v>
      </c>
      <c r="B211" t="s">
        <v>1256</v>
      </c>
      <c r="C211" t="s">
        <v>1584</v>
      </c>
      <c r="D211">
        <v>21695</v>
      </c>
      <c r="E211" t="s">
        <v>61</v>
      </c>
      <c r="F211">
        <v>93</v>
      </c>
      <c r="G211" t="s">
        <v>1665</v>
      </c>
      <c r="H211" s="281">
        <f>ROWS($G$4:G211)</f>
        <v>208</v>
      </c>
      <c r="I211" s="281" t="str">
        <f>IF('School Level Expenditures'!$B$2=A211,'School Tables'!H211,"")</f>
        <v/>
      </c>
      <c r="J211" s="281" t="str">
        <f>IFERROR(SMALL($I$4:$I$325,ROWS($I$4:I211)),"")</f>
        <v/>
      </c>
      <c r="K211" s="256" t="b">
        <f t="shared" si="10"/>
        <v>0</v>
      </c>
      <c r="AH211" s="283">
        <v>581</v>
      </c>
      <c r="AI211" s="283">
        <v>581</v>
      </c>
      <c r="AJ211" s="283" t="s">
        <v>1468</v>
      </c>
      <c r="AK211" s="283">
        <v>21</v>
      </c>
      <c r="AL211" s="283" t="s">
        <v>1705</v>
      </c>
    </row>
    <row r="212" spans="1:38" ht="12.75" x14ac:dyDescent="0.2">
      <c r="A212">
        <v>295</v>
      </c>
      <c r="B212" t="s">
        <v>1161</v>
      </c>
      <c r="C212" t="s">
        <v>1163</v>
      </c>
      <c r="D212">
        <v>21355</v>
      </c>
      <c r="E212" t="s">
        <v>61</v>
      </c>
      <c r="F212">
        <v>88</v>
      </c>
      <c r="G212" t="s">
        <v>1690</v>
      </c>
      <c r="H212" s="281">
        <f>ROWS($G$4:G212)</f>
        <v>209</v>
      </c>
      <c r="I212" s="281" t="str">
        <f>IF('School Level Expenditures'!$B$2=A212,'School Tables'!H212,"")</f>
        <v/>
      </c>
      <c r="J212" s="281" t="str">
        <f>IFERROR(SMALL($I$4:$I$325,ROWS($I$4:I212)),"")</f>
        <v/>
      </c>
      <c r="K212" s="256" t="b">
        <f t="shared" si="10"/>
        <v>0</v>
      </c>
      <c r="AH212" s="283">
        <v>582</v>
      </c>
      <c r="AI212" s="283">
        <v>582</v>
      </c>
      <c r="AJ212" s="283" t="s">
        <v>1470</v>
      </c>
      <c r="AK212" s="283">
        <v>59</v>
      </c>
      <c r="AL212" s="283" t="s">
        <v>1728</v>
      </c>
    </row>
    <row r="213" spans="1:38" ht="12.75" x14ac:dyDescent="0.2">
      <c r="A213">
        <v>371</v>
      </c>
      <c r="B213" t="s">
        <v>1268</v>
      </c>
      <c r="C213" t="s">
        <v>1277</v>
      </c>
      <c r="D213">
        <v>21885</v>
      </c>
      <c r="E213" t="s">
        <v>61</v>
      </c>
      <c r="F213">
        <v>42</v>
      </c>
      <c r="G213" t="s">
        <v>1634</v>
      </c>
      <c r="H213" s="281">
        <f>ROWS($G$4:G213)</f>
        <v>210</v>
      </c>
      <c r="I213" s="281" t="str">
        <f>IF('School Level Expenditures'!$B$2=A213,'School Tables'!H213,"")</f>
        <v/>
      </c>
      <c r="J213" s="281" t="str">
        <f>IFERROR(SMALL($I$4:$I$325,ROWS($I$4:I213)),"")</f>
        <v/>
      </c>
      <c r="K213" s="256" t="b">
        <f t="shared" si="10"/>
        <v>0</v>
      </c>
    </row>
    <row r="214" spans="1:38" ht="12.75" x14ac:dyDescent="0.2">
      <c r="A214">
        <v>174</v>
      </c>
      <c r="B214" t="s">
        <v>1021</v>
      </c>
      <c r="C214" t="s">
        <v>1026</v>
      </c>
      <c r="D214">
        <v>22980</v>
      </c>
      <c r="E214" t="s">
        <v>61</v>
      </c>
      <c r="F214">
        <v>60</v>
      </c>
      <c r="G214" t="s">
        <v>1630</v>
      </c>
      <c r="H214" s="281">
        <f>ROWS($G$4:G214)</f>
        <v>211</v>
      </c>
      <c r="I214" s="281" t="str">
        <f>IF('School Level Expenditures'!$B$2=A214,'School Tables'!H214,"")</f>
        <v/>
      </c>
      <c r="J214" s="281" t="str">
        <f>IFERROR(SMALL($I$4:$I$325,ROWS($I$4:I214)),"")</f>
        <v/>
      </c>
      <c r="K214" s="256" t="b">
        <f t="shared" si="10"/>
        <v>0</v>
      </c>
    </row>
    <row r="215" spans="1:38" ht="12.75" x14ac:dyDescent="0.2">
      <c r="A215">
        <v>461</v>
      </c>
      <c r="B215" t="s">
        <v>1361</v>
      </c>
      <c r="C215" t="s">
        <v>1363</v>
      </c>
      <c r="D215">
        <v>22660</v>
      </c>
      <c r="E215" t="s">
        <v>61</v>
      </c>
      <c r="F215">
        <v>54</v>
      </c>
      <c r="G215" t="s">
        <v>1657</v>
      </c>
      <c r="H215" s="281">
        <f>ROWS($G$4:G215)</f>
        <v>212</v>
      </c>
      <c r="I215" s="281" t="str">
        <f>IF('School Level Expenditures'!$B$2=A215,'School Tables'!H215,"")</f>
        <v/>
      </c>
      <c r="J215" s="281" t="str">
        <f>IFERROR(SMALL($I$4:$I$325,ROWS($I$4:I215)),"")</f>
        <v/>
      </c>
      <c r="K215" s="256" t="b">
        <f t="shared" si="10"/>
        <v>0</v>
      </c>
    </row>
    <row r="216" spans="1:38" ht="12.75" x14ac:dyDescent="0.2">
      <c r="A216">
        <v>371</v>
      </c>
      <c r="B216" t="s">
        <v>1268</v>
      </c>
      <c r="C216" t="s">
        <v>1817</v>
      </c>
      <c r="D216">
        <v>29152</v>
      </c>
      <c r="E216" t="s">
        <v>61</v>
      </c>
      <c r="F216">
        <v>42</v>
      </c>
      <c r="G216" t="s">
        <v>1634</v>
      </c>
      <c r="H216" s="281">
        <f>ROWS($G$4:G216)</f>
        <v>213</v>
      </c>
      <c r="I216" s="281" t="str">
        <f>IF('School Level Expenditures'!$B$2=A216,'School Tables'!H216,"")</f>
        <v/>
      </c>
      <c r="J216" s="281" t="str">
        <f>IFERROR(SMALL($I$4:$I$325,ROWS($I$4:I216)),"")</f>
        <v/>
      </c>
      <c r="K216" s="256" t="b">
        <f t="shared" si="10"/>
        <v>0</v>
      </c>
    </row>
    <row r="217" spans="1:38" ht="12.75" x14ac:dyDescent="0.2">
      <c r="A217">
        <v>375</v>
      </c>
      <c r="B217" t="s">
        <v>1286</v>
      </c>
      <c r="C217" t="s">
        <v>1287</v>
      </c>
      <c r="D217">
        <v>21215</v>
      </c>
      <c r="E217" t="s">
        <v>61</v>
      </c>
      <c r="F217">
        <v>29</v>
      </c>
      <c r="G217" t="s">
        <v>1659</v>
      </c>
      <c r="H217" s="281">
        <f>ROWS($G$4:G217)</f>
        <v>214</v>
      </c>
      <c r="I217" s="281" t="str">
        <f>IF('School Level Expenditures'!$B$2=A217,'School Tables'!H217,"")</f>
        <v/>
      </c>
      <c r="J217" s="281" t="str">
        <f>IFERROR(SMALL($I$4:$I$325,ROWS($I$4:I217)),"")</f>
        <v/>
      </c>
      <c r="K217" s="256" t="b">
        <f t="shared" si="10"/>
        <v>0</v>
      </c>
    </row>
    <row r="218" spans="1:38" ht="12.75" x14ac:dyDescent="0.2">
      <c r="A218">
        <v>377</v>
      </c>
      <c r="B218" t="s">
        <v>1288</v>
      </c>
      <c r="C218" t="s">
        <v>1289</v>
      </c>
      <c r="D218">
        <v>20715</v>
      </c>
      <c r="E218" t="s">
        <v>61</v>
      </c>
      <c r="F218">
        <v>19</v>
      </c>
      <c r="G218" t="s">
        <v>1643</v>
      </c>
      <c r="H218" s="281">
        <f>ROWS($G$4:G218)</f>
        <v>215</v>
      </c>
      <c r="I218" s="281" t="str">
        <f>IF('School Level Expenditures'!$B$2=A218,'School Tables'!H218,"")</f>
        <v/>
      </c>
      <c r="J218" s="281" t="str">
        <f>IFERROR(SMALL($I$4:$I$325,ROWS($I$4:I218)),"")</f>
        <v/>
      </c>
      <c r="K218" s="256" t="b">
        <f t="shared" si="10"/>
        <v>0</v>
      </c>
    </row>
    <row r="219" spans="1:38" ht="12.75" x14ac:dyDescent="0.2">
      <c r="A219">
        <v>208</v>
      </c>
      <c r="B219" t="s">
        <v>1060</v>
      </c>
      <c r="C219" t="s">
        <v>1062</v>
      </c>
      <c r="D219">
        <v>22400</v>
      </c>
      <c r="E219" t="s">
        <v>61</v>
      </c>
      <c r="F219">
        <v>49</v>
      </c>
      <c r="G219" t="s">
        <v>1655</v>
      </c>
      <c r="H219" s="281">
        <f>ROWS($G$4:G219)</f>
        <v>216</v>
      </c>
      <c r="I219" s="281" t="str">
        <f>IF('School Level Expenditures'!$B$2=A219,'School Tables'!H219,"")</f>
        <v/>
      </c>
      <c r="J219" s="281" t="str">
        <f>IFERROR(SMALL($I$4:$I$325,ROWS($I$4:I219)),"")</f>
        <v/>
      </c>
      <c r="K219" s="256" t="b">
        <f t="shared" si="10"/>
        <v>0</v>
      </c>
    </row>
    <row r="220" spans="1:38" ht="12.75" x14ac:dyDescent="0.2">
      <c r="A220">
        <v>449</v>
      </c>
      <c r="B220" t="s">
        <v>1348</v>
      </c>
      <c r="C220" t="s">
        <v>1351</v>
      </c>
      <c r="D220">
        <v>22525</v>
      </c>
      <c r="E220" t="s">
        <v>61</v>
      </c>
      <c r="F220">
        <v>52</v>
      </c>
      <c r="G220" t="s">
        <v>1707</v>
      </c>
      <c r="H220" s="281">
        <f>ROWS($G$4:G220)</f>
        <v>217</v>
      </c>
      <c r="I220" s="281" t="str">
        <f>IF('School Level Expenditures'!$B$2=A220,'School Tables'!H220,"")</f>
        <v/>
      </c>
      <c r="J220" s="281" t="str">
        <f>IFERROR(SMALL($I$4:$I$325,ROWS($I$4:I220)),"")</f>
        <v/>
      </c>
      <c r="K220" s="256" t="b">
        <f t="shared" si="10"/>
        <v>0</v>
      </c>
    </row>
    <row r="221" spans="1:38" ht="12.75" x14ac:dyDescent="0.2">
      <c r="A221">
        <v>388</v>
      </c>
      <c r="B221" t="s">
        <v>1754</v>
      </c>
      <c r="C221" t="s">
        <v>1299</v>
      </c>
      <c r="D221">
        <v>20105</v>
      </c>
      <c r="E221" t="s">
        <v>61</v>
      </c>
      <c r="F221">
        <v>4</v>
      </c>
      <c r="G221" t="s">
        <v>1651</v>
      </c>
      <c r="H221" s="281">
        <f>ROWS($G$4:G221)</f>
        <v>218</v>
      </c>
      <c r="I221" s="281" t="str">
        <f>IF('School Level Expenditures'!$B$2=A221,'School Tables'!H221,"")</f>
        <v/>
      </c>
      <c r="J221" s="281" t="str">
        <f>IFERROR(SMALL($I$4:$I$325,ROWS($I$4:I221)),"")</f>
        <v/>
      </c>
      <c r="K221" s="256" t="b">
        <f t="shared" si="10"/>
        <v>0</v>
      </c>
    </row>
    <row r="222" spans="1:38" ht="12.75" x14ac:dyDescent="0.2">
      <c r="A222">
        <v>371</v>
      </c>
      <c r="B222" t="s">
        <v>1268</v>
      </c>
      <c r="C222" t="s">
        <v>1272</v>
      </c>
      <c r="D222">
        <v>21845</v>
      </c>
      <c r="E222" t="s">
        <v>61</v>
      </c>
      <c r="F222">
        <v>42</v>
      </c>
      <c r="G222" t="s">
        <v>1634</v>
      </c>
      <c r="H222" s="281">
        <f>ROWS($G$4:G222)</f>
        <v>219</v>
      </c>
      <c r="I222" s="281" t="str">
        <f>IF('School Level Expenditures'!$B$2=A222,'School Tables'!H222,"")</f>
        <v/>
      </c>
      <c r="J222" s="281" t="str">
        <f>IFERROR(SMALL($I$4:$I$325,ROWS($I$4:I222)),"")</f>
        <v/>
      </c>
      <c r="K222" s="256" t="b">
        <f t="shared" si="10"/>
        <v>0</v>
      </c>
    </row>
    <row r="223" spans="1:38" ht="12.75" x14ac:dyDescent="0.2">
      <c r="A223">
        <v>387</v>
      </c>
      <c r="B223" t="s">
        <v>1292</v>
      </c>
      <c r="C223" t="s">
        <v>1293</v>
      </c>
      <c r="D223">
        <v>20610</v>
      </c>
      <c r="E223" t="s">
        <v>61</v>
      </c>
      <c r="F223">
        <v>16</v>
      </c>
      <c r="G223" t="s">
        <v>1670</v>
      </c>
      <c r="H223" s="281">
        <f>ROWS($G$4:G223)</f>
        <v>220</v>
      </c>
      <c r="I223" s="281" t="str">
        <f>IF('School Level Expenditures'!$B$2=A223,'School Tables'!H223,"")</f>
        <v/>
      </c>
      <c r="J223" s="281" t="str">
        <f>IFERROR(SMALL($I$4:$I$325,ROWS($I$4:I223)),"")</f>
        <v/>
      </c>
      <c r="K223" s="256" t="b">
        <f t="shared" si="10"/>
        <v>0</v>
      </c>
    </row>
    <row r="224" spans="1:38" ht="12.75" x14ac:dyDescent="0.2">
      <c r="A224">
        <v>391</v>
      </c>
      <c r="B224" t="s">
        <v>1300</v>
      </c>
      <c r="C224" t="s">
        <v>1301</v>
      </c>
      <c r="D224">
        <v>22465</v>
      </c>
      <c r="E224" t="s">
        <v>61</v>
      </c>
      <c r="F224">
        <v>50</v>
      </c>
      <c r="G224" t="s">
        <v>1686</v>
      </c>
      <c r="H224" s="281">
        <f>ROWS($G$4:G224)</f>
        <v>221</v>
      </c>
      <c r="I224" s="281" t="str">
        <f>IF('School Level Expenditures'!$B$2=A224,'School Tables'!H224,"")</f>
        <v/>
      </c>
      <c r="J224" s="281" t="str">
        <f>IFERROR(SMALL($I$4:$I$325,ROWS($I$4:I224)),"")</f>
        <v/>
      </c>
      <c r="K224" s="256" t="b">
        <f t="shared" si="10"/>
        <v>0</v>
      </c>
    </row>
    <row r="225" spans="1:11" ht="12.75" x14ac:dyDescent="0.2">
      <c r="A225">
        <v>399</v>
      </c>
      <c r="B225" t="s">
        <v>1302</v>
      </c>
      <c r="C225" t="s">
        <v>1303</v>
      </c>
      <c r="D225">
        <v>21300</v>
      </c>
      <c r="E225" t="s">
        <v>61</v>
      </c>
      <c r="F225">
        <v>31</v>
      </c>
      <c r="G225" t="s">
        <v>1718</v>
      </c>
      <c r="H225" s="281">
        <f>ROWS($G$4:G225)</f>
        <v>222</v>
      </c>
      <c r="I225" s="281" t="str">
        <f>IF('School Level Expenditures'!$B$2=A225,'School Tables'!H225,"")</f>
        <v/>
      </c>
      <c r="J225" s="281" t="str">
        <f>IFERROR(SMALL($I$4:$I$325,ROWS($I$4:I225)),"")</f>
        <v/>
      </c>
      <c r="K225" s="256" t="b">
        <f t="shared" si="10"/>
        <v>0</v>
      </c>
    </row>
    <row r="226" spans="1:11" ht="12.75" x14ac:dyDescent="0.2">
      <c r="A226">
        <v>399</v>
      </c>
      <c r="B226" t="s">
        <v>1302</v>
      </c>
      <c r="C226" t="s">
        <v>1305</v>
      </c>
      <c r="D226">
        <v>26560</v>
      </c>
      <c r="E226" t="s">
        <v>61</v>
      </c>
      <c r="F226">
        <v>31</v>
      </c>
      <c r="G226" t="s">
        <v>1718</v>
      </c>
      <c r="H226" s="281">
        <f>ROWS($G$4:G226)</f>
        <v>223</v>
      </c>
      <c r="I226" s="281" t="str">
        <f>IF('School Level Expenditures'!$B$2=A226,'School Tables'!H226,"")</f>
        <v/>
      </c>
      <c r="J226" s="281" t="str">
        <f>IFERROR(SMALL($I$4:$I$325,ROWS($I$4:I226)),"")</f>
        <v/>
      </c>
      <c r="K226" s="256" t="b">
        <f t="shared" si="10"/>
        <v>0</v>
      </c>
    </row>
    <row r="227" spans="1:11" ht="12.75" x14ac:dyDescent="0.2">
      <c r="A227">
        <v>405</v>
      </c>
      <c r="B227" t="s">
        <v>1310</v>
      </c>
      <c r="C227" t="s">
        <v>1311</v>
      </c>
      <c r="D227">
        <v>20805</v>
      </c>
      <c r="E227" t="s">
        <v>61</v>
      </c>
      <c r="F227">
        <v>21</v>
      </c>
      <c r="G227" t="s">
        <v>1705</v>
      </c>
      <c r="H227" s="281">
        <f>ROWS($G$4:G227)</f>
        <v>224</v>
      </c>
      <c r="I227" s="281" t="str">
        <f>IF('School Level Expenditures'!$B$2=A227,'School Tables'!H227,"")</f>
        <v/>
      </c>
      <c r="J227" s="281" t="str">
        <f>IFERROR(SMALL($I$4:$I$325,ROWS($I$4:I227)),"")</f>
        <v/>
      </c>
      <c r="K227" s="256" t="b">
        <f t="shared" si="10"/>
        <v>0</v>
      </c>
    </row>
    <row r="228" spans="1:11" ht="12.75" x14ac:dyDescent="0.2">
      <c r="A228">
        <v>319</v>
      </c>
      <c r="B228" t="s">
        <v>1184</v>
      </c>
      <c r="C228" t="s">
        <v>1186</v>
      </c>
      <c r="D228">
        <v>20470</v>
      </c>
      <c r="E228" t="s">
        <v>61</v>
      </c>
      <c r="F228">
        <v>12</v>
      </c>
      <c r="G228" t="s">
        <v>1711</v>
      </c>
      <c r="H228" s="281">
        <f>ROWS($G$4:G228)</f>
        <v>225</v>
      </c>
      <c r="I228" s="281" t="str">
        <f>IF('School Level Expenditures'!$B$2=A228,'School Tables'!H228,"")</f>
        <v/>
      </c>
      <c r="J228" s="281" t="str">
        <f>IFERROR(SMALL($I$4:$I$325,ROWS($I$4:I228)),"")</f>
        <v/>
      </c>
      <c r="K228" s="256" t="b">
        <f t="shared" si="10"/>
        <v>0</v>
      </c>
    </row>
    <row r="229" spans="1:11" ht="12.75" x14ac:dyDescent="0.2">
      <c r="A229">
        <v>473</v>
      </c>
      <c r="B229" t="s">
        <v>1380</v>
      </c>
      <c r="C229" t="s">
        <v>1386</v>
      </c>
      <c r="D229">
        <v>22890</v>
      </c>
      <c r="E229" t="s">
        <v>61</v>
      </c>
      <c r="F229">
        <v>57</v>
      </c>
      <c r="G229" t="s">
        <v>1669</v>
      </c>
      <c r="H229" s="281">
        <f>ROWS($G$4:G229)</f>
        <v>226</v>
      </c>
      <c r="I229" s="281" t="str">
        <f>IF('School Level Expenditures'!$B$2=A229,'School Tables'!H229,"")</f>
        <v/>
      </c>
      <c r="J229" s="281" t="str">
        <f>IFERROR(SMALL($I$4:$I$325,ROWS($I$4:I229)),"")</f>
        <v/>
      </c>
      <c r="K229" s="256" t="b">
        <f t="shared" si="10"/>
        <v>0</v>
      </c>
    </row>
    <row r="230" spans="1:11" ht="12.75" x14ac:dyDescent="0.2">
      <c r="A230">
        <v>174</v>
      </c>
      <c r="B230" t="s">
        <v>1021</v>
      </c>
      <c r="C230" t="s">
        <v>1030</v>
      </c>
      <c r="D230">
        <v>23005</v>
      </c>
      <c r="E230" t="s">
        <v>61</v>
      </c>
      <c r="F230">
        <v>60</v>
      </c>
      <c r="G230" t="s">
        <v>1630</v>
      </c>
      <c r="H230" s="281">
        <f>ROWS($G$4:G230)</f>
        <v>227</v>
      </c>
      <c r="I230" s="281" t="str">
        <f>IF('School Level Expenditures'!$B$2=A230,'School Tables'!H230,"")</f>
        <v/>
      </c>
      <c r="J230" s="281" t="str">
        <f>IFERROR(SMALL($I$4:$I$325,ROWS($I$4:I230)),"")</f>
        <v/>
      </c>
      <c r="K230" s="256" t="b">
        <f t="shared" si="10"/>
        <v>0</v>
      </c>
    </row>
    <row r="231" spans="1:11" ht="12.75" x14ac:dyDescent="0.2">
      <c r="A231">
        <v>716</v>
      </c>
      <c r="B231" t="s">
        <v>1599</v>
      </c>
      <c r="C231" t="s">
        <v>1599</v>
      </c>
      <c r="D231">
        <v>29231</v>
      </c>
      <c r="E231" t="s">
        <v>61</v>
      </c>
      <c r="F231">
        <v>441</v>
      </c>
      <c r="G231" t="s">
        <v>1599</v>
      </c>
      <c r="H231" s="281">
        <f>ROWS($G$4:G231)</f>
        <v>228</v>
      </c>
      <c r="I231" s="281" t="str">
        <f>IF('School Level Expenditures'!$B$2=A231,'School Tables'!H231,"")</f>
        <v/>
      </c>
      <c r="J231" s="281" t="str">
        <f>IFERROR(SMALL($I$4:$I$325,ROWS($I$4:I231)),"")</f>
        <v/>
      </c>
      <c r="K231" s="256" t="b">
        <f t="shared" si="10"/>
        <v>0</v>
      </c>
    </row>
    <row r="232" spans="1:11" ht="12.75" x14ac:dyDescent="0.2">
      <c r="A232">
        <v>335</v>
      </c>
      <c r="B232" t="s">
        <v>895</v>
      </c>
      <c r="C232" t="s">
        <v>1211</v>
      </c>
      <c r="D232">
        <v>26435</v>
      </c>
      <c r="E232" t="s">
        <v>61</v>
      </c>
      <c r="F232">
        <v>37</v>
      </c>
      <c r="G232" t="s">
        <v>1640</v>
      </c>
      <c r="H232" s="281">
        <f>ROWS($G$4:G232)</f>
        <v>229</v>
      </c>
      <c r="I232" s="281" t="str">
        <f>IF('School Level Expenditures'!$B$2=A232,'School Tables'!H232,"")</f>
        <v/>
      </c>
      <c r="J232" s="281" t="str">
        <f>IFERROR(SMALL($I$4:$I$325,ROWS($I$4:I232)),"")</f>
        <v/>
      </c>
      <c r="K232" s="256" t="b">
        <f t="shared" si="10"/>
        <v>0</v>
      </c>
    </row>
    <row r="233" spans="1:11" ht="12.75" x14ac:dyDescent="0.2">
      <c r="A233">
        <v>411</v>
      </c>
      <c r="B233" t="s">
        <v>1316</v>
      </c>
      <c r="C233" t="s">
        <v>1317</v>
      </c>
      <c r="D233">
        <v>22085</v>
      </c>
      <c r="E233" t="s">
        <v>61</v>
      </c>
      <c r="F233">
        <v>44</v>
      </c>
      <c r="G233" t="s">
        <v>1719</v>
      </c>
      <c r="H233" s="281">
        <f>ROWS($G$4:G233)</f>
        <v>230</v>
      </c>
      <c r="I233" s="281" t="str">
        <f>IF('School Level Expenditures'!$B$2=A233,'School Tables'!H233,"")</f>
        <v/>
      </c>
      <c r="J233" s="281" t="str">
        <f>IFERROR(SMALL($I$4:$I$325,ROWS($I$4:I233)),"")</f>
        <v/>
      </c>
      <c r="K233" s="256" t="b">
        <f t="shared" si="10"/>
        <v>0</v>
      </c>
    </row>
    <row r="234" spans="1:11" ht="12.75" x14ac:dyDescent="0.2">
      <c r="A234">
        <v>413</v>
      </c>
      <c r="B234" t="s">
        <v>1318</v>
      </c>
      <c r="C234" t="s">
        <v>1319</v>
      </c>
      <c r="D234">
        <v>22095</v>
      </c>
      <c r="E234" t="s">
        <v>61</v>
      </c>
      <c r="F234">
        <v>107</v>
      </c>
      <c r="G234" t="s">
        <v>1818</v>
      </c>
      <c r="H234" s="281">
        <f>ROWS($G$4:G234)</f>
        <v>231</v>
      </c>
      <c r="I234" s="281" t="str">
        <f>IF('School Level Expenditures'!$B$2=A234,'School Tables'!H234,"")</f>
        <v/>
      </c>
      <c r="J234" s="281" t="str">
        <f>IFERROR(SMALL($I$4:$I$325,ROWS($I$4:I234)),"")</f>
        <v/>
      </c>
      <c r="K234" s="256" t="b">
        <f t="shared" si="10"/>
        <v>0</v>
      </c>
    </row>
    <row r="235" spans="1:11" ht="12.75" x14ac:dyDescent="0.2">
      <c r="A235">
        <v>267</v>
      </c>
      <c r="B235" t="s">
        <v>1117</v>
      </c>
      <c r="C235" t="s">
        <v>1720</v>
      </c>
      <c r="D235">
        <v>29232</v>
      </c>
      <c r="E235" t="s">
        <v>61</v>
      </c>
      <c r="F235">
        <v>81</v>
      </c>
      <c r="G235" t="s">
        <v>1668</v>
      </c>
      <c r="H235" s="281">
        <f>ROWS($G$4:G235)</f>
        <v>232</v>
      </c>
      <c r="I235" s="281" t="str">
        <f>IF('School Level Expenditures'!$B$2=A235,'School Tables'!H235,"")</f>
        <v/>
      </c>
      <c r="J235" s="281" t="str">
        <f>IFERROR(SMALL($I$4:$I$325,ROWS($I$4:I235)),"")</f>
        <v/>
      </c>
      <c r="K235" s="256" t="b">
        <f t="shared" si="10"/>
        <v>0</v>
      </c>
    </row>
    <row r="236" spans="1:11" ht="12.75" x14ac:dyDescent="0.2">
      <c r="A236">
        <v>267</v>
      </c>
      <c r="B236" t="s">
        <v>1117</v>
      </c>
      <c r="C236" t="s">
        <v>1122</v>
      </c>
      <c r="D236">
        <v>26765</v>
      </c>
      <c r="E236" t="s">
        <v>61</v>
      </c>
      <c r="F236">
        <v>81</v>
      </c>
      <c r="G236" t="s">
        <v>1668</v>
      </c>
      <c r="H236" s="281">
        <f>ROWS($G$4:G236)</f>
        <v>233</v>
      </c>
      <c r="I236" s="281" t="str">
        <f>IF('School Level Expenditures'!$B$2=A236,'School Tables'!H236,"")</f>
        <v/>
      </c>
      <c r="J236" s="281" t="str">
        <f>IFERROR(SMALL($I$4:$I$325,ROWS($I$4:I236)),"")</f>
        <v/>
      </c>
      <c r="K236" s="256" t="b">
        <f t="shared" si="10"/>
        <v>0</v>
      </c>
    </row>
    <row r="237" spans="1:11" ht="12.75" x14ac:dyDescent="0.2">
      <c r="A237">
        <v>208</v>
      </c>
      <c r="B237" t="s">
        <v>1060</v>
      </c>
      <c r="C237" t="s">
        <v>1063</v>
      </c>
      <c r="D237">
        <v>22405</v>
      </c>
      <c r="E237" t="s">
        <v>61</v>
      </c>
      <c r="F237">
        <v>49</v>
      </c>
      <c r="G237" t="s">
        <v>1655</v>
      </c>
      <c r="H237" s="281">
        <f>ROWS($G$4:G237)</f>
        <v>234</v>
      </c>
      <c r="I237" s="281" t="str">
        <f>IF('School Level Expenditures'!$B$2=A237,'School Tables'!H237,"")</f>
        <v/>
      </c>
      <c r="J237" s="281" t="str">
        <f>IFERROR(SMALL($I$4:$I$325,ROWS($I$4:I237)),"")</f>
        <v/>
      </c>
      <c r="K237" s="256" t="b">
        <f t="shared" si="10"/>
        <v>0</v>
      </c>
    </row>
    <row r="238" spans="1:11" ht="12.75" x14ac:dyDescent="0.2">
      <c r="A238">
        <v>423</v>
      </c>
      <c r="B238" t="s">
        <v>1320</v>
      </c>
      <c r="C238" t="s">
        <v>1541</v>
      </c>
      <c r="D238">
        <v>29210</v>
      </c>
      <c r="E238" t="s">
        <v>61</v>
      </c>
      <c r="F238">
        <v>5</v>
      </c>
      <c r="G238" t="s">
        <v>1710</v>
      </c>
      <c r="H238" s="281">
        <f>ROWS($G$4:G238)</f>
        <v>235</v>
      </c>
      <c r="I238" s="281" t="str">
        <f>IF('School Level Expenditures'!$B$2=A238,'School Tables'!H238,"")</f>
        <v/>
      </c>
      <c r="J238" s="281" t="str">
        <f>IFERROR(SMALL($I$4:$I$325,ROWS($I$4:I238)),"")</f>
        <v/>
      </c>
      <c r="K238" s="256" t="b">
        <f t="shared" si="10"/>
        <v>0</v>
      </c>
    </row>
    <row r="239" spans="1:11" ht="12.75" x14ac:dyDescent="0.2">
      <c r="A239">
        <v>335</v>
      </c>
      <c r="B239" t="s">
        <v>895</v>
      </c>
      <c r="C239" t="s">
        <v>1200</v>
      </c>
      <c r="D239">
        <v>21540</v>
      </c>
      <c r="E239" t="s">
        <v>61</v>
      </c>
      <c r="F239">
        <v>37</v>
      </c>
      <c r="G239" t="s">
        <v>1640</v>
      </c>
      <c r="H239" s="281">
        <f>ROWS($G$4:G239)</f>
        <v>236</v>
      </c>
      <c r="I239" s="281" t="str">
        <f>IF('School Level Expenditures'!$B$2=A239,'School Tables'!H239,"")</f>
        <v/>
      </c>
      <c r="J239" s="281" t="str">
        <f>IFERROR(SMALL($I$4:$I$325,ROWS($I$4:I239)),"")</f>
        <v/>
      </c>
      <c r="K239" s="256" t="b">
        <f t="shared" si="10"/>
        <v>0</v>
      </c>
    </row>
    <row r="240" spans="1:11" ht="12.75" x14ac:dyDescent="0.2">
      <c r="A240">
        <v>185</v>
      </c>
      <c r="B240" t="s">
        <v>1037</v>
      </c>
      <c r="C240" t="s">
        <v>1038</v>
      </c>
      <c r="D240">
        <v>20650</v>
      </c>
      <c r="E240" t="s">
        <v>61</v>
      </c>
      <c r="F240">
        <v>18</v>
      </c>
      <c r="G240" t="s">
        <v>1676</v>
      </c>
      <c r="H240" s="281">
        <f>ROWS($G$4:G240)</f>
        <v>237</v>
      </c>
      <c r="I240" s="281" t="str">
        <f>IF('School Level Expenditures'!$B$2=A240,'School Tables'!H240,"")</f>
        <v/>
      </c>
      <c r="J240" s="281" t="str">
        <f>IFERROR(SMALL($I$4:$I$325,ROWS($I$4:I240)),"")</f>
        <v/>
      </c>
      <c r="K240" s="256" t="b">
        <f t="shared" si="10"/>
        <v>0</v>
      </c>
    </row>
    <row r="241" spans="1:11" ht="12.75" x14ac:dyDescent="0.2">
      <c r="A241">
        <v>543</v>
      </c>
      <c r="B241" t="s">
        <v>1438</v>
      </c>
      <c r="C241" t="s">
        <v>1439</v>
      </c>
      <c r="D241">
        <v>22110</v>
      </c>
      <c r="E241" t="s">
        <v>61</v>
      </c>
      <c r="F241">
        <v>101</v>
      </c>
      <c r="G241" t="s">
        <v>1721</v>
      </c>
      <c r="H241" s="281">
        <f>ROWS($G$4:G241)</f>
        <v>238</v>
      </c>
      <c r="I241" s="281" t="str">
        <f>IF('School Level Expenditures'!$B$2=A241,'School Tables'!H241,"")</f>
        <v/>
      </c>
      <c r="J241" s="281" t="str">
        <f>IFERROR(SMALL($I$4:$I$325,ROWS($I$4:I241)),"")</f>
        <v/>
      </c>
      <c r="K241" s="256" t="b">
        <f t="shared" si="10"/>
        <v>0</v>
      </c>
    </row>
    <row r="242" spans="1:11" ht="12.75" x14ac:dyDescent="0.2">
      <c r="A242">
        <v>449</v>
      </c>
      <c r="B242" t="s">
        <v>1348</v>
      </c>
      <c r="C242" t="s">
        <v>1542</v>
      </c>
      <c r="D242">
        <v>22560</v>
      </c>
      <c r="E242" t="s">
        <v>61</v>
      </c>
      <c r="F242">
        <v>52</v>
      </c>
      <c r="G242" t="s">
        <v>1707</v>
      </c>
      <c r="H242" s="281">
        <f>ROWS($G$4:G242)</f>
        <v>239</v>
      </c>
      <c r="I242" s="281" t="str">
        <f>IF('School Level Expenditures'!$B$2=A242,'School Tables'!H242,"")</f>
        <v/>
      </c>
      <c r="J242" s="281" t="str">
        <f>IFERROR(SMALL($I$4:$I$325,ROWS($I$4:I242)),"")</f>
        <v/>
      </c>
      <c r="K242" s="256" t="b">
        <f t="shared" si="10"/>
        <v>0</v>
      </c>
    </row>
    <row r="243" spans="1:11" ht="12.75" x14ac:dyDescent="0.2">
      <c r="A243">
        <v>425</v>
      </c>
      <c r="B243" t="s">
        <v>1325</v>
      </c>
      <c r="C243" t="s">
        <v>1326</v>
      </c>
      <c r="D243">
        <v>27970</v>
      </c>
      <c r="E243" t="s">
        <v>61</v>
      </c>
      <c r="F243">
        <v>28</v>
      </c>
      <c r="G243" t="s">
        <v>1722</v>
      </c>
      <c r="H243" s="281">
        <f>ROWS($G$4:G243)</f>
        <v>240</v>
      </c>
      <c r="I243" s="281" t="str">
        <f>IF('School Level Expenditures'!$B$2=A243,'School Tables'!H243,"")</f>
        <v/>
      </c>
      <c r="J243" s="281" t="str">
        <f>IFERROR(SMALL($I$4:$I$325,ROWS($I$4:I243)),"")</f>
        <v/>
      </c>
      <c r="K243" s="256" t="b">
        <f t="shared" si="10"/>
        <v>0</v>
      </c>
    </row>
    <row r="244" spans="1:11" ht="12.75" x14ac:dyDescent="0.2">
      <c r="A244">
        <v>427</v>
      </c>
      <c r="B244" t="s">
        <v>1329</v>
      </c>
      <c r="C244" t="s">
        <v>1330</v>
      </c>
      <c r="D244">
        <v>22615</v>
      </c>
      <c r="E244" t="s">
        <v>61</v>
      </c>
      <c r="F244">
        <v>53</v>
      </c>
      <c r="G244" t="s">
        <v>1632</v>
      </c>
      <c r="H244" s="281">
        <f>ROWS($G$4:G244)</f>
        <v>241</v>
      </c>
      <c r="I244" s="281">
        <f>IF('School Level Expenditures'!$B$2=A244,'School Tables'!H244,"")</f>
        <v>241</v>
      </c>
      <c r="J244" s="281" t="str">
        <f>IFERROR(SMALL($I$4:$I$325,ROWS($I$4:I244)),"")</f>
        <v/>
      </c>
      <c r="K244" s="256" t="b">
        <f t="shared" si="10"/>
        <v>0</v>
      </c>
    </row>
    <row r="245" spans="1:11" ht="12.75" x14ac:dyDescent="0.2">
      <c r="A245">
        <v>352</v>
      </c>
      <c r="B245" t="s">
        <v>1235</v>
      </c>
      <c r="C245" t="s">
        <v>1239</v>
      </c>
      <c r="D245">
        <v>22185</v>
      </c>
      <c r="E245" t="s">
        <v>61</v>
      </c>
      <c r="F245">
        <v>46</v>
      </c>
      <c r="G245" t="s">
        <v>1635</v>
      </c>
      <c r="H245" s="281">
        <f>ROWS($G$4:G245)</f>
        <v>242</v>
      </c>
      <c r="I245" s="281" t="str">
        <f>IF('School Level Expenditures'!$B$2=A245,'School Tables'!H245,"")</f>
        <v/>
      </c>
      <c r="J245" s="281" t="str">
        <f>IFERROR(SMALL($I$4:$I$325,ROWS($I$4:I245)),"")</f>
        <v/>
      </c>
      <c r="K245" s="256" t="b">
        <f t="shared" si="10"/>
        <v>0</v>
      </c>
    </row>
    <row r="246" spans="1:11" ht="12.75" x14ac:dyDescent="0.2">
      <c r="A246">
        <v>41</v>
      </c>
      <c r="B246" t="s">
        <v>923</v>
      </c>
      <c r="C246" t="s">
        <v>924</v>
      </c>
      <c r="D246">
        <v>21000</v>
      </c>
      <c r="E246" t="s">
        <v>61</v>
      </c>
      <c r="F246">
        <v>25</v>
      </c>
      <c r="G246" t="s">
        <v>1712</v>
      </c>
      <c r="H246" s="281">
        <f>ROWS($G$4:G246)</f>
        <v>243</v>
      </c>
      <c r="I246" s="281" t="str">
        <f>IF('School Level Expenditures'!$B$2=A246,'School Tables'!H246,"")</f>
        <v/>
      </c>
      <c r="J246" s="281" t="str">
        <f>IFERROR(SMALL($I$4:$I$325,ROWS($I$4:I246)),"")</f>
        <v/>
      </c>
      <c r="K246" s="256" t="b">
        <f t="shared" si="10"/>
        <v>0</v>
      </c>
    </row>
    <row r="247" spans="1:11" ht="12.75" x14ac:dyDescent="0.2">
      <c r="A247">
        <v>112</v>
      </c>
      <c r="B247" t="s">
        <v>966</v>
      </c>
      <c r="C247" t="s">
        <v>976</v>
      </c>
      <c r="D247">
        <v>22310</v>
      </c>
      <c r="E247" t="s">
        <v>61</v>
      </c>
      <c r="F247">
        <v>1</v>
      </c>
      <c r="G247" t="s">
        <v>1636</v>
      </c>
      <c r="H247" s="281">
        <f>ROWS($G$4:G247)</f>
        <v>244</v>
      </c>
      <c r="I247" s="281" t="str">
        <f>IF('School Level Expenditures'!$B$2=A247,'School Tables'!H247,"")</f>
        <v/>
      </c>
      <c r="J247" s="281" t="str">
        <f>IFERROR(SMALL($I$4:$I$325,ROWS($I$4:I247)),"")</f>
        <v/>
      </c>
      <c r="K247" s="256" t="b">
        <f t="shared" si="10"/>
        <v>0</v>
      </c>
    </row>
    <row r="248" spans="1:11" ht="12.75" x14ac:dyDescent="0.2">
      <c r="A248">
        <v>112</v>
      </c>
      <c r="B248" t="s">
        <v>966</v>
      </c>
      <c r="C248" t="s">
        <v>969</v>
      </c>
      <c r="D248">
        <v>22225</v>
      </c>
      <c r="E248" t="s">
        <v>61</v>
      </c>
      <c r="F248">
        <v>1</v>
      </c>
      <c r="G248" t="s">
        <v>1636</v>
      </c>
      <c r="H248" s="281">
        <f>ROWS($G$4:G248)</f>
        <v>245</v>
      </c>
      <c r="I248" s="281" t="str">
        <f>IF('School Level Expenditures'!$B$2=A248,'School Tables'!H248,"")</f>
        <v/>
      </c>
      <c r="J248" s="281" t="str">
        <f>IFERROR(SMALL($I$4:$I$325,ROWS($I$4:I248)),"")</f>
        <v/>
      </c>
      <c r="K248" s="256" t="b">
        <f t="shared" si="10"/>
        <v>0</v>
      </c>
    </row>
    <row r="249" spans="1:11" ht="12.75" x14ac:dyDescent="0.2">
      <c r="A249">
        <v>435</v>
      </c>
      <c r="B249" t="s">
        <v>1335</v>
      </c>
      <c r="C249" t="s">
        <v>1336</v>
      </c>
      <c r="D249">
        <v>20895</v>
      </c>
      <c r="E249" t="s">
        <v>61</v>
      </c>
      <c r="F249">
        <v>23</v>
      </c>
      <c r="G249" t="s">
        <v>1644</v>
      </c>
      <c r="H249" s="281">
        <f>ROWS($G$4:G249)</f>
        <v>246</v>
      </c>
      <c r="I249" s="281" t="str">
        <f>IF('School Level Expenditures'!$B$2=A249,'School Tables'!H249,"")</f>
        <v/>
      </c>
      <c r="J249" s="281" t="str">
        <f>IFERROR(SMALL($I$4:$I$325,ROWS($I$4:I249)),"")</f>
        <v/>
      </c>
      <c r="K249" s="256" t="b">
        <f t="shared" si="10"/>
        <v>0</v>
      </c>
    </row>
    <row r="250" spans="1:11" ht="12.75" x14ac:dyDescent="0.2">
      <c r="A250">
        <v>113</v>
      </c>
      <c r="B250" t="s">
        <v>978</v>
      </c>
      <c r="C250" t="s">
        <v>979</v>
      </c>
      <c r="D250">
        <v>20330</v>
      </c>
      <c r="E250" t="s">
        <v>61</v>
      </c>
      <c r="F250">
        <v>9</v>
      </c>
      <c r="G250" t="s">
        <v>1662</v>
      </c>
      <c r="H250" s="281">
        <f>ROWS($G$4:G250)</f>
        <v>247</v>
      </c>
      <c r="I250" s="281" t="str">
        <f>IF('School Level Expenditures'!$B$2=A250,'School Tables'!H250,"")</f>
        <v/>
      </c>
      <c r="J250" s="281" t="str">
        <f>IFERROR(SMALL($I$4:$I$325,ROWS($I$4:I250)),"")</f>
        <v/>
      </c>
      <c r="K250" s="256" t="b">
        <f t="shared" si="10"/>
        <v>0</v>
      </c>
    </row>
    <row r="251" spans="1:11" ht="12.75" x14ac:dyDescent="0.2">
      <c r="A251">
        <v>437</v>
      </c>
      <c r="B251" t="s">
        <v>1337</v>
      </c>
      <c r="C251" t="s">
        <v>1338</v>
      </c>
      <c r="D251">
        <v>20205</v>
      </c>
      <c r="E251" t="s">
        <v>61</v>
      </c>
      <c r="F251">
        <v>7</v>
      </c>
      <c r="G251" t="s">
        <v>1661</v>
      </c>
      <c r="H251" s="281">
        <f>ROWS($G$4:G251)</f>
        <v>248</v>
      </c>
      <c r="I251" s="281" t="str">
        <f>IF('School Level Expenditures'!$B$2=A251,'School Tables'!H251,"")</f>
        <v/>
      </c>
      <c r="J251" s="281" t="str">
        <f>IFERROR(SMALL($I$4:$I$325,ROWS($I$4:I251)),"")</f>
        <v/>
      </c>
      <c r="K251" s="256" t="b">
        <f t="shared" si="10"/>
        <v>0</v>
      </c>
    </row>
    <row r="252" spans="1:11" ht="12.75" x14ac:dyDescent="0.2">
      <c r="A252">
        <v>439</v>
      </c>
      <c r="B252" t="s">
        <v>1340</v>
      </c>
      <c r="C252" t="s">
        <v>1341</v>
      </c>
      <c r="D252">
        <v>26595</v>
      </c>
      <c r="E252" t="s">
        <v>61</v>
      </c>
      <c r="F252">
        <v>51</v>
      </c>
      <c r="G252" t="s">
        <v>1723</v>
      </c>
      <c r="H252" s="281">
        <f>ROWS($G$4:G252)</f>
        <v>249</v>
      </c>
      <c r="I252" s="281" t="str">
        <f>IF('School Level Expenditures'!$B$2=A252,'School Tables'!H252,"")</f>
        <v/>
      </c>
      <c r="J252" s="281" t="str">
        <f>IFERROR(SMALL($I$4:$I$325,ROWS($I$4:I252)),"")</f>
        <v/>
      </c>
      <c r="K252" s="256" t="b">
        <f t="shared" si="10"/>
        <v>0</v>
      </c>
    </row>
    <row r="253" spans="1:11" ht="12.75" x14ac:dyDescent="0.2">
      <c r="A253">
        <v>441</v>
      </c>
      <c r="B253" t="s">
        <v>1344</v>
      </c>
      <c r="C253" t="s">
        <v>1345</v>
      </c>
      <c r="D253">
        <v>21375</v>
      </c>
      <c r="E253" t="s">
        <v>61</v>
      </c>
      <c r="F253">
        <v>32</v>
      </c>
      <c r="G253" t="s">
        <v>1724</v>
      </c>
      <c r="H253" s="281">
        <f>ROWS($G$4:G253)</f>
        <v>250</v>
      </c>
      <c r="I253" s="281" t="str">
        <f>IF('School Level Expenditures'!$B$2=A253,'School Tables'!H253,"")</f>
        <v/>
      </c>
      <c r="J253" s="281" t="str">
        <f>IFERROR(SMALL($I$4:$I$325,ROWS($I$4:I253)),"")</f>
        <v/>
      </c>
      <c r="K253" s="256" t="b">
        <f t="shared" si="10"/>
        <v>0</v>
      </c>
    </row>
    <row r="254" spans="1:11" ht="12.75" x14ac:dyDescent="0.2">
      <c r="A254">
        <v>285</v>
      </c>
      <c r="B254" t="s">
        <v>1151</v>
      </c>
      <c r="C254" t="s">
        <v>1153</v>
      </c>
      <c r="D254">
        <v>21260</v>
      </c>
      <c r="E254" t="s">
        <v>61</v>
      </c>
      <c r="F254">
        <v>30</v>
      </c>
      <c r="G254" t="s">
        <v>1673</v>
      </c>
      <c r="H254" s="281">
        <f>ROWS($G$4:G254)</f>
        <v>251</v>
      </c>
      <c r="I254" s="281" t="str">
        <f>IF('School Level Expenditures'!$B$2=A254,'School Tables'!H254,"")</f>
        <v/>
      </c>
      <c r="J254" s="281" t="str">
        <f>IFERROR(SMALL($I$4:$I$325,ROWS($I$4:I254)),"")</f>
        <v/>
      </c>
      <c r="K254" s="256" t="b">
        <f t="shared" si="10"/>
        <v>0</v>
      </c>
    </row>
    <row r="255" spans="1:11" ht="12.75" x14ac:dyDescent="0.2">
      <c r="A255">
        <v>447</v>
      </c>
      <c r="B255" t="s">
        <v>1346</v>
      </c>
      <c r="C255" t="s">
        <v>1347</v>
      </c>
      <c r="D255">
        <v>22355</v>
      </c>
      <c r="E255" t="s">
        <v>61</v>
      </c>
      <c r="F255">
        <v>48</v>
      </c>
      <c r="G255" t="s">
        <v>1652</v>
      </c>
      <c r="H255" s="281">
        <f>ROWS($G$4:G255)</f>
        <v>252</v>
      </c>
      <c r="I255" s="281" t="str">
        <f>IF('School Level Expenditures'!$B$2=A255,'School Tables'!H255,"")</f>
        <v/>
      </c>
      <c r="J255" s="281" t="str">
        <f>IFERROR(SMALL($I$4:$I$325,ROWS($I$4:I255)),"")</f>
        <v/>
      </c>
      <c r="K255" s="256" t="b">
        <f t="shared" si="10"/>
        <v>0</v>
      </c>
    </row>
    <row r="256" spans="1:11" ht="12.75" x14ac:dyDescent="0.2">
      <c r="A256">
        <v>735</v>
      </c>
      <c r="B256" t="s">
        <v>1505</v>
      </c>
      <c r="C256" t="s">
        <v>1505</v>
      </c>
      <c r="D256">
        <v>29065</v>
      </c>
      <c r="E256" t="s">
        <v>61</v>
      </c>
      <c r="F256">
        <v>419</v>
      </c>
      <c r="G256" t="s">
        <v>1505</v>
      </c>
      <c r="H256" s="281">
        <f>ROWS($G$4:G256)</f>
        <v>253</v>
      </c>
      <c r="I256" s="281" t="str">
        <f>IF('School Level Expenditures'!$B$2=A256,'School Tables'!H256,"")</f>
        <v/>
      </c>
      <c r="J256" s="281" t="str">
        <f>IFERROR(SMALL($I$4:$I$325,ROWS($I$4:I256)),"")</f>
        <v/>
      </c>
      <c r="K256" s="256" t="b">
        <f t="shared" si="10"/>
        <v>0</v>
      </c>
    </row>
    <row r="257" spans="1:11" ht="12.75" x14ac:dyDescent="0.2">
      <c r="A257">
        <v>534</v>
      </c>
      <c r="B257" t="s">
        <v>1428</v>
      </c>
      <c r="C257" t="s">
        <v>1433</v>
      </c>
      <c r="D257">
        <v>22765</v>
      </c>
      <c r="E257" t="s">
        <v>61</v>
      </c>
      <c r="F257">
        <v>106</v>
      </c>
      <c r="G257" t="s">
        <v>1638</v>
      </c>
      <c r="H257" s="281">
        <f>ROWS($G$4:G257)</f>
        <v>254</v>
      </c>
      <c r="I257" s="281" t="str">
        <f>IF('School Level Expenditures'!$B$2=A257,'School Tables'!H257,"")</f>
        <v/>
      </c>
      <c r="J257" s="281" t="str">
        <f>IFERROR(SMALL($I$4:$I$325,ROWS($I$4:I257)),"")</f>
        <v/>
      </c>
      <c r="K257" s="256" t="b">
        <f t="shared" si="10"/>
        <v>0</v>
      </c>
    </row>
    <row r="258" spans="1:11" ht="12.75" x14ac:dyDescent="0.2">
      <c r="A258">
        <v>371</v>
      </c>
      <c r="B258" t="s">
        <v>1268</v>
      </c>
      <c r="C258" t="s">
        <v>1540</v>
      </c>
      <c r="D258">
        <v>28610</v>
      </c>
      <c r="E258" t="s">
        <v>61</v>
      </c>
      <c r="F258">
        <v>42</v>
      </c>
      <c r="G258" t="s">
        <v>1634</v>
      </c>
      <c r="H258" s="281">
        <f>ROWS($G$4:G258)</f>
        <v>255</v>
      </c>
      <c r="I258" s="281" t="str">
        <f>IF('School Level Expenditures'!$B$2=A258,'School Tables'!H258,"")</f>
        <v/>
      </c>
      <c r="J258" s="281" t="str">
        <f>IFERROR(SMALL($I$4:$I$325,ROWS($I$4:I258)),"")</f>
        <v/>
      </c>
      <c r="K258" s="256" t="b">
        <f t="shared" si="10"/>
        <v>0</v>
      </c>
    </row>
    <row r="259" spans="1:11" ht="12.75" x14ac:dyDescent="0.2">
      <c r="A259">
        <v>453</v>
      </c>
      <c r="B259" t="s">
        <v>1357</v>
      </c>
      <c r="C259" t="s">
        <v>1819</v>
      </c>
      <c r="D259">
        <v>29233</v>
      </c>
      <c r="E259" t="s">
        <v>61</v>
      </c>
      <c r="F259">
        <v>33</v>
      </c>
      <c r="G259" t="s">
        <v>1702</v>
      </c>
      <c r="H259" s="281">
        <f>ROWS($G$4:G259)</f>
        <v>256</v>
      </c>
      <c r="I259" s="281" t="str">
        <f>IF('School Level Expenditures'!$B$2=A259,'School Tables'!H259,"")</f>
        <v/>
      </c>
      <c r="J259" s="281" t="str">
        <f>IFERROR(SMALL($I$4:$I$325,ROWS($I$4:I259)),"")</f>
        <v/>
      </c>
      <c r="K259" s="256" t="b">
        <f t="shared" si="10"/>
        <v>0</v>
      </c>
    </row>
    <row r="260" spans="1:11" ht="12.75" x14ac:dyDescent="0.2">
      <c r="A260">
        <v>351</v>
      </c>
      <c r="B260" t="s">
        <v>1228</v>
      </c>
      <c r="C260" t="s">
        <v>1230</v>
      </c>
      <c r="D260">
        <v>21015</v>
      </c>
      <c r="E260" t="s">
        <v>61</v>
      </c>
      <c r="F260">
        <v>26</v>
      </c>
      <c r="G260" t="s">
        <v>1700</v>
      </c>
      <c r="H260" s="281">
        <f>ROWS($G$4:G260)</f>
        <v>257</v>
      </c>
      <c r="I260" s="281" t="str">
        <f>IF('School Level Expenditures'!$B$2=A260,'School Tables'!H260,"")</f>
        <v/>
      </c>
      <c r="J260" s="281" t="str">
        <f>IFERROR(SMALL($I$4:$I$325,ROWS($I$4:I260)),"")</f>
        <v/>
      </c>
      <c r="K260" s="256" t="b">
        <f t="shared" si="10"/>
        <v>0</v>
      </c>
    </row>
    <row r="261" spans="1:11" ht="12.75" x14ac:dyDescent="0.2">
      <c r="A261">
        <v>71</v>
      </c>
      <c r="B261" t="s">
        <v>939</v>
      </c>
      <c r="C261" t="s">
        <v>941</v>
      </c>
      <c r="D261">
        <v>21800</v>
      </c>
      <c r="E261" t="s">
        <v>61</v>
      </c>
      <c r="F261">
        <v>41</v>
      </c>
      <c r="G261" t="s">
        <v>1654</v>
      </c>
      <c r="H261" s="281">
        <f>ROWS($G$4:G261)</f>
        <v>258</v>
      </c>
      <c r="I261" s="281" t="str">
        <f>IF('School Level Expenditures'!$B$2=A261,'School Tables'!H261,"")</f>
        <v/>
      </c>
      <c r="J261" s="281" t="str">
        <f>IFERROR(SMALL($I$4:$I$325,ROWS($I$4:I261)),"")</f>
        <v/>
      </c>
      <c r="K261" s="256" t="b">
        <f t="shared" ref="K261:K324" si="11">C261=C262</f>
        <v>0</v>
      </c>
    </row>
    <row r="262" spans="1:11" ht="12.75" x14ac:dyDescent="0.2">
      <c r="A262">
        <v>401</v>
      </c>
      <c r="B262" t="s">
        <v>1306</v>
      </c>
      <c r="C262" t="s">
        <v>1309</v>
      </c>
      <c r="D262">
        <v>21995</v>
      </c>
      <c r="E262" t="s">
        <v>61</v>
      </c>
      <c r="F262">
        <v>43</v>
      </c>
      <c r="G262" t="s">
        <v>1725</v>
      </c>
      <c r="H262" s="281">
        <f>ROWS($G$4:G262)</f>
        <v>259</v>
      </c>
      <c r="I262" s="281" t="str">
        <f>IF('School Level Expenditures'!$B$2=A262,'School Tables'!H262,"")</f>
        <v/>
      </c>
      <c r="J262" s="281" t="str">
        <f>IFERROR(SMALL($I$4:$I$325,ROWS($I$4:I262)),"")</f>
        <v/>
      </c>
      <c r="K262" s="256" t="b">
        <f t="shared" si="11"/>
        <v>0</v>
      </c>
    </row>
    <row r="263" spans="1:11" ht="12.75" x14ac:dyDescent="0.2">
      <c r="A263">
        <v>41</v>
      </c>
      <c r="B263" t="s">
        <v>923</v>
      </c>
      <c r="C263" t="s">
        <v>926</v>
      </c>
      <c r="D263">
        <v>27680</v>
      </c>
      <c r="E263" t="s">
        <v>61</v>
      </c>
      <c r="F263">
        <v>25</v>
      </c>
      <c r="G263" t="s">
        <v>1712</v>
      </c>
      <c r="H263" s="281">
        <f>ROWS($G$4:G263)</f>
        <v>260</v>
      </c>
      <c r="I263" s="281" t="str">
        <f>IF('School Level Expenditures'!$B$2=A263,'School Tables'!H263,"")</f>
        <v/>
      </c>
      <c r="J263" s="281" t="str">
        <f>IFERROR(SMALL($I$4:$I$325,ROWS($I$4:I263)),"")</f>
        <v/>
      </c>
      <c r="K263" s="256" t="b">
        <f t="shared" si="11"/>
        <v>0</v>
      </c>
    </row>
    <row r="264" spans="1:11" ht="12.75" x14ac:dyDescent="0.2">
      <c r="A264">
        <v>274</v>
      </c>
      <c r="B264" t="s">
        <v>1130</v>
      </c>
      <c r="C264" t="s">
        <v>1131</v>
      </c>
      <c r="D264">
        <v>22320</v>
      </c>
      <c r="E264" t="s">
        <v>61</v>
      </c>
      <c r="F264">
        <v>47</v>
      </c>
      <c r="G264" t="s">
        <v>1698</v>
      </c>
      <c r="H264" s="281">
        <f>ROWS($G$4:G264)</f>
        <v>261</v>
      </c>
      <c r="I264" s="281" t="str">
        <f>IF('School Level Expenditures'!$B$2=A264,'School Tables'!H264,"")</f>
        <v/>
      </c>
      <c r="J264" s="281" t="str">
        <f>IFERROR(SMALL($I$4:$I$325,ROWS($I$4:I264)),"")</f>
        <v/>
      </c>
      <c r="K264" s="256" t="b">
        <f t="shared" si="11"/>
        <v>0</v>
      </c>
    </row>
    <row r="265" spans="1:11" ht="12.75" x14ac:dyDescent="0.2">
      <c r="A265">
        <v>457</v>
      </c>
      <c r="B265" t="s">
        <v>1597</v>
      </c>
      <c r="C265" t="s">
        <v>1598</v>
      </c>
      <c r="D265">
        <v>29196</v>
      </c>
      <c r="E265" t="s">
        <v>61</v>
      </c>
      <c r="F265">
        <v>78</v>
      </c>
      <c r="G265" t="s">
        <v>1726</v>
      </c>
      <c r="H265" s="281">
        <f>ROWS($G$4:G265)</f>
        <v>262</v>
      </c>
      <c r="I265" s="281" t="str">
        <f>IF('School Level Expenditures'!$B$2=A265,'School Tables'!H265,"")</f>
        <v/>
      </c>
      <c r="J265" s="281" t="str">
        <f>IFERROR(SMALL($I$4:$I$325,ROWS($I$4:I265)),"")</f>
        <v/>
      </c>
      <c r="K265" s="256" t="b">
        <f t="shared" si="11"/>
        <v>0</v>
      </c>
    </row>
    <row r="266" spans="1:11" ht="12.75" x14ac:dyDescent="0.2">
      <c r="A266">
        <v>737</v>
      </c>
      <c r="B266" t="s">
        <v>1506</v>
      </c>
      <c r="C266" t="s">
        <v>1820</v>
      </c>
      <c r="D266">
        <v>29070</v>
      </c>
      <c r="E266" t="s">
        <v>61</v>
      </c>
      <c r="F266">
        <v>420</v>
      </c>
      <c r="G266" t="s">
        <v>1506</v>
      </c>
      <c r="H266" s="281">
        <f>ROWS($G$4:G266)</f>
        <v>263</v>
      </c>
      <c r="I266" s="281" t="str">
        <f>IF('School Level Expenditures'!$B$2=A266,'School Tables'!H266,"")</f>
        <v/>
      </c>
      <c r="J266" s="281" t="str">
        <f>IFERROR(SMALL($I$4:$I$325,ROWS($I$4:I266)),"")</f>
        <v/>
      </c>
      <c r="K266" s="256" t="b">
        <f t="shared" si="11"/>
        <v>0</v>
      </c>
    </row>
    <row r="267" spans="1:11" ht="12.75" x14ac:dyDescent="0.2">
      <c r="A267">
        <v>463</v>
      </c>
      <c r="B267" t="s">
        <v>1373</v>
      </c>
      <c r="C267" t="s">
        <v>1374</v>
      </c>
      <c r="D267">
        <v>22810</v>
      </c>
      <c r="E267" t="s">
        <v>61</v>
      </c>
      <c r="F267">
        <v>104</v>
      </c>
      <c r="G267" t="s">
        <v>1727</v>
      </c>
      <c r="H267" s="281">
        <f>ROWS($G$4:G267)</f>
        <v>264</v>
      </c>
      <c r="I267" s="281" t="str">
        <f>IF('School Level Expenditures'!$B$2=A267,'School Tables'!H267,"")</f>
        <v/>
      </c>
      <c r="J267" s="281" t="str">
        <f>IFERROR(SMALL($I$4:$I$325,ROWS($I$4:I267)),"")</f>
        <v/>
      </c>
      <c r="K267" s="256" t="b">
        <f t="shared" si="11"/>
        <v>0</v>
      </c>
    </row>
    <row r="268" spans="1:11" ht="12.75" x14ac:dyDescent="0.2">
      <c r="A268">
        <v>467</v>
      </c>
      <c r="B268" t="s">
        <v>1375</v>
      </c>
      <c r="C268" t="s">
        <v>1376</v>
      </c>
      <c r="D268">
        <v>22375</v>
      </c>
      <c r="E268" t="s">
        <v>61</v>
      </c>
      <c r="F268">
        <v>48</v>
      </c>
      <c r="G268" t="s">
        <v>1652</v>
      </c>
      <c r="H268" s="281">
        <f>ROWS($G$4:G268)</f>
        <v>265</v>
      </c>
      <c r="I268" s="281" t="str">
        <f>IF('School Level Expenditures'!$B$2=A268,'School Tables'!H268,"")</f>
        <v/>
      </c>
      <c r="J268" s="281" t="str">
        <f>IFERROR(SMALL($I$4:$I$325,ROWS($I$4:I268)),"")</f>
        <v/>
      </c>
      <c r="K268" s="256" t="b">
        <f t="shared" si="11"/>
        <v>0</v>
      </c>
    </row>
    <row r="269" spans="1:11" ht="12.75" x14ac:dyDescent="0.2">
      <c r="A269">
        <v>471</v>
      </c>
      <c r="B269" t="s">
        <v>1377</v>
      </c>
      <c r="C269" t="s">
        <v>1379</v>
      </c>
      <c r="D269">
        <v>22475</v>
      </c>
      <c r="E269" t="s">
        <v>61</v>
      </c>
      <c r="F269">
        <v>50</v>
      </c>
      <c r="G269" t="s">
        <v>1686</v>
      </c>
      <c r="H269" s="281">
        <f>ROWS($G$4:G269)</f>
        <v>266</v>
      </c>
      <c r="I269" s="281" t="str">
        <f>IF('School Level Expenditures'!$B$2=A269,'School Tables'!H269,"")</f>
        <v/>
      </c>
      <c r="J269" s="281" t="str">
        <f>IFERROR(SMALL($I$4:$I$325,ROWS($I$4:I269)),"")</f>
        <v/>
      </c>
      <c r="K269" s="256" t="b">
        <f t="shared" si="11"/>
        <v>0</v>
      </c>
    </row>
    <row r="270" spans="1:11" ht="12.75" x14ac:dyDescent="0.2">
      <c r="A270">
        <v>471</v>
      </c>
      <c r="B270" t="s">
        <v>1377</v>
      </c>
      <c r="C270" t="s">
        <v>1378</v>
      </c>
      <c r="D270">
        <v>22470</v>
      </c>
      <c r="E270" t="s">
        <v>61</v>
      </c>
      <c r="F270">
        <v>50</v>
      </c>
      <c r="G270" t="s">
        <v>1686</v>
      </c>
      <c r="H270" s="281">
        <f>ROWS($G$4:G270)</f>
        <v>267</v>
      </c>
      <c r="I270" s="281" t="str">
        <f>IF('School Level Expenditures'!$B$2=A270,'School Tables'!H270,"")</f>
        <v/>
      </c>
      <c r="J270" s="281" t="str">
        <f>IFERROR(SMALL($I$4:$I$325,ROWS($I$4:I270)),"")</f>
        <v/>
      </c>
      <c r="K270" s="256" t="b">
        <f t="shared" si="11"/>
        <v>0</v>
      </c>
    </row>
    <row r="271" spans="1:11" ht="12.75" x14ac:dyDescent="0.2">
      <c r="A271">
        <v>473</v>
      </c>
      <c r="B271" t="s">
        <v>1380</v>
      </c>
      <c r="C271" t="s">
        <v>1586</v>
      </c>
      <c r="D271">
        <v>29225</v>
      </c>
      <c r="E271" t="s">
        <v>61</v>
      </c>
      <c r="F271">
        <v>57</v>
      </c>
      <c r="G271" t="s">
        <v>1669</v>
      </c>
      <c r="H271" s="281">
        <f>ROWS($G$4:G271)</f>
        <v>268</v>
      </c>
      <c r="I271" s="281" t="str">
        <f>IF('School Level Expenditures'!$B$2=A271,'School Tables'!H271,"")</f>
        <v/>
      </c>
      <c r="J271" s="281" t="str">
        <f>IFERROR(SMALL($I$4:$I$325,ROWS($I$4:I271)),"")</f>
        <v/>
      </c>
      <c r="K271" s="256" t="b">
        <f t="shared" si="11"/>
        <v>0</v>
      </c>
    </row>
    <row r="272" spans="1:11" ht="12.75" x14ac:dyDescent="0.2">
      <c r="A272">
        <v>352</v>
      </c>
      <c r="B272" t="s">
        <v>1235</v>
      </c>
      <c r="C272" t="s">
        <v>1241</v>
      </c>
      <c r="D272">
        <v>22200</v>
      </c>
      <c r="E272" t="s">
        <v>61</v>
      </c>
      <c r="F272">
        <v>46</v>
      </c>
      <c r="G272" t="s">
        <v>1635</v>
      </c>
      <c r="H272" s="281">
        <f>ROWS($G$4:G272)</f>
        <v>269</v>
      </c>
      <c r="I272" s="281" t="str">
        <f>IF('School Level Expenditures'!$B$2=A272,'School Tables'!H272,"")</f>
        <v/>
      </c>
      <c r="J272" s="281" t="str">
        <f>IFERROR(SMALL($I$4:$I$325,ROWS($I$4:I272)),"")</f>
        <v/>
      </c>
      <c r="K272" s="256" t="b">
        <f t="shared" si="11"/>
        <v>0</v>
      </c>
    </row>
    <row r="273" spans="1:11" ht="12.75" x14ac:dyDescent="0.2">
      <c r="A273">
        <v>582</v>
      </c>
      <c r="B273" t="s">
        <v>1470</v>
      </c>
      <c r="C273" t="s">
        <v>1471</v>
      </c>
      <c r="D273">
        <v>22925</v>
      </c>
      <c r="E273" t="s">
        <v>61</v>
      </c>
      <c r="F273">
        <v>59</v>
      </c>
      <c r="G273" t="s">
        <v>1728</v>
      </c>
      <c r="H273" s="281">
        <f>ROWS($G$4:G273)</f>
        <v>270</v>
      </c>
      <c r="I273" s="281" t="str">
        <f>IF('School Level Expenditures'!$B$2=A273,'School Tables'!H273,"")</f>
        <v/>
      </c>
      <c r="J273" s="281" t="str">
        <f>IFERROR(SMALL($I$4:$I$325,ROWS($I$4:I273)),"")</f>
        <v/>
      </c>
      <c r="K273" s="256" t="b">
        <f t="shared" si="11"/>
        <v>0</v>
      </c>
    </row>
    <row r="274" spans="1:11" ht="12.75" x14ac:dyDescent="0.2">
      <c r="A274">
        <v>534</v>
      </c>
      <c r="B274" t="s">
        <v>1428</v>
      </c>
      <c r="C274" t="s">
        <v>1435</v>
      </c>
      <c r="D274">
        <v>22775</v>
      </c>
      <c r="E274" t="s">
        <v>61</v>
      </c>
      <c r="F274">
        <v>106</v>
      </c>
      <c r="G274" t="s">
        <v>1638</v>
      </c>
      <c r="H274" s="281">
        <f>ROWS($G$4:G274)</f>
        <v>271</v>
      </c>
      <c r="I274" s="281" t="str">
        <f>IF('School Level Expenditures'!$B$2=A274,'School Tables'!H274,"")</f>
        <v/>
      </c>
      <c r="J274" s="281" t="str">
        <f>IFERROR(SMALL($I$4:$I$325,ROWS($I$4:I274)),"")</f>
        <v/>
      </c>
      <c r="K274" s="256" t="b">
        <f t="shared" si="11"/>
        <v>0</v>
      </c>
    </row>
    <row r="275" spans="1:11" ht="12.75" x14ac:dyDescent="0.2">
      <c r="A275">
        <v>534</v>
      </c>
      <c r="B275" t="s">
        <v>1428</v>
      </c>
      <c r="C275" t="s">
        <v>1429</v>
      </c>
      <c r="D275">
        <v>27910</v>
      </c>
      <c r="E275" t="s">
        <v>61</v>
      </c>
      <c r="F275">
        <v>106</v>
      </c>
      <c r="G275" t="s">
        <v>1638</v>
      </c>
      <c r="H275" s="281">
        <f>ROWS($G$4:G275)</f>
        <v>272</v>
      </c>
      <c r="I275" s="281" t="str">
        <f>IF('School Level Expenditures'!$B$2=A275,'School Tables'!H275,"")</f>
        <v/>
      </c>
      <c r="J275" s="281" t="str">
        <f>IFERROR(SMALL($I$4:$I$325,ROWS($I$4:I275)),"")</f>
        <v/>
      </c>
      <c r="K275" s="256" t="b">
        <f t="shared" si="11"/>
        <v>0</v>
      </c>
    </row>
    <row r="276" spans="1:11" ht="12.75" x14ac:dyDescent="0.2">
      <c r="A276">
        <v>269</v>
      </c>
      <c r="B276" t="s">
        <v>1123</v>
      </c>
      <c r="C276" t="s">
        <v>1127</v>
      </c>
      <c r="D276">
        <v>20040</v>
      </c>
      <c r="E276" t="s">
        <v>61</v>
      </c>
      <c r="F276">
        <v>2</v>
      </c>
      <c r="G276" t="s">
        <v>1637</v>
      </c>
      <c r="H276" s="281">
        <f>ROWS($G$4:G276)</f>
        <v>273</v>
      </c>
      <c r="I276" s="281" t="str">
        <f>IF('School Level Expenditures'!$B$2=A276,'School Tables'!H276,"")</f>
        <v/>
      </c>
      <c r="J276" s="281" t="str">
        <f>IFERROR(SMALL($I$4:$I$325,ROWS($I$4:I276)),"")</f>
        <v/>
      </c>
      <c r="K276" s="256" t="b">
        <f t="shared" si="11"/>
        <v>0</v>
      </c>
    </row>
    <row r="277" spans="1:11" ht="12.75" x14ac:dyDescent="0.2">
      <c r="A277">
        <v>174</v>
      </c>
      <c r="B277" t="s">
        <v>1021</v>
      </c>
      <c r="C277" t="s">
        <v>1029</v>
      </c>
      <c r="D277">
        <v>22995</v>
      </c>
      <c r="E277" t="s">
        <v>61</v>
      </c>
      <c r="F277">
        <v>60</v>
      </c>
      <c r="G277" t="s">
        <v>1630</v>
      </c>
      <c r="H277" s="281">
        <f>ROWS($G$4:G277)</f>
        <v>274</v>
      </c>
      <c r="I277" s="281" t="str">
        <f>IF('School Level Expenditures'!$B$2=A277,'School Tables'!H277,"")</f>
        <v/>
      </c>
      <c r="J277" s="281" t="str">
        <f>IFERROR(SMALL($I$4:$I$325,ROWS($I$4:I277)),"")</f>
        <v/>
      </c>
      <c r="K277" s="256" t="b">
        <f t="shared" si="11"/>
        <v>0</v>
      </c>
    </row>
    <row r="278" spans="1:11" ht="12.75" x14ac:dyDescent="0.2">
      <c r="A278">
        <v>461</v>
      </c>
      <c r="B278" t="s">
        <v>1361</v>
      </c>
      <c r="C278" t="s">
        <v>1370</v>
      </c>
      <c r="D278">
        <v>22720</v>
      </c>
      <c r="E278" t="s">
        <v>61</v>
      </c>
      <c r="F278">
        <v>54</v>
      </c>
      <c r="G278" t="s">
        <v>1657</v>
      </c>
      <c r="H278" s="281">
        <f>ROWS($G$4:G278)</f>
        <v>275</v>
      </c>
      <c r="I278" s="281" t="str">
        <f>IF('School Level Expenditures'!$B$2=A278,'School Tables'!H278,"")</f>
        <v/>
      </c>
      <c r="J278" s="281" t="str">
        <f>IFERROR(SMALL($I$4:$I$325,ROWS($I$4:I278)),"")</f>
        <v/>
      </c>
      <c r="K278" s="256" t="b">
        <f t="shared" si="11"/>
        <v>0</v>
      </c>
    </row>
    <row r="279" spans="1:11" ht="12.75" x14ac:dyDescent="0.2">
      <c r="A279">
        <v>485</v>
      </c>
      <c r="B279" t="s">
        <v>1392</v>
      </c>
      <c r="C279" t="s">
        <v>1394</v>
      </c>
      <c r="D279">
        <v>20810</v>
      </c>
      <c r="E279" t="s">
        <v>61</v>
      </c>
      <c r="F279">
        <v>21</v>
      </c>
      <c r="G279" t="s">
        <v>1705</v>
      </c>
      <c r="H279" s="281">
        <f>ROWS($G$4:G279)</f>
        <v>276</v>
      </c>
      <c r="I279" s="281" t="str">
        <f>IF('School Level Expenditures'!$B$2=A279,'School Tables'!H279,"")</f>
        <v/>
      </c>
      <c r="J279" s="281" t="str">
        <f>IFERROR(SMALL($I$4:$I$325,ROWS($I$4:I279)),"")</f>
        <v/>
      </c>
      <c r="K279" s="256" t="b">
        <f t="shared" si="11"/>
        <v>0</v>
      </c>
    </row>
    <row r="280" spans="1:11" ht="12.75" x14ac:dyDescent="0.2">
      <c r="A280">
        <v>485</v>
      </c>
      <c r="B280" t="s">
        <v>1392</v>
      </c>
      <c r="C280" t="s">
        <v>1393</v>
      </c>
      <c r="D280">
        <v>27995</v>
      </c>
      <c r="E280" t="s">
        <v>61</v>
      </c>
      <c r="F280">
        <v>21</v>
      </c>
      <c r="G280" t="s">
        <v>1705</v>
      </c>
      <c r="H280" s="281">
        <f>ROWS($G$4:G280)</f>
        <v>277</v>
      </c>
      <c r="I280" s="281" t="str">
        <f>IF('School Level Expenditures'!$B$2=A280,'School Tables'!H280,"")</f>
        <v/>
      </c>
      <c r="J280" s="281" t="str">
        <f>IFERROR(SMALL($I$4:$I$325,ROWS($I$4:I280)),"")</f>
        <v/>
      </c>
      <c r="K280" s="256" t="b">
        <f t="shared" si="11"/>
        <v>0</v>
      </c>
    </row>
    <row r="281" spans="1:11" ht="12.75" x14ac:dyDescent="0.2">
      <c r="A281">
        <v>705</v>
      </c>
      <c r="B281" t="s">
        <v>1480</v>
      </c>
      <c r="C281" t="s">
        <v>1480</v>
      </c>
      <c r="D281">
        <v>28400</v>
      </c>
      <c r="E281" t="s">
        <v>61</v>
      </c>
      <c r="F281">
        <v>403</v>
      </c>
      <c r="G281" t="s">
        <v>1480</v>
      </c>
      <c r="H281" s="281">
        <f>ROWS($G$4:G281)</f>
        <v>278</v>
      </c>
      <c r="I281" s="281" t="str">
        <f>IF('School Level Expenditures'!$B$2=A281,'School Tables'!H281,"")</f>
        <v/>
      </c>
      <c r="J281" s="281" t="str">
        <f>IFERROR(SMALL($I$4:$I$325,ROWS($I$4:I281)),"")</f>
        <v/>
      </c>
      <c r="K281" s="256" t="b">
        <f t="shared" si="11"/>
        <v>0</v>
      </c>
    </row>
    <row r="282" spans="1:11" ht="12.75" x14ac:dyDescent="0.2">
      <c r="A282">
        <v>276</v>
      </c>
      <c r="B282" t="s">
        <v>1135</v>
      </c>
      <c r="C282" t="s">
        <v>1138</v>
      </c>
      <c r="D282">
        <v>22020</v>
      </c>
      <c r="E282" t="s">
        <v>61</v>
      </c>
      <c r="F282">
        <v>65</v>
      </c>
      <c r="G282" t="s">
        <v>1699</v>
      </c>
      <c r="H282" s="281">
        <f>ROWS($G$4:G282)</f>
        <v>279</v>
      </c>
      <c r="I282" s="281" t="str">
        <f>IF('School Level Expenditures'!$B$2=A282,'School Tables'!H282,"")</f>
        <v/>
      </c>
      <c r="J282" s="281" t="str">
        <f>IFERROR(SMALL($I$4:$I$325,ROWS($I$4:I282)),"")</f>
        <v/>
      </c>
      <c r="K282" s="256" t="b">
        <f t="shared" si="11"/>
        <v>0</v>
      </c>
    </row>
    <row r="283" spans="1:11" ht="12.75" x14ac:dyDescent="0.2">
      <c r="A283">
        <v>335</v>
      </c>
      <c r="B283" t="s">
        <v>895</v>
      </c>
      <c r="C283" t="s">
        <v>1208</v>
      </c>
      <c r="D283">
        <v>21605</v>
      </c>
      <c r="E283" t="s">
        <v>61</v>
      </c>
      <c r="F283">
        <v>37</v>
      </c>
      <c r="G283" t="s">
        <v>1640</v>
      </c>
      <c r="H283" s="281">
        <f>ROWS($G$4:G283)</f>
        <v>280</v>
      </c>
      <c r="I283" s="281" t="str">
        <f>IF('School Level Expenditures'!$B$2=A283,'School Tables'!H283,"")</f>
        <v/>
      </c>
      <c r="J283" s="281" t="str">
        <f>IFERROR(SMALL($I$4:$I$325,ROWS($I$4:I283)),"")</f>
        <v/>
      </c>
      <c r="K283" s="256" t="b">
        <f t="shared" si="11"/>
        <v>0</v>
      </c>
    </row>
    <row r="284" spans="1:11" ht="12.75" x14ac:dyDescent="0.2">
      <c r="A284">
        <v>495</v>
      </c>
      <c r="B284" t="s">
        <v>1407</v>
      </c>
      <c r="C284" t="s">
        <v>1408</v>
      </c>
      <c r="D284">
        <v>20815</v>
      </c>
      <c r="E284" t="s">
        <v>61</v>
      </c>
      <c r="F284">
        <v>21</v>
      </c>
      <c r="G284" t="s">
        <v>1705</v>
      </c>
      <c r="H284" s="281">
        <f>ROWS($G$4:G284)</f>
        <v>281</v>
      </c>
      <c r="I284" s="281" t="str">
        <f>IF('School Level Expenditures'!$B$2=A284,'School Tables'!H284,"")</f>
        <v/>
      </c>
      <c r="J284" s="281" t="str">
        <f>IFERROR(SMALL($I$4:$I$325,ROWS($I$4:I284)),"")</f>
        <v/>
      </c>
      <c r="K284" s="256" t="b">
        <f t="shared" si="11"/>
        <v>0</v>
      </c>
    </row>
    <row r="285" spans="1:11" ht="12.75" x14ac:dyDescent="0.2">
      <c r="A285">
        <v>319</v>
      </c>
      <c r="B285" t="s">
        <v>1184</v>
      </c>
      <c r="C285" t="s">
        <v>1187</v>
      </c>
      <c r="D285">
        <v>20475</v>
      </c>
      <c r="E285" t="s">
        <v>61</v>
      </c>
      <c r="F285">
        <v>12</v>
      </c>
      <c r="G285" t="s">
        <v>1711</v>
      </c>
      <c r="H285" s="281">
        <f>ROWS($G$4:G285)</f>
        <v>282</v>
      </c>
      <c r="I285" s="281" t="str">
        <f>IF('School Level Expenditures'!$B$2=A285,'School Tables'!H285,"")</f>
        <v/>
      </c>
      <c r="J285" s="281" t="str">
        <f>IFERROR(SMALL($I$4:$I$325,ROWS($I$4:I285)),"")</f>
        <v/>
      </c>
      <c r="K285" s="256" t="b">
        <f t="shared" si="11"/>
        <v>0</v>
      </c>
    </row>
    <row r="286" spans="1:11" ht="12.75" x14ac:dyDescent="0.2">
      <c r="A286">
        <v>131</v>
      </c>
      <c r="B286" t="s">
        <v>989</v>
      </c>
      <c r="C286" t="s">
        <v>995</v>
      </c>
      <c r="D286">
        <v>20405</v>
      </c>
      <c r="E286" t="s">
        <v>61</v>
      </c>
      <c r="F286">
        <v>10</v>
      </c>
      <c r="G286" t="s">
        <v>1667</v>
      </c>
      <c r="H286" s="281">
        <f>ROWS($G$4:G286)</f>
        <v>283</v>
      </c>
      <c r="I286" s="281" t="str">
        <f>IF('School Level Expenditures'!$B$2=A286,'School Tables'!H286,"")</f>
        <v/>
      </c>
      <c r="J286" s="281" t="str">
        <f>IFERROR(SMALL($I$4:$I$325,ROWS($I$4:I286)),"")</f>
        <v/>
      </c>
      <c r="K286" s="256" t="b">
        <f t="shared" si="11"/>
        <v>0</v>
      </c>
    </row>
    <row r="287" spans="1:11" ht="12.75" x14ac:dyDescent="0.2">
      <c r="A287">
        <v>582</v>
      </c>
      <c r="B287" t="s">
        <v>1470</v>
      </c>
      <c r="C287" t="s">
        <v>1474</v>
      </c>
      <c r="D287">
        <v>27070</v>
      </c>
      <c r="E287" t="s">
        <v>61</v>
      </c>
      <c r="F287">
        <v>59</v>
      </c>
      <c r="G287" t="s">
        <v>1728</v>
      </c>
      <c r="H287" s="281">
        <f>ROWS($G$4:G287)</f>
        <v>284</v>
      </c>
      <c r="I287" s="281" t="str">
        <f>IF('School Level Expenditures'!$B$2=A287,'School Tables'!H287,"")</f>
        <v/>
      </c>
      <c r="J287" s="281" t="str">
        <f>IFERROR(SMALL($I$4:$I$325,ROWS($I$4:I287)),"")</f>
        <v/>
      </c>
      <c r="K287" s="256" t="b">
        <f t="shared" si="11"/>
        <v>0</v>
      </c>
    </row>
    <row r="288" spans="1:11" ht="12.75" x14ac:dyDescent="0.2">
      <c r="A288">
        <v>499</v>
      </c>
      <c r="B288" t="s">
        <v>1409</v>
      </c>
      <c r="C288" t="s">
        <v>1410</v>
      </c>
      <c r="D288">
        <v>22910</v>
      </c>
      <c r="E288" t="s">
        <v>61</v>
      </c>
      <c r="F288">
        <v>58</v>
      </c>
      <c r="G288" t="s">
        <v>1688</v>
      </c>
      <c r="H288" s="281">
        <f>ROWS($G$4:G288)</f>
        <v>285</v>
      </c>
      <c r="I288" s="281" t="str">
        <f>IF('School Level Expenditures'!$B$2=A288,'School Tables'!H288,"")</f>
        <v/>
      </c>
      <c r="J288" s="281" t="str">
        <f>IFERROR(SMALL($I$4:$I$325,ROWS($I$4:I288)),"")</f>
        <v/>
      </c>
      <c r="K288" s="256" t="b">
        <f t="shared" si="11"/>
        <v>0</v>
      </c>
    </row>
    <row r="289" spans="1:11" ht="12.75" x14ac:dyDescent="0.2">
      <c r="A289">
        <v>501</v>
      </c>
      <c r="B289" t="s">
        <v>1411</v>
      </c>
      <c r="C289" t="s">
        <v>1412</v>
      </c>
      <c r="D289">
        <v>27560</v>
      </c>
      <c r="E289" t="s">
        <v>61</v>
      </c>
      <c r="F289">
        <v>7</v>
      </c>
      <c r="G289" t="s">
        <v>1661</v>
      </c>
      <c r="H289" s="281">
        <f>ROWS($G$4:G289)</f>
        <v>286</v>
      </c>
      <c r="I289" s="281" t="str">
        <f>IF('School Level Expenditures'!$B$2=A289,'School Tables'!H289,"")</f>
        <v/>
      </c>
      <c r="J289" s="281" t="str">
        <f>IFERROR(SMALL($I$4:$I$325,ROWS($I$4:I289)),"")</f>
        <v/>
      </c>
      <c r="K289" s="256" t="b">
        <f t="shared" si="11"/>
        <v>0</v>
      </c>
    </row>
    <row r="290" spans="1:11" ht="12.75" x14ac:dyDescent="0.2">
      <c r="A290">
        <v>507</v>
      </c>
      <c r="B290" t="s">
        <v>1415</v>
      </c>
      <c r="C290" t="s">
        <v>1416</v>
      </c>
      <c r="D290">
        <v>22100</v>
      </c>
      <c r="E290" t="s">
        <v>61</v>
      </c>
      <c r="F290">
        <v>105</v>
      </c>
      <c r="G290" t="s">
        <v>1729</v>
      </c>
      <c r="H290" s="281">
        <f>ROWS($G$4:G290)</f>
        <v>287</v>
      </c>
      <c r="I290" s="281" t="str">
        <f>IF('School Level Expenditures'!$B$2=A290,'School Tables'!H290,"")</f>
        <v/>
      </c>
      <c r="J290" s="281" t="str">
        <f>IFERROR(SMALL($I$4:$I$325,ROWS($I$4:I290)),"")</f>
        <v/>
      </c>
      <c r="K290" s="256" t="b">
        <f t="shared" si="11"/>
        <v>0</v>
      </c>
    </row>
    <row r="291" spans="1:11" ht="12.75" x14ac:dyDescent="0.2">
      <c r="A291">
        <v>509</v>
      </c>
      <c r="B291" t="s">
        <v>1417</v>
      </c>
      <c r="C291" t="s">
        <v>1418</v>
      </c>
      <c r="D291">
        <v>22915</v>
      </c>
      <c r="E291" t="s">
        <v>61</v>
      </c>
      <c r="F291">
        <v>58</v>
      </c>
      <c r="G291" t="s">
        <v>1688</v>
      </c>
      <c r="H291" s="281">
        <f>ROWS($G$4:G291)</f>
        <v>288</v>
      </c>
      <c r="I291" s="281" t="str">
        <f>IF('School Level Expenditures'!$B$2=A291,'School Tables'!H291,"")</f>
        <v/>
      </c>
      <c r="J291" s="281" t="str">
        <f>IFERROR(SMALL($I$4:$I$325,ROWS($I$4:I291)),"")</f>
        <v/>
      </c>
      <c r="K291" s="256" t="b">
        <f t="shared" si="11"/>
        <v>0</v>
      </c>
    </row>
    <row r="292" spans="1:11" ht="12.75" x14ac:dyDescent="0.2">
      <c r="A292">
        <v>511</v>
      </c>
      <c r="B292" t="s">
        <v>1419</v>
      </c>
      <c r="C292" t="s">
        <v>1420</v>
      </c>
      <c r="D292">
        <v>20615</v>
      </c>
      <c r="E292" t="s">
        <v>61</v>
      </c>
      <c r="F292">
        <v>16</v>
      </c>
      <c r="G292" t="s">
        <v>1670</v>
      </c>
      <c r="H292" s="281">
        <f>ROWS($G$4:G292)</f>
        <v>289</v>
      </c>
      <c r="I292" s="281" t="str">
        <f>IF('School Level Expenditures'!$B$2=A292,'School Tables'!H292,"")</f>
        <v/>
      </c>
      <c r="J292" s="281" t="str">
        <f>IFERROR(SMALL($I$4:$I$325,ROWS($I$4:I292)),"")</f>
        <v/>
      </c>
      <c r="K292" s="256" t="b">
        <f t="shared" si="11"/>
        <v>0</v>
      </c>
    </row>
    <row r="293" spans="1:11" ht="12.75" x14ac:dyDescent="0.2">
      <c r="A293">
        <v>721</v>
      </c>
      <c r="B293" t="s">
        <v>1492</v>
      </c>
      <c r="C293" t="s">
        <v>1492</v>
      </c>
      <c r="D293">
        <v>28570</v>
      </c>
      <c r="E293" t="s">
        <v>61</v>
      </c>
      <c r="F293">
        <v>409</v>
      </c>
      <c r="G293" t="s">
        <v>1492</v>
      </c>
      <c r="H293" s="281">
        <f>ROWS($G$4:G293)</f>
        <v>290</v>
      </c>
      <c r="I293" s="281" t="str">
        <f>IF('School Level Expenditures'!$B$2=A293,'School Tables'!H293,"")</f>
        <v/>
      </c>
      <c r="J293" s="281" t="str">
        <f>IFERROR(SMALL($I$4:$I$325,ROWS($I$4:I293)),"")</f>
        <v/>
      </c>
      <c r="K293" s="256" t="b">
        <f t="shared" si="11"/>
        <v>0</v>
      </c>
    </row>
    <row r="294" spans="1:11" ht="12.75" x14ac:dyDescent="0.2">
      <c r="A294">
        <v>515</v>
      </c>
      <c r="B294" t="s">
        <v>1421</v>
      </c>
      <c r="C294" t="s">
        <v>1423</v>
      </c>
      <c r="D294">
        <v>22005</v>
      </c>
      <c r="E294" t="s">
        <v>61</v>
      </c>
      <c r="F294">
        <v>85</v>
      </c>
      <c r="G294" t="s">
        <v>1730</v>
      </c>
      <c r="H294" s="281">
        <f>ROWS($G$4:G294)</f>
        <v>291</v>
      </c>
      <c r="I294" s="281" t="str">
        <f>IF('School Level Expenditures'!$B$2=A294,'School Tables'!H294,"")</f>
        <v/>
      </c>
      <c r="J294" s="281" t="str">
        <f>IFERROR(SMALL($I$4:$I$325,ROWS($I$4:I294)),"")</f>
        <v/>
      </c>
      <c r="K294" s="256" t="b">
        <f t="shared" si="11"/>
        <v>0</v>
      </c>
    </row>
    <row r="295" spans="1:11" ht="12.75" x14ac:dyDescent="0.2">
      <c r="A295">
        <v>371</v>
      </c>
      <c r="B295" t="s">
        <v>1268</v>
      </c>
      <c r="C295" t="s">
        <v>1273</v>
      </c>
      <c r="D295">
        <v>21850</v>
      </c>
      <c r="E295" t="s">
        <v>61</v>
      </c>
      <c r="F295">
        <v>42</v>
      </c>
      <c r="G295" t="s">
        <v>1634</v>
      </c>
      <c r="H295" s="281">
        <f>ROWS($G$4:G295)</f>
        <v>292</v>
      </c>
      <c r="I295" s="281" t="str">
        <f>IF('School Level Expenditures'!$B$2=A295,'School Tables'!H295,"")</f>
        <v/>
      </c>
      <c r="J295" s="281" t="str">
        <f>IFERROR(SMALL($I$4:$I$325,ROWS($I$4:I295)),"")</f>
        <v/>
      </c>
      <c r="K295" s="256" t="b">
        <f t="shared" si="11"/>
        <v>0</v>
      </c>
    </row>
    <row r="296" spans="1:11" ht="12.75" x14ac:dyDescent="0.2">
      <c r="A296">
        <v>717</v>
      </c>
      <c r="B296" t="s">
        <v>1490</v>
      </c>
      <c r="C296" t="s">
        <v>1490</v>
      </c>
      <c r="D296">
        <v>28515</v>
      </c>
      <c r="E296" t="s">
        <v>61</v>
      </c>
      <c r="F296">
        <v>407</v>
      </c>
      <c r="G296" t="s">
        <v>1490</v>
      </c>
      <c r="H296" s="281">
        <f>ROWS($G$4:G296)</f>
        <v>293</v>
      </c>
      <c r="I296" s="281" t="str">
        <f>IF('School Level Expenditures'!$B$2=A296,'School Tables'!H296,"")</f>
        <v/>
      </c>
      <c r="J296" s="281" t="str">
        <f>IFERROR(SMALL($I$4:$I$325,ROWS($I$4:I296)),"")</f>
        <v/>
      </c>
      <c r="K296" s="256" t="b">
        <f t="shared" si="11"/>
        <v>0</v>
      </c>
    </row>
    <row r="297" spans="1:11" ht="12.75" x14ac:dyDescent="0.2">
      <c r="A297">
        <v>276</v>
      </c>
      <c r="B297" t="s">
        <v>1135</v>
      </c>
      <c r="C297" t="s">
        <v>1136</v>
      </c>
      <c r="D297">
        <v>22010</v>
      </c>
      <c r="E297" t="s">
        <v>61</v>
      </c>
      <c r="F297">
        <v>65</v>
      </c>
      <c r="G297" t="s">
        <v>1699</v>
      </c>
      <c r="H297" s="281">
        <f>ROWS($G$4:G297)</f>
        <v>294</v>
      </c>
      <c r="I297" s="281" t="str">
        <f>IF('School Level Expenditures'!$B$2=A297,'School Tables'!H297,"")</f>
        <v/>
      </c>
      <c r="J297" s="281" t="str">
        <f>IFERROR(SMALL($I$4:$I$325,ROWS($I$4:I297)),"")</f>
        <v/>
      </c>
      <c r="K297" s="256" t="b">
        <f t="shared" si="11"/>
        <v>0</v>
      </c>
    </row>
    <row r="298" spans="1:11" ht="12.75" x14ac:dyDescent="0.2">
      <c r="A298">
        <v>63</v>
      </c>
      <c r="B298" t="s">
        <v>938</v>
      </c>
      <c r="C298" t="s">
        <v>1519</v>
      </c>
      <c r="D298">
        <v>20555</v>
      </c>
      <c r="E298" t="s">
        <v>61</v>
      </c>
      <c r="F298">
        <v>16</v>
      </c>
      <c r="G298" t="s">
        <v>1670</v>
      </c>
      <c r="H298" s="281">
        <f>ROWS($G$4:G298)</f>
        <v>295</v>
      </c>
      <c r="I298" s="281" t="str">
        <f>IF('School Level Expenditures'!$B$2=A298,'School Tables'!H298,"")</f>
        <v/>
      </c>
      <c r="J298" s="281" t="str">
        <f>IFERROR(SMALL($I$4:$I$325,ROWS($I$4:I298)),"")</f>
        <v/>
      </c>
      <c r="K298" s="256" t="b">
        <f t="shared" si="11"/>
        <v>0</v>
      </c>
    </row>
    <row r="299" spans="1:11" ht="12.75" x14ac:dyDescent="0.2">
      <c r="A299">
        <v>279</v>
      </c>
      <c r="B299" t="s">
        <v>1142</v>
      </c>
      <c r="C299" t="s">
        <v>1144</v>
      </c>
      <c r="D299">
        <v>21170</v>
      </c>
      <c r="E299" t="s">
        <v>61</v>
      </c>
      <c r="F299">
        <v>29</v>
      </c>
      <c r="G299" t="s">
        <v>1659</v>
      </c>
      <c r="H299" s="281">
        <f>ROWS($G$4:G299)</f>
        <v>296</v>
      </c>
      <c r="I299" s="281" t="str">
        <f>IF('School Level Expenditures'!$B$2=A299,'School Tables'!H299,"")</f>
        <v/>
      </c>
      <c r="J299" s="281" t="str">
        <f>IFERROR(SMALL($I$4:$I$325,ROWS($I$4:I299)),"")</f>
        <v/>
      </c>
      <c r="K299" s="256" t="b">
        <f t="shared" si="11"/>
        <v>0</v>
      </c>
    </row>
    <row r="300" spans="1:11" ht="12.75" x14ac:dyDescent="0.2">
      <c r="A300">
        <v>112</v>
      </c>
      <c r="B300" t="s">
        <v>966</v>
      </c>
      <c r="C300" t="s">
        <v>977</v>
      </c>
      <c r="D300">
        <v>22330</v>
      </c>
      <c r="E300" t="s">
        <v>61</v>
      </c>
      <c r="F300">
        <v>1</v>
      </c>
      <c r="G300" t="s">
        <v>1636</v>
      </c>
      <c r="H300" s="281">
        <f>ROWS($G$4:G300)</f>
        <v>297</v>
      </c>
      <c r="I300" s="281" t="str">
        <f>IF('School Level Expenditures'!$B$2=A300,'School Tables'!H300,"")</f>
        <v/>
      </c>
      <c r="J300" s="281" t="str">
        <f>IFERROR(SMALL($I$4:$I$325,ROWS($I$4:I300)),"")</f>
        <v/>
      </c>
      <c r="K300" s="256" t="b">
        <f t="shared" si="11"/>
        <v>0</v>
      </c>
    </row>
    <row r="301" spans="1:11" ht="12.75" x14ac:dyDescent="0.2">
      <c r="A301">
        <v>731</v>
      </c>
      <c r="B301" t="s">
        <v>1501</v>
      </c>
      <c r="C301" t="s">
        <v>1502</v>
      </c>
      <c r="D301">
        <v>29055</v>
      </c>
      <c r="E301" t="s">
        <v>61</v>
      </c>
      <c r="F301">
        <v>417</v>
      </c>
      <c r="G301" t="s">
        <v>1501</v>
      </c>
      <c r="H301" s="281">
        <f>ROWS($G$4:G301)</f>
        <v>298</v>
      </c>
      <c r="I301" s="281" t="str">
        <f>IF('School Level Expenditures'!$B$2=A301,'School Tables'!H301,"")</f>
        <v/>
      </c>
      <c r="J301" s="281" t="str">
        <f>IFERROR(SMALL($I$4:$I$325,ROWS($I$4:I301)),"")</f>
        <v/>
      </c>
      <c r="K301" s="256" t="b">
        <f t="shared" si="11"/>
        <v>0</v>
      </c>
    </row>
    <row r="302" spans="1:11" ht="12.75" x14ac:dyDescent="0.2">
      <c r="A302">
        <v>741</v>
      </c>
      <c r="B302" t="s">
        <v>1508</v>
      </c>
      <c r="C302" t="s">
        <v>1510</v>
      </c>
      <c r="D302">
        <v>29150</v>
      </c>
      <c r="E302" t="s">
        <v>61</v>
      </c>
      <c r="F302">
        <v>423</v>
      </c>
      <c r="G302" t="s">
        <v>1508</v>
      </c>
      <c r="H302" s="281">
        <f>ROWS($G$4:G302)</f>
        <v>299</v>
      </c>
      <c r="I302" s="281" t="str">
        <f>IF('School Level Expenditures'!$B$2=A302,'School Tables'!H302,"")</f>
        <v/>
      </c>
      <c r="J302" s="281" t="str">
        <f>IFERROR(SMALL($I$4:$I$325,ROWS($I$4:I302)),"")</f>
        <v/>
      </c>
      <c r="K302" s="256" t="b">
        <f t="shared" si="11"/>
        <v>0</v>
      </c>
    </row>
    <row r="303" spans="1:11" ht="12.75" x14ac:dyDescent="0.2">
      <c r="A303">
        <v>531</v>
      </c>
      <c r="B303" t="s">
        <v>1426</v>
      </c>
      <c r="C303" t="s">
        <v>1427</v>
      </c>
      <c r="D303">
        <v>22380</v>
      </c>
      <c r="E303" t="s">
        <v>61</v>
      </c>
      <c r="F303">
        <v>48</v>
      </c>
      <c r="G303" t="s">
        <v>1652</v>
      </c>
      <c r="H303" s="281">
        <f>ROWS($G$4:G303)</f>
        <v>300</v>
      </c>
      <c r="I303" s="281" t="str">
        <f>IF('School Level Expenditures'!$B$2=A303,'School Tables'!H303,"")</f>
        <v/>
      </c>
      <c r="J303" s="281" t="str">
        <f>IFERROR(SMALL($I$4:$I$325,ROWS($I$4:I303)),"")</f>
        <v/>
      </c>
      <c r="K303" s="256" t="b">
        <f t="shared" si="11"/>
        <v>0</v>
      </c>
    </row>
    <row r="304" spans="1:11" ht="12.75" x14ac:dyDescent="0.2">
      <c r="A304">
        <v>351</v>
      </c>
      <c r="B304" t="s">
        <v>1228</v>
      </c>
      <c r="C304" t="s">
        <v>1233</v>
      </c>
      <c r="D304">
        <v>21035</v>
      </c>
      <c r="E304" t="s">
        <v>61</v>
      </c>
      <c r="F304">
        <v>26</v>
      </c>
      <c r="G304" t="s">
        <v>1700</v>
      </c>
      <c r="H304" s="281">
        <f>ROWS($G$4:G304)</f>
        <v>301</v>
      </c>
      <c r="I304" s="281" t="str">
        <f>IF('School Level Expenditures'!$B$2=A304,'School Tables'!H304,"")</f>
        <v/>
      </c>
      <c r="J304" s="281" t="str">
        <f>IFERROR(SMALL($I$4:$I$325,ROWS($I$4:I304)),"")</f>
        <v/>
      </c>
      <c r="K304" s="256" t="b">
        <f t="shared" si="11"/>
        <v>0</v>
      </c>
    </row>
    <row r="305" spans="1:11" ht="12.75" x14ac:dyDescent="0.2">
      <c r="A305">
        <v>427</v>
      </c>
      <c r="B305" t="s">
        <v>1329</v>
      </c>
      <c r="C305" t="s">
        <v>1332</v>
      </c>
      <c r="D305">
        <v>26925</v>
      </c>
      <c r="E305" t="s">
        <v>61</v>
      </c>
      <c r="F305">
        <v>53</v>
      </c>
      <c r="G305" t="s">
        <v>1632</v>
      </c>
      <c r="H305" s="281">
        <f>ROWS($G$4:G305)</f>
        <v>302</v>
      </c>
      <c r="I305" s="281">
        <f>IF('School Level Expenditures'!$B$2=A305,'School Tables'!H305,"")</f>
        <v>302</v>
      </c>
      <c r="J305" s="281" t="str">
        <f>IFERROR(SMALL($I$4:$I$325,ROWS($I$4:I305)),"")</f>
        <v/>
      </c>
      <c r="K305" s="256" t="b">
        <f t="shared" si="11"/>
        <v>0</v>
      </c>
    </row>
    <row r="306" spans="1:11" ht="12.75" x14ac:dyDescent="0.2">
      <c r="A306">
        <v>363</v>
      </c>
      <c r="B306" t="s">
        <v>1256</v>
      </c>
      <c r="C306" t="s">
        <v>1259</v>
      </c>
      <c r="D306">
        <v>21725</v>
      </c>
      <c r="E306" t="s">
        <v>61</v>
      </c>
      <c r="F306">
        <v>93</v>
      </c>
      <c r="G306" t="s">
        <v>1665</v>
      </c>
      <c r="H306" s="281">
        <f>ROWS($G$4:G306)</f>
        <v>303</v>
      </c>
      <c r="I306" s="281" t="str">
        <f>IF('School Level Expenditures'!$B$2=A306,'School Tables'!H306,"")</f>
        <v/>
      </c>
      <c r="J306" s="281" t="str">
        <f>IFERROR(SMALL($I$4:$I$325,ROWS($I$4:I306)),"")</f>
        <v/>
      </c>
      <c r="K306" s="256" t="b">
        <f t="shared" si="11"/>
        <v>0</v>
      </c>
    </row>
    <row r="307" spans="1:11" ht="12.75" x14ac:dyDescent="0.2">
      <c r="A307">
        <v>208</v>
      </c>
      <c r="B307" t="s">
        <v>1060</v>
      </c>
      <c r="C307" t="s">
        <v>1064</v>
      </c>
      <c r="D307">
        <v>22410</v>
      </c>
      <c r="E307" t="s">
        <v>61</v>
      </c>
      <c r="F307">
        <v>49</v>
      </c>
      <c r="G307" t="s">
        <v>1655</v>
      </c>
      <c r="H307" s="281">
        <f>ROWS($G$4:G307)</f>
        <v>304</v>
      </c>
      <c r="I307" s="281" t="str">
        <f>IF('School Level Expenditures'!$B$2=A307,'School Tables'!H307,"")</f>
        <v/>
      </c>
      <c r="J307" s="281" t="str">
        <f>IFERROR(SMALL($I$4:$I$325,ROWS($I$4:I307)),"")</f>
        <v/>
      </c>
      <c r="K307" s="256" t="b">
        <f t="shared" si="11"/>
        <v>0</v>
      </c>
    </row>
    <row r="308" spans="1:11" ht="12.75" x14ac:dyDescent="0.2">
      <c r="A308">
        <v>539</v>
      </c>
      <c r="B308" t="s">
        <v>1436</v>
      </c>
      <c r="C308" t="s">
        <v>1437</v>
      </c>
      <c r="D308">
        <v>20180</v>
      </c>
      <c r="E308" t="s">
        <v>61</v>
      </c>
      <c r="F308">
        <v>6</v>
      </c>
      <c r="G308" t="s">
        <v>1649</v>
      </c>
      <c r="H308" s="281">
        <f>ROWS($G$4:G308)</f>
        <v>305</v>
      </c>
      <c r="I308" s="281" t="str">
        <f>IF('School Level Expenditures'!$B$2=A308,'School Tables'!H308,"")</f>
        <v/>
      </c>
      <c r="J308" s="281" t="str">
        <f>IFERROR(SMALL($I$4:$I$325,ROWS($I$4:I308)),"")</f>
        <v/>
      </c>
      <c r="K308" s="256" t="b">
        <f t="shared" si="11"/>
        <v>0</v>
      </c>
    </row>
    <row r="309" spans="1:11" ht="12.75" x14ac:dyDescent="0.2">
      <c r="A309">
        <v>175</v>
      </c>
      <c r="B309" t="s">
        <v>1033</v>
      </c>
      <c r="C309" t="s">
        <v>1034</v>
      </c>
      <c r="D309">
        <v>27980</v>
      </c>
      <c r="E309" t="s">
        <v>61</v>
      </c>
      <c r="F309">
        <v>61</v>
      </c>
      <c r="G309" t="s">
        <v>1692</v>
      </c>
      <c r="H309" s="281">
        <f>ROWS($G$4:G309)</f>
        <v>306</v>
      </c>
      <c r="I309" s="281" t="str">
        <f>IF('School Level Expenditures'!$B$2=A309,'School Tables'!H309,"")</f>
        <v/>
      </c>
      <c r="J309" s="281" t="str">
        <f>IFERROR(SMALL($I$4:$I$325,ROWS($I$4:I309)),"")</f>
        <v/>
      </c>
      <c r="K309" s="256" t="b">
        <f t="shared" si="11"/>
        <v>0</v>
      </c>
    </row>
    <row r="310" spans="1:11" ht="12.75" x14ac:dyDescent="0.2">
      <c r="A310">
        <v>174</v>
      </c>
      <c r="B310" t="s">
        <v>1021</v>
      </c>
      <c r="C310" t="s">
        <v>1024</v>
      </c>
      <c r="D310">
        <v>22970</v>
      </c>
      <c r="E310" t="s">
        <v>61</v>
      </c>
      <c r="F310">
        <v>60</v>
      </c>
      <c r="G310" t="s">
        <v>1630</v>
      </c>
      <c r="H310" s="281">
        <f>ROWS($G$4:G310)</f>
        <v>307</v>
      </c>
      <c r="I310" s="281" t="str">
        <f>IF('School Level Expenditures'!$B$2=A310,'School Tables'!H310,"")</f>
        <v/>
      </c>
      <c r="J310" s="281" t="str">
        <f>IFERROR(SMALL($I$4:$I$325,ROWS($I$4:I310)),"")</f>
        <v/>
      </c>
      <c r="K310" s="256" t="b">
        <f t="shared" si="11"/>
        <v>0</v>
      </c>
    </row>
    <row r="311" spans="1:11" ht="12.75" x14ac:dyDescent="0.2">
      <c r="A311">
        <v>727</v>
      </c>
      <c r="B311" t="s">
        <v>1497</v>
      </c>
      <c r="C311" t="s">
        <v>1498</v>
      </c>
      <c r="D311">
        <v>28650</v>
      </c>
      <c r="E311" t="s">
        <v>61</v>
      </c>
      <c r="F311">
        <v>412</v>
      </c>
      <c r="G311" t="s">
        <v>1497</v>
      </c>
      <c r="H311" s="281">
        <f>ROWS($G$4:G311)</f>
        <v>308</v>
      </c>
      <c r="I311" s="281" t="str">
        <f>IF('School Level Expenditures'!$B$2=A311,'School Tables'!H311,"")</f>
        <v/>
      </c>
      <c r="J311" s="281" t="str">
        <f>IFERROR(SMALL($I$4:$I$325,ROWS($I$4:I311)),"")</f>
        <v/>
      </c>
      <c r="K311" s="256" t="b">
        <f t="shared" si="11"/>
        <v>0</v>
      </c>
    </row>
    <row r="312" spans="1:11" ht="12.75" x14ac:dyDescent="0.2">
      <c r="A312">
        <v>174</v>
      </c>
      <c r="B312" t="s">
        <v>1021</v>
      </c>
      <c r="C312" t="s">
        <v>1032</v>
      </c>
      <c r="D312">
        <v>23015</v>
      </c>
      <c r="E312" t="s">
        <v>61</v>
      </c>
      <c r="F312">
        <v>60</v>
      </c>
      <c r="G312" t="s">
        <v>1630</v>
      </c>
      <c r="H312" s="281">
        <f>ROWS($G$4:G312)</f>
        <v>309</v>
      </c>
      <c r="I312" s="281" t="str">
        <f>IF('School Level Expenditures'!$B$2=A312,'School Tables'!H312,"")</f>
        <v/>
      </c>
      <c r="J312" s="281" t="str">
        <f>IFERROR(SMALL($I$4:$I$325,ROWS($I$4:I312)),"")</f>
        <v/>
      </c>
      <c r="K312" s="256" t="b">
        <f t="shared" si="11"/>
        <v>0</v>
      </c>
    </row>
    <row r="313" spans="1:11" ht="12.75" x14ac:dyDescent="0.2">
      <c r="A313">
        <v>174</v>
      </c>
      <c r="B313" t="s">
        <v>1021</v>
      </c>
      <c r="C313" t="s">
        <v>1031</v>
      </c>
      <c r="D313">
        <v>23010</v>
      </c>
      <c r="E313" t="s">
        <v>61</v>
      </c>
      <c r="F313">
        <v>60</v>
      </c>
      <c r="G313" t="s">
        <v>1630</v>
      </c>
      <c r="H313" s="281">
        <f>ROWS($G$4:G313)</f>
        <v>310</v>
      </c>
      <c r="I313" s="281" t="str">
        <f>IF('School Level Expenditures'!$B$2=A313,'School Tables'!H313,"")</f>
        <v/>
      </c>
      <c r="J313" s="281" t="str">
        <f>IFERROR(SMALL($I$4:$I$325,ROWS($I$4:I313)),"")</f>
        <v/>
      </c>
      <c r="K313" s="256" t="b">
        <f t="shared" si="11"/>
        <v>0</v>
      </c>
    </row>
    <row r="314" spans="1:11" ht="12.75" x14ac:dyDescent="0.2">
      <c r="A314">
        <v>549</v>
      </c>
      <c r="B314" t="s">
        <v>1440</v>
      </c>
      <c r="C314" t="s">
        <v>1441</v>
      </c>
      <c r="D314">
        <v>20900</v>
      </c>
      <c r="E314" t="s">
        <v>61</v>
      </c>
      <c r="F314">
        <v>23</v>
      </c>
      <c r="G314" t="s">
        <v>1644</v>
      </c>
      <c r="H314" s="281">
        <f>ROWS($G$4:G314)</f>
        <v>311</v>
      </c>
      <c r="I314" s="281" t="str">
        <f>IF('School Level Expenditures'!$B$2=A314,'School Tables'!H314,"")</f>
        <v/>
      </c>
      <c r="J314" s="281" t="str">
        <f>IFERROR(SMALL($I$4:$I$325,ROWS($I$4:I314)),"")</f>
        <v/>
      </c>
      <c r="K314" s="256" t="b">
        <f t="shared" si="11"/>
        <v>0</v>
      </c>
    </row>
    <row r="315" spans="1:11" ht="12.75" x14ac:dyDescent="0.2">
      <c r="A315">
        <v>551</v>
      </c>
      <c r="B315" t="s">
        <v>1442</v>
      </c>
      <c r="C315" t="s">
        <v>1443</v>
      </c>
      <c r="D315">
        <v>20985</v>
      </c>
      <c r="E315" t="s">
        <v>61</v>
      </c>
      <c r="F315">
        <v>34</v>
      </c>
      <c r="G315" t="s">
        <v>1695</v>
      </c>
      <c r="H315" s="281">
        <f>ROWS($G$4:G315)</f>
        <v>312</v>
      </c>
      <c r="I315" s="281" t="str">
        <f>IF('School Level Expenditures'!$B$2=A315,'School Tables'!H315,"")</f>
        <v/>
      </c>
      <c r="J315" s="281" t="str">
        <f>IFERROR(SMALL($I$4:$I$325,ROWS($I$4:I315)),"")</f>
        <v/>
      </c>
      <c r="K315" s="256" t="b">
        <f t="shared" si="11"/>
        <v>0</v>
      </c>
    </row>
    <row r="316" spans="1:11" ht="12.75" x14ac:dyDescent="0.2">
      <c r="A316">
        <v>553</v>
      </c>
      <c r="B316" t="s">
        <v>1444</v>
      </c>
      <c r="C316" t="s">
        <v>1445</v>
      </c>
      <c r="D316">
        <v>22385</v>
      </c>
      <c r="E316" t="s">
        <v>61</v>
      </c>
      <c r="F316">
        <v>48</v>
      </c>
      <c r="G316" t="s">
        <v>1652</v>
      </c>
      <c r="H316" s="281">
        <f>ROWS($G$4:G316)</f>
        <v>313</v>
      </c>
      <c r="I316" s="281" t="str">
        <f>IF('School Level Expenditures'!$B$2=A316,'School Tables'!H316,"")</f>
        <v/>
      </c>
      <c r="J316" s="281" t="str">
        <f>IFERROR(SMALL($I$4:$I$325,ROWS($I$4:I316)),"")</f>
        <v/>
      </c>
      <c r="K316" s="256" t="b">
        <f t="shared" si="11"/>
        <v>0</v>
      </c>
    </row>
    <row r="317" spans="1:11" ht="12.75" x14ac:dyDescent="0.2">
      <c r="A317">
        <v>352</v>
      </c>
      <c r="B317" t="s">
        <v>1235</v>
      </c>
      <c r="C317" t="s">
        <v>1242</v>
      </c>
      <c r="D317">
        <v>22205</v>
      </c>
      <c r="E317" t="s">
        <v>61</v>
      </c>
      <c r="F317">
        <v>46</v>
      </c>
      <c r="G317" t="s">
        <v>1635</v>
      </c>
      <c r="H317" s="281">
        <f>ROWS($G$4:G317)</f>
        <v>314</v>
      </c>
      <c r="I317" s="281" t="str">
        <f>IF('School Level Expenditures'!$B$2=A317,'School Tables'!H317,"")</f>
        <v/>
      </c>
      <c r="J317" s="281" t="str">
        <f>IFERROR(SMALL($I$4:$I$325,ROWS($I$4:I317)),"")</f>
        <v/>
      </c>
      <c r="K317" s="256" t="b">
        <f t="shared" si="11"/>
        <v>0</v>
      </c>
    </row>
    <row r="318" spans="1:11" ht="12.75" x14ac:dyDescent="0.2">
      <c r="A318">
        <v>335</v>
      </c>
      <c r="B318" t="s">
        <v>895</v>
      </c>
      <c r="C318" t="s">
        <v>1210</v>
      </c>
      <c r="D318">
        <v>21635</v>
      </c>
      <c r="E318" t="s">
        <v>61</v>
      </c>
      <c r="F318">
        <v>37</v>
      </c>
      <c r="G318" t="s">
        <v>1640</v>
      </c>
      <c r="H318" s="281">
        <f>ROWS($G$4:G318)</f>
        <v>315</v>
      </c>
      <c r="I318" s="281" t="str">
        <f>IF('School Level Expenditures'!$B$2=A318,'School Tables'!H318,"")</f>
        <v/>
      </c>
      <c r="J318" s="281" t="str">
        <f>IFERROR(SMALL($I$4:$I$325,ROWS($I$4:I318)),"")</f>
        <v/>
      </c>
      <c r="K318" s="256" t="b">
        <f t="shared" si="11"/>
        <v>0</v>
      </c>
    </row>
    <row r="319" spans="1:11" ht="12.75" x14ac:dyDescent="0.2">
      <c r="A319">
        <v>235</v>
      </c>
      <c r="B319" t="s">
        <v>1082</v>
      </c>
      <c r="C319" t="s">
        <v>1083</v>
      </c>
      <c r="D319">
        <v>21155</v>
      </c>
      <c r="E319" t="s">
        <v>61</v>
      </c>
      <c r="F319">
        <v>29</v>
      </c>
      <c r="G319" t="s">
        <v>1659</v>
      </c>
      <c r="H319" s="281">
        <f>ROWS($G$4:G319)</f>
        <v>316</v>
      </c>
      <c r="I319" s="281" t="str">
        <f>IF('School Level Expenditures'!$B$2=A319,'School Tables'!H319,"")</f>
        <v/>
      </c>
      <c r="J319" s="281" t="str">
        <f>IFERROR(SMALL($I$4:$I$325,ROWS($I$4:I319)),"")</f>
        <v/>
      </c>
      <c r="K319" s="256" t="b">
        <f t="shared" si="11"/>
        <v>0</v>
      </c>
    </row>
    <row r="320" spans="1:11" ht="12.75" x14ac:dyDescent="0.2">
      <c r="A320">
        <v>559</v>
      </c>
      <c r="B320" t="s">
        <v>1449</v>
      </c>
      <c r="C320" t="s">
        <v>1450</v>
      </c>
      <c r="D320">
        <v>22390</v>
      </c>
      <c r="E320" t="s">
        <v>61</v>
      </c>
      <c r="F320">
        <v>48</v>
      </c>
      <c r="G320" t="s">
        <v>1652</v>
      </c>
      <c r="H320" s="281">
        <f>ROWS($G$4:G320)</f>
        <v>317</v>
      </c>
      <c r="I320" s="281" t="str">
        <f>IF('School Level Expenditures'!$B$2=A320,'School Tables'!H320,"")</f>
        <v/>
      </c>
      <c r="J320" s="281" t="str">
        <f>IFERROR(SMALL($I$4:$I$325,ROWS($I$4:I320)),"")</f>
        <v/>
      </c>
      <c r="K320" s="256" t="b">
        <f t="shared" si="11"/>
        <v>0</v>
      </c>
    </row>
    <row r="321" spans="1:11" ht="12.75" x14ac:dyDescent="0.2">
      <c r="A321">
        <v>563</v>
      </c>
      <c r="B321" t="s">
        <v>1451</v>
      </c>
      <c r="C321" t="s">
        <v>1452</v>
      </c>
      <c r="D321">
        <v>21230</v>
      </c>
      <c r="E321" t="s">
        <v>61</v>
      </c>
      <c r="F321">
        <v>29</v>
      </c>
      <c r="G321" t="s">
        <v>1659</v>
      </c>
      <c r="H321" s="281">
        <f>ROWS($G$4:G321)</f>
        <v>318</v>
      </c>
      <c r="I321" s="281" t="str">
        <f>IF('School Level Expenditures'!$B$2=A321,'School Tables'!H321,"")</f>
        <v/>
      </c>
      <c r="J321" s="281" t="str">
        <f>IFERROR(SMALL($I$4:$I$325,ROWS($I$4:I321)),"")</f>
        <v/>
      </c>
      <c r="K321" s="256" t="b">
        <f t="shared" si="11"/>
        <v>0</v>
      </c>
    </row>
    <row r="322" spans="1:11" ht="12.75" x14ac:dyDescent="0.2">
      <c r="A322">
        <v>335</v>
      </c>
      <c r="B322" t="s">
        <v>895</v>
      </c>
      <c r="C322" t="s">
        <v>1585</v>
      </c>
      <c r="D322">
        <v>21515</v>
      </c>
      <c r="E322" t="s">
        <v>61</v>
      </c>
      <c r="F322">
        <v>37</v>
      </c>
      <c r="G322" t="s">
        <v>1640</v>
      </c>
      <c r="H322" s="281">
        <f>ROWS($G$4:G322)</f>
        <v>319</v>
      </c>
      <c r="I322" s="281" t="str">
        <f>IF('School Level Expenditures'!$B$2=A322,'School Tables'!H322,"")</f>
        <v/>
      </c>
      <c r="J322" s="281" t="str">
        <f>IFERROR(SMALL($I$4:$I$325,ROWS($I$4:I322)),"")</f>
        <v/>
      </c>
      <c r="K322" s="256" t="b">
        <f t="shared" si="11"/>
        <v>0</v>
      </c>
    </row>
    <row r="323" spans="1:11" ht="12.75" x14ac:dyDescent="0.2">
      <c r="A323">
        <v>279</v>
      </c>
      <c r="B323" t="s">
        <v>1142</v>
      </c>
      <c r="C323" t="s">
        <v>1148</v>
      </c>
      <c r="D323">
        <v>21200</v>
      </c>
      <c r="E323" t="s">
        <v>61</v>
      </c>
      <c r="F323">
        <v>29</v>
      </c>
      <c r="G323" t="s">
        <v>1659</v>
      </c>
      <c r="H323" s="281">
        <f>ROWS($G$4:G323)</f>
        <v>320</v>
      </c>
      <c r="I323" s="281" t="str">
        <f>IF('School Level Expenditures'!$B$2=A323,'School Tables'!H323,"")</f>
        <v/>
      </c>
      <c r="J323" s="281" t="str">
        <f>IFERROR(SMALL($I$4:$I$325,ROWS($I$4:I323)),"")</f>
        <v/>
      </c>
      <c r="K323" s="256" t="b">
        <f t="shared" si="11"/>
        <v>0</v>
      </c>
    </row>
    <row r="324" spans="1:11" ht="12.75" x14ac:dyDescent="0.2">
      <c r="A324">
        <v>568</v>
      </c>
      <c r="B324" t="s">
        <v>1453</v>
      </c>
      <c r="C324" t="s">
        <v>1454</v>
      </c>
      <c r="D324">
        <v>26930</v>
      </c>
      <c r="E324" t="s">
        <v>61</v>
      </c>
      <c r="F324">
        <v>36</v>
      </c>
      <c r="G324" t="s">
        <v>1703</v>
      </c>
      <c r="H324" s="281">
        <f>ROWS($G$4:G324)</f>
        <v>321</v>
      </c>
      <c r="I324" s="281" t="str">
        <f>IF('School Level Expenditures'!$B$2=A324,'School Tables'!H324,"")</f>
        <v/>
      </c>
      <c r="J324" s="281" t="str">
        <f>IFERROR(SMALL($I$4:$I$325,ROWS($I$4:I324)),"")</f>
        <v/>
      </c>
      <c r="K324" s="256" t="b">
        <f t="shared" si="11"/>
        <v>0</v>
      </c>
    </row>
    <row r="325" spans="1:11" ht="12.75" x14ac:dyDescent="0.2">
      <c r="A325">
        <v>461</v>
      </c>
      <c r="B325" t="s">
        <v>1361</v>
      </c>
      <c r="C325" t="s">
        <v>1366</v>
      </c>
      <c r="D325">
        <v>22690</v>
      </c>
      <c r="E325" t="s">
        <v>61</v>
      </c>
      <c r="F325">
        <v>54</v>
      </c>
      <c r="G325" t="s">
        <v>1657</v>
      </c>
      <c r="H325" s="281">
        <f>ROWS($G$4:G325)</f>
        <v>322</v>
      </c>
      <c r="I325" s="281" t="str">
        <f>IF('School Level Expenditures'!$B$2=A325,'School Tables'!H325,"")</f>
        <v/>
      </c>
      <c r="J325" s="281" t="str">
        <f>IFERROR(SMALL($I$4:$I$325,ROWS($I$4:I325)),"")</f>
        <v/>
      </c>
      <c r="K325" s="256" t="b">
        <f t="shared" ref="K325" si="12">C325=C326</f>
        <v>0</v>
      </c>
    </row>
    <row r="326" spans="1:11" ht="12.75" x14ac:dyDescent="0.2">
      <c r="A326">
        <v>473</v>
      </c>
      <c r="B326" t="s">
        <v>1380</v>
      </c>
      <c r="C326" t="s">
        <v>1382</v>
      </c>
      <c r="D326">
        <v>22860</v>
      </c>
      <c r="E326" t="s">
        <v>61</v>
      </c>
      <c r="F326">
        <v>57</v>
      </c>
      <c r="G326" t="s">
        <v>1669</v>
      </c>
      <c r="H326" s="281">
        <f>ROWS($G$4:G326)</f>
        <v>323</v>
      </c>
      <c r="I326" s="281" t="str">
        <f>IF('School Level Expenditures'!$B$2=A326,'School Tables'!H326,"")</f>
        <v/>
      </c>
      <c r="J326" s="281" t="str">
        <f>IFERROR(SMALL($I$4:$I$325,ROWS($I$4:I326)),"")</f>
        <v/>
      </c>
      <c r="K326" s="256" t="b">
        <f t="shared" ref="K326:K334" si="13">C326=C327</f>
        <v>0</v>
      </c>
    </row>
    <row r="327" spans="1:11" ht="12.75" x14ac:dyDescent="0.2">
      <c r="A327">
        <v>473</v>
      </c>
      <c r="B327" t="s">
        <v>1380</v>
      </c>
      <c r="C327" t="s">
        <v>1383</v>
      </c>
      <c r="D327">
        <v>22865</v>
      </c>
      <c r="E327" t="s">
        <v>61</v>
      </c>
      <c r="F327">
        <v>57</v>
      </c>
      <c r="G327" t="s">
        <v>1669</v>
      </c>
      <c r="H327" s="281">
        <f>ROWS($G$4:G327)</f>
        <v>324</v>
      </c>
      <c r="I327" s="281" t="str">
        <f>IF('School Level Expenditures'!$B$2=A327,'School Tables'!H327,"")</f>
        <v/>
      </c>
      <c r="J327" s="281" t="str">
        <f>IFERROR(SMALL($I$4:$I$325,ROWS($I$4:I327)),"")</f>
        <v/>
      </c>
      <c r="K327" s="256" t="b">
        <f t="shared" si="13"/>
        <v>0</v>
      </c>
    </row>
    <row r="328" spans="1:11" ht="12.75" x14ac:dyDescent="0.2">
      <c r="A328">
        <v>573</v>
      </c>
      <c r="B328" t="s">
        <v>1462</v>
      </c>
      <c r="C328" t="s">
        <v>1522</v>
      </c>
      <c r="D328">
        <v>21735</v>
      </c>
      <c r="E328" t="s">
        <v>61</v>
      </c>
      <c r="F328">
        <v>94</v>
      </c>
      <c r="G328" t="s">
        <v>1731</v>
      </c>
      <c r="H328" s="281">
        <f>ROWS($G$4:G328)</f>
        <v>325</v>
      </c>
      <c r="I328" s="281" t="str">
        <f>IF('School Level Expenditures'!$B$2=A328,'School Tables'!H328,"")</f>
        <v/>
      </c>
      <c r="J328" s="281" t="str">
        <f>IFERROR(SMALL($I$4:$I$325,ROWS($I$4:I328)),"")</f>
        <v/>
      </c>
      <c r="K328" s="256" t="b">
        <f t="shared" si="13"/>
        <v>0</v>
      </c>
    </row>
    <row r="329" spans="1:11" ht="12.75" x14ac:dyDescent="0.2">
      <c r="A329">
        <v>712</v>
      </c>
      <c r="B329" t="s">
        <v>1489</v>
      </c>
      <c r="C329" t="s">
        <v>1489</v>
      </c>
      <c r="D329">
        <v>29193</v>
      </c>
      <c r="E329" t="s">
        <v>61</v>
      </c>
      <c r="F329">
        <v>434</v>
      </c>
      <c r="G329" t="s">
        <v>1489</v>
      </c>
      <c r="H329" s="281">
        <f>ROWS($G$4:G329)</f>
        <v>326</v>
      </c>
      <c r="I329" s="281" t="str">
        <f>IF('School Level Expenditures'!$B$2=A329,'School Tables'!H329,"")</f>
        <v/>
      </c>
      <c r="J329" s="281" t="str">
        <f>IFERROR(SMALL($I$4:$I$325,ROWS($I$4:I329)),"")</f>
        <v/>
      </c>
      <c r="K329" s="256" t="b">
        <f t="shared" si="13"/>
        <v>0</v>
      </c>
    </row>
    <row r="330" spans="1:11" ht="12.75" x14ac:dyDescent="0.2">
      <c r="A330">
        <v>575</v>
      </c>
      <c r="B330" t="s">
        <v>1463</v>
      </c>
      <c r="C330" t="s">
        <v>1466</v>
      </c>
      <c r="D330">
        <v>21135</v>
      </c>
      <c r="E330" t="s">
        <v>61</v>
      </c>
      <c r="F330">
        <v>95</v>
      </c>
      <c r="G330" t="s">
        <v>1684</v>
      </c>
      <c r="H330" s="281">
        <f>ROWS($G$4:G330)</f>
        <v>327</v>
      </c>
      <c r="I330" s="281" t="str">
        <f>IF('School Level Expenditures'!$B$2=A330,'School Tables'!H330,"")</f>
        <v/>
      </c>
      <c r="J330" s="281" t="str">
        <f>IFERROR(SMALL($I$4:$I$325,ROWS($I$4:I330)),"")</f>
        <v/>
      </c>
      <c r="K330" s="256" t="b">
        <f t="shared" si="13"/>
        <v>0</v>
      </c>
    </row>
    <row r="331" spans="1:11" ht="12.75" x14ac:dyDescent="0.2">
      <c r="A331">
        <v>582</v>
      </c>
      <c r="B331" t="s">
        <v>1470</v>
      </c>
      <c r="C331" t="s">
        <v>1821</v>
      </c>
      <c r="D331">
        <v>29247</v>
      </c>
      <c r="E331" t="s">
        <v>61</v>
      </c>
      <c r="F331">
        <v>59</v>
      </c>
      <c r="G331" t="s">
        <v>1728</v>
      </c>
      <c r="H331" s="281">
        <f>ROWS($G$4:G331)</f>
        <v>328</v>
      </c>
      <c r="I331" s="281" t="str">
        <f>IF('School Level Expenditures'!$B$2=A331,'School Tables'!H331,"")</f>
        <v/>
      </c>
      <c r="J331" s="281" t="str">
        <f>IFERROR(SMALL($I$4:$I$325,ROWS($I$4:I331)),"")</f>
        <v/>
      </c>
      <c r="K331" s="256" t="b">
        <f t="shared" si="13"/>
        <v>0</v>
      </c>
    </row>
    <row r="332" spans="1:11" ht="12.75" x14ac:dyDescent="0.2">
      <c r="A332">
        <v>285</v>
      </c>
      <c r="B332" t="s">
        <v>1151</v>
      </c>
      <c r="C332" t="s">
        <v>1155</v>
      </c>
      <c r="D332">
        <v>21285</v>
      </c>
      <c r="E332" t="s">
        <v>61</v>
      </c>
      <c r="F332">
        <v>30</v>
      </c>
      <c r="G332" t="s">
        <v>1673</v>
      </c>
      <c r="H332" s="281">
        <f>ROWS($G$4:G332)</f>
        <v>329</v>
      </c>
      <c r="I332" s="281" t="str">
        <f>IF('School Level Expenditures'!$B$2=A332,'School Tables'!H332,"")</f>
        <v/>
      </c>
      <c r="J332" s="281" t="str">
        <f>IFERROR(SMALL($I$4:$I$325,ROWS($I$4:I332)),"")</f>
        <v/>
      </c>
      <c r="K332" s="256" t="b">
        <f t="shared" si="13"/>
        <v>0</v>
      </c>
    </row>
    <row r="333" spans="1:11" ht="12.75" x14ac:dyDescent="0.2">
      <c r="A333">
        <v>141</v>
      </c>
      <c r="B333" t="s">
        <v>997</v>
      </c>
      <c r="C333" t="s">
        <v>1001</v>
      </c>
      <c r="D333">
        <v>20460</v>
      </c>
      <c r="E333" t="s">
        <v>61</v>
      </c>
      <c r="F333">
        <v>11</v>
      </c>
      <c r="G333" t="s">
        <v>1678</v>
      </c>
      <c r="H333" s="281">
        <f>ROWS($G$4:G333)</f>
        <v>330</v>
      </c>
      <c r="I333" s="281" t="str">
        <f>IF('School Level Expenditures'!$B$2=A333,'School Tables'!H333,"")</f>
        <v/>
      </c>
      <c r="J333" s="281" t="str">
        <f>IFERROR(SMALL($I$4:$I$325,ROWS($I$4:I333)),"")</f>
        <v/>
      </c>
      <c r="K333" s="256" t="b">
        <f t="shared" si="13"/>
        <v>0</v>
      </c>
    </row>
    <row r="334" spans="1:11" ht="12.75" x14ac:dyDescent="0.2">
      <c r="A334">
        <v>238</v>
      </c>
      <c r="B334" t="s">
        <v>1084</v>
      </c>
      <c r="C334" t="s">
        <v>1085</v>
      </c>
      <c r="D334">
        <v>20905</v>
      </c>
      <c r="E334" t="s">
        <v>61</v>
      </c>
      <c r="F334">
        <v>23</v>
      </c>
      <c r="G334" t="s">
        <v>1644</v>
      </c>
      <c r="H334" s="281">
        <f>ROWS($G$4:G334)</f>
        <v>331</v>
      </c>
      <c r="I334" s="281" t="str">
        <f>IF('School Level Expenditures'!$B$2=A334,'School Tables'!H334,"")</f>
        <v/>
      </c>
      <c r="J334" s="281" t="str">
        <f>IFERROR(SMALL($I$4:$I$325,ROWS($I$4:I334)),"")</f>
        <v/>
      </c>
      <c r="K334" s="256" t="b">
        <f t="shared" si="13"/>
        <v>0</v>
      </c>
    </row>
    <row r="336" spans="1:11" x14ac:dyDescent="0.2">
      <c r="A336" s="255"/>
      <c r="B336" s="255"/>
      <c r="C336" s="255"/>
      <c r="D336" s="255"/>
      <c r="E336" s="255"/>
      <c r="F336" s="216"/>
    </row>
    <row r="337" spans="1:6" x14ac:dyDescent="0.2">
      <c r="A337" s="255"/>
      <c r="B337" s="255"/>
      <c r="C337" s="255"/>
      <c r="D337" s="255"/>
      <c r="E337" s="255"/>
      <c r="F337" s="216"/>
    </row>
    <row r="338" spans="1:6" x14ac:dyDescent="0.2">
      <c r="A338" s="255"/>
      <c r="B338" s="255"/>
      <c r="C338" s="255"/>
      <c r="D338" s="255"/>
      <c r="E338" s="255"/>
      <c r="F338" s="216"/>
    </row>
    <row r="339" spans="1:6" x14ac:dyDescent="0.2">
      <c r="A339" s="255"/>
      <c r="B339" s="255"/>
      <c r="C339" s="255"/>
      <c r="D339" s="255"/>
      <c r="E339" s="255"/>
      <c r="F339" s="216"/>
    </row>
    <row r="340" spans="1:6" x14ac:dyDescent="0.2">
      <c r="A340" s="255"/>
      <c r="B340" s="255"/>
      <c r="C340" s="255"/>
      <c r="D340" s="255"/>
      <c r="E340" s="255"/>
      <c r="F340" s="216"/>
    </row>
    <row r="341" spans="1:6" x14ac:dyDescent="0.2">
      <c r="A341" s="255"/>
      <c r="B341" s="255"/>
      <c r="C341" s="255"/>
      <c r="D341" s="255"/>
      <c r="E341" s="255"/>
      <c r="F341" s="216"/>
    </row>
    <row r="342" spans="1:6" x14ac:dyDescent="0.2">
      <c r="A342" s="255"/>
      <c r="B342" s="255"/>
      <c r="C342" s="255"/>
      <c r="D342" s="255"/>
      <c r="E342" s="255"/>
      <c r="F342" s="216"/>
    </row>
    <row r="343" spans="1:6" x14ac:dyDescent="0.2">
      <c r="A343" s="255"/>
      <c r="B343" s="255"/>
      <c r="C343" s="255"/>
      <c r="D343" s="255"/>
      <c r="E343" s="255"/>
      <c r="F343" s="216"/>
    </row>
    <row r="344" spans="1:6" x14ac:dyDescent="0.2">
      <c r="A344" s="255"/>
      <c r="B344" s="255"/>
      <c r="C344" s="255"/>
      <c r="D344" s="255"/>
      <c r="E344" s="255"/>
      <c r="F344" s="216"/>
    </row>
    <row r="345" spans="1:6" x14ac:dyDescent="0.2">
      <c r="A345" s="255"/>
      <c r="B345" s="255"/>
      <c r="C345" s="255"/>
      <c r="D345" s="255"/>
      <c r="E345" s="255"/>
      <c r="F345" s="216"/>
    </row>
    <row r="346" spans="1:6" x14ac:dyDescent="0.2">
      <c r="A346" s="255"/>
      <c r="B346" s="255"/>
      <c r="C346" s="255"/>
      <c r="D346" s="255"/>
      <c r="E346" s="255"/>
      <c r="F346" s="216"/>
    </row>
    <row r="347" spans="1:6" x14ac:dyDescent="0.2">
      <c r="A347" s="255"/>
      <c r="B347" s="255"/>
      <c r="C347" s="255"/>
      <c r="D347" s="255"/>
      <c r="E347" s="255"/>
      <c r="F347" s="216"/>
    </row>
    <row r="348" spans="1:6" x14ac:dyDescent="0.2">
      <c r="A348" s="255"/>
      <c r="B348" s="255"/>
      <c r="C348" s="255"/>
      <c r="D348" s="255"/>
      <c r="E348" s="255"/>
      <c r="F348" s="216"/>
    </row>
    <row r="349" spans="1:6" x14ac:dyDescent="0.2">
      <c r="A349" s="255"/>
      <c r="B349" s="255"/>
      <c r="C349" s="255"/>
      <c r="D349" s="255"/>
      <c r="E349" s="255"/>
      <c r="F349" s="216"/>
    </row>
    <row r="350" spans="1:6" x14ac:dyDescent="0.2">
      <c r="A350" s="255"/>
      <c r="B350" s="255"/>
      <c r="C350" s="255"/>
      <c r="D350" s="255"/>
      <c r="E350" s="255"/>
      <c r="F350" s="216"/>
    </row>
    <row r="351" spans="1:6" x14ac:dyDescent="0.2">
      <c r="A351" s="255"/>
      <c r="B351" s="255"/>
      <c r="C351" s="255"/>
      <c r="D351" s="255"/>
      <c r="E351" s="255"/>
      <c r="F351" s="216"/>
    </row>
    <row r="352" spans="1:6" x14ac:dyDescent="0.2">
      <c r="A352" s="255"/>
      <c r="B352" s="255"/>
      <c r="C352" s="255"/>
      <c r="D352" s="255"/>
      <c r="E352" s="255"/>
      <c r="F352" s="216"/>
    </row>
    <row r="353" spans="1:6" x14ac:dyDescent="0.2">
      <c r="A353" s="255"/>
      <c r="B353" s="255"/>
      <c r="C353" s="255"/>
      <c r="D353" s="255"/>
      <c r="E353" s="255"/>
      <c r="F353" s="216"/>
    </row>
    <row r="354" spans="1:6" x14ac:dyDescent="0.2">
      <c r="A354" s="255"/>
      <c r="B354" s="255"/>
      <c r="C354" s="255"/>
      <c r="D354" s="255"/>
      <c r="E354" s="255"/>
      <c r="F354" s="216"/>
    </row>
    <row r="355" spans="1:6" x14ac:dyDescent="0.2">
      <c r="A355" s="255"/>
      <c r="B355" s="255"/>
      <c r="C355" s="255"/>
      <c r="D355" s="255"/>
      <c r="E355" s="255"/>
      <c r="F355" s="216"/>
    </row>
    <row r="356" spans="1:6" x14ac:dyDescent="0.2">
      <c r="A356" s="255"/>
      <c r="B356" s="255"/>
      <c r="C356" s="255"/>
      <c r="D356" s="255"/>
      <c r="E356" s="255"/>
      <c r="F356" s="216"/>
    </row>
    <row r="357" spans="1:6" x14ac:dyDescent="0.2">
      <c r="A357" s="255"/>
      <c r="B357" s="255"/>
      <c r="C357" s="255"/>
      <c r="D357" s="255"/>
      <c r="E357" s="255"/>
      <c r="F357" s="216"/>
    </row>
    <row r="358" spans="1:6" x14ac:dyDescent="0.2">
      <c r="A358" s="255"/>
      <c r="B358" s="255"/>
      <c r="C358" s="255"/>
      <c r="D358" s="255"/>
      <c r="E358" s="255"/>
      <c r="F358" s="216"/>
    </row>
    <row r="359" spans="1:6" x14ac:dyDescent="0.2">
      <c r="A359" s="255"/>
      <c r="B359" s="255"/>
      <c r="C359" s="255"/>
      <c r="D359" s="255"/>
      <c r="E359" s="255"/>
      <c r="F359" s="216"/>
    </row>
    <row r="360" spans="1:6" x14ac:dyDescent="0.2">
      <c r="A360" s="255"/>
      <c r="B360" s="255"/>
      <c r="C360" s="255"/>
      <c r="D360" s="255"/>
      <c r="E360" s="255"/>
      <c r="F360" s="216"/>
    </row>
    <row r="361" spans="1:6" x14ac:dyDescent="0.2">
      <c r="A361" s="255"/>
      <c r="B361" s="255"/>
      <c r="C361" s="255"/>
      <c r="D361" s="255"/>
      <c r="E361" s="255"/>
      <c r="F361" s="216"/>
    </row>
    <row r="362" spans="1:6" x14ac:dyDescent="0.2">
      <c r="A362" s="255"/>
      <c r="B362" s="255"/>
      <c r="C362" s="255"/>
      <c r="D362" s="255"/>
      <c r="E362" s="255"/>
      <c r="F362" s="216"/>
    </row>
    <row r="363" spans="1:6" x14ac:dyDescent="0.2">
      <c r="A363" s="255"/>
      <c r="B363" s="255"/>
      <c r="C363" s="255"/>
      <c r="D363" s="255"/>
      <c r="E363" s="255"/>
      <c r="F363" s="216"/>
    </row>
    <row r="364" spans="1:6" x14ac:dyDescent="0.2">
      <c r="A364" s="255"/>
      <c r="B364" s="255"/>
      <c r="C364" s="255"/>
      <c r="D364" s="255"/>
      <c r="E364" s="255"/>
      <c r="F364" s="216"/>
    </row>
    <row r="365" spans="1:6" x14ac:dyDescent="0.2">
      <c r="A365" s="255"/>
      <c r="B365" s="255"/>
      <c r="C365" s="255"/>
      <c r="D365" s="255"/>
      <c r="E365" s="255"/>
      <c r="F365" s="216"/>
    </row>
    <row r="366" spans="1:6" x14ac:dyDescent="0.2">
      <c r="A366" s="255"/>
      <c r="B366" s="255"/>
      <c r="C366" s="255"/>
      <c r="D366" s="255"/>
      <c r="E366" s="255"/>
      <c r="F366" s="216"/>
    </row>
    <row r="367" spans="1:6" x14ac:dyDescent="0.2">
      <c r="A367" s="255"/>
      <c r="B367" s="255"/>
      <c r="C367" s="255"/>
      <c r="D367" s="255"/>
      <c r="E367" s="255"/>
      <c r="F367" s="216"/>
    </row>
    <row r="368" spans="1:6" x14ac:dyDescent="0.2">
      <c r="A368" s="255"/>
      <c r="B368" s="255"/>
      <c r="C368" s="255"/>
      <c r="D368" s="255"/>
      <c r="E368" s="255"/>
      <c r="F368" s="216"/>
    </row>
    <row r="369" spans="1:6" x14ac:dyDescent="0.2">
      <c r="A369" s="255"/>
      <c r="B369" s="255"/>
      <c r="C369" s="255"/>
      <c r="D369" s="255"/>
      <c r="E369" s="255"/>
      <c r="F369" s="216"/>
    </row>
    <row r="370" spans="1:6" x14ac:dyDescent="0.2">
      <c r="A370" s="255"/>
      <c r="B370" s="255"/>
      <c r="C370" s="255"/>
      <c r="D370" s="255"/>
      <c r="E370" s="255"/>
      <c r="F370" s="216"/>
    </row>
    <row r="371" spans="1:6" x14ac:dyDescent="0.2">
      <c r="A371" s="255"/>
      <c r="B371" s="255"/>
      <c r="C371" s="255"/>
      <c r="D371" s="255"/>
      <c r="E371" s="255"/>
      <c r="F371" s="216"/>
    </row>
    <row r="372" spans="1:6" x14ac:dyDescent="0.2">
      <c r="A372" s="255"/>
      <c r="B372" s="255"/>
      <c r="C372" s="255"/>
      <c r="D372" s="255"/>
      <c r="E372" s="255"/>
      <c r="F372" s="216"/>
    </row>
    <row r="373" spans="1:6" x14ac:dyDescent="0.2">
      <c r="A373" s="255"/>
      <c r="B373" s="255"/>
      <c r="C373" s="255"/>
      <c r="D373" s="255"/>
      <c r="E373" s="255"/>
      <c r="F373" s="216"/>
    </row>
    <row r="374" spans="1:6" x14ac:dyDescent="0.2">
      <c r="A374" s="255"/>
      <c r="B374" s="255"/>
      <c r="C374" s="255"/>
      <c r="D374" s="255"/>
      <c r="E374" s="255"/>
      <c r="F374" s="216"/>
    </row>
    <row r="375" spans="1:6" x14ac:dyDescent="0.2">
      <c r="A375" s="255"/>
      <c r="B375" s="255"/>
      <c r="C375" s="255"/>
      <c r="D375" s="255"/>
      <c r="E375" s="255"/>
      <c r="F375" s="216"/>
    </row>
    <row r="376" spans="1:6" x14ac:dyDescent="0.2">
      <c r="A376" s="255"/>
      <c r="B376" s="255"/>
      <c r="C376" s="255"/>
      <c r="D376" s="255"/>
      <c r="E376" s="255"/>
      <c r="F376" s="216"/>
    </row>
  </sheetData>
  <autoFilter ref="A2:AL334" xr:uid="{00000000-0009-0000-0000-000009000000}"/>
  <sortState xmlns:xlrd2="http://schemas.microsoft.com/office/spreadsheetml/2017/richdata2" ref="AH3:AL212">
    <sortCondition ref="AJ3:AJ212"/>
  </sortState>
  <conditionalFormatting sqref="C4:C237">
    <cfRule type="duplicateValues" dxfId="11" priority="5"/>
  </conditionalFormatting>
  <conditionalFormatting sqref="C238:C335">
    <cfRule type="duplicateValues" dxfId="10" priority="4"/>
  </conditionalFormatting>
  <conditionalFormatting sqref="F3 F336:F376">
    <cfRule type="containsText" dxfId="9" priority="15" operator="containsText" text="TRUE">
      <formula>NOT(ISERROR(SEARCH("TRUE",F3)))</formula>
    </cfRule>
  </conditionalFormatting>
  <conditionalFormatting sqref="N4:N58">
    <cfRule type="duplicateValues" dxfId="8" priority="3"/>
  </conditionalFormatting>
  <conditionalFormatting sqref="N59:N79">
    <cfRule type="duplicateValues" dxfId="7" priority="41"/>
  </conditionalFormatting>
  <conditionalFormatting sqref="O3 O80">
    <cfRule type="containsText" dxfId="6" priority="12" operator="containsText" text="TRUE">
      <formula>NOT(ISERROR(SEARCH("TRUE",O3)))</formula>
    </cfRule>
  </conditionalFormatting>
  <conditionalFormatting sqref="V4:V79">
    <cfRule type="cellIs" dxfId="5" priority="7" operator="equal">
      <formula>TRUE</formula>
    </cfRule>
  </conditionalFormatting>
  <conditionalFormatting sqref="W3 W104:W123">
    <cfRule type="containsText" dxfId="4" priority="11" operator="containsText" text="TRUE">
      <formula>NOT(ISERROR(SEARCH("TRUE",W3)))</formula>
    </cfRule>
  </conditionalFormatting>
  <conditionalFormatting sqref="Y4:Y103">
    <cfRule type="duplicateValues" dxfId="3" priority="43"/>
  </conditionalFormatting>
  <conditionalFormatting sqref="AG4:AG104 K4:K334">
    <cfRule type="cellIs" dxfId="2" priority="8" operator="equal">
      <formula>TRUE</formula>
    </cfRule>
  </conditionalFormatting>
  <conditionalFormatting sqref="AU3:AU183">
    <cfRule type="cellIs" dxfId="1" priority="10" operator="greaterThan">
      <formula>0</formula>
    </cfRule>
  </conditionalFormatting>
  <conditionalFormatting sqref="AU4:AU183">
    <cfRule type="cellIs" dxfId="0" priority="9" operator="notEqual">
      <formula>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2023-06-27T18:17:42Z</cp:lastPrinted>
  <dcterms:created xsi:type="dcterms:W3CDTF">1997-12-04T19:04:30Z</dcterms:created>
  <dcterms:modified xsi:type="dcterms:W3CDTF">2024-12-20T19:24:10Z</dcterms:modified>
</cp:coreProperties>
</file>