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23914145-EF0A-4D0E-BE0F-3F3D40AA0B80}"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17" l="1"/>
  <c r="E9" i="17"/>
  <c r="E17" i="17"/>
  <c r="F503"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 i="14"/>
  <c r="G589" i="1"/>
  <c r="H589" i="1"/>
  <c r="D39" i="14" s="1"/>
  <c r="I37" i="14" s="1"/>
  <c r="F589" i="1"/>
  <c r="P2" i="14" l="1"/>
  <c r="O2" i="14"/>
  <c r="Q45" i="14"/>
  <c r="P45" i="14"/>
  <c r="O45" i="14"/>
  <c r="M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34" i="14" l="1"/>
  <c r="D34" i="14"/>
  <c r="E21" i="14"/>
  <c r="D21" i="14"/>
  <c r="G36" i="13" l="1"/>
  <c r="G29" i="13"/>
  <c r="B22" i="12" l="1"/>
  <c r="F88" i="2" l="1"/>
  <c r="E88" i="2"/>
  <c r="D88" i="2"/>
  <c r="C88" i="2"/>
  <c r="I163" i="1"/>
  <c r="H163" i="1"/>
  <c r="G163" i="1"/>
  <c r="F163" i="1"/>
  <c r="H88" i="2" l="1"/>
  <c r="B31" i="16"/>
  <c r="B27" i="16"/>
  <c r="B9" i="16"/>
  <c r="B5" i="16"/>
  <c r="F44" i="14" l="1"/>
  <c r="F41" i="14" l="1"/>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25" i="14" l="1"/>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G19" i="13"/>
  <c r="H19" i="13"/>
  <c r="L254" i="1"/>
  <c r="H29" i="13"/>
  <c r="D29" i="13" s="1"/>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L335" i="1"/>
  <c r="L336" i="1"/>
  <c r="L261" i="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I112" i="1" s="1"/>
  <c r="J111" i="1"/>
  <c r="F121" i="1"/>
  <c r="F136" i="1"/>
  <c r="G121" i="1"/>
  <c r="G136" i="1"/>
  <c r="H121" i="1"/>
  <c r="H136" i="1"/>
  <c r="H140" i="1" s="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46" i="1"/>
  <c r="H653" i="1"/>
  <c r="G654" i="1"/>
  <c r="H654" i="1"/>
  <c r="H655" i="1"/>
  <c r="H656" i="1"/>
  <c r="H72" i="2" l="1"/>
  <c r="I170" i="1"/>
  <c r="N40" i="14"/>
  <c r="N45" i="14" s="1"/>
  <c r="J112" i="1"/>
  <c r="L40" i="14"/>
  <c r="L45" i="14" s="1"/>
  <c r="K40" i="14"/>
  <c r="K45" i="14" s="1"/>
  <c r="J652" i="1"/>
  <c r="E111" i="2"/>
  <c r="C32" i="10"/>
  <c r="C125" i="2"/>
  <c r="C13" i="10"/>
  <c r="C112" i="2"/>
  <c r="H112" i="2" s="1"/>
  <c r="G477" i="1"/>
  <c r="B33" i="16" s="1"/>
  <c r="C85" i="2"/>
  <c r="H69" i="2"/>
  <c r="H30" i="2"/>
  <c r="H28" i="2"/>
  <c r="H25" i="2"/>
  <c r="H17" i="2"/>
  <c r="J140" i="1"/>
  <c r="E124" i="2"/>
  <c r="G662" i="1"/>
  <c r="G651" i="1"/>
  <c r="J651" i="1" s="1"/>
  <c r="G409" i="1"/>
  <c r="H646" i="1" s="1"/>
  <c r="J646" i="1" s="1"/>
  <c r="H137" i="2"/>
  <c r="H102" i="2"/>
  <c r="H100" i="2"/>
  <c r="H98" i="2"/>
  <c r="H73" i="2"/>
  <c r="H23" i="2"/>
  <c r="H15" i="2"/>
  <c r="H11" i="2"/>
  <c r="H143" i="2"/>
  <c r="H38" i="2"/>
  <c r="H43" i="2"/>
  <c r="H47" i="2"/>
  <c r="H96" i="2"/>
  <c r="H80" i="2"/>
  <c r="H77" i="2"/>
  <c r="C119" i="2"/>
  <c r="D144" i="2"/>
  <c r="H89" i="2"/>
  <c r="H59" i="2"/>
  <c r="H34" i="2"/>
  <c r="H94" i="2"/>
  <c r="H29" i="2"/>
  <c r="H27" i="2"/>
  <c r="H24" i="2"/>
  <c r="H12" i="2"/>
  <c r="H8" i="2"/>
  <c r="K36" i="14"/>
  <c r="K37" i="14" s="1"/>
  <c r="K2" i="14"/>
  <c r="K3" i="14" s="1"/>
  <c r="D18" i="13"/>
  <c r="C18" i="13" s="1"/>
  <c r="D15" i="13"/>
  <c r="C15" i="13" s="1"/>
  <c r="C12" i="10"/>
  <c r="C120" i="2"/>
  <c r="H120" i="2" s="1"/>
  <c r="H125" i="2"/>
  <c r="H101" i="2"/>
  <c r="H99" i="2"/>
  <c r="H79" i="2"/>
  <c r="H76" i="2"/>
  <c r="H58" i="2"/>
  <c r="H113" i="2"/>
  <c r="H132" i="2"/>
  <c r="H36" i="2"/>
  <c r="H44" i="2"/>
  <c r="H48" i="2"/>
  <c r="H477" i="1"/>
  <c r="H625" i="1" s="1"/>
  <c r="J625" i="1" s="1"/>
  <c r="H97" i="2"/>
  <c r="H93" i="2"/>
  <c r="H87" i="2"/>
  <c r="H61" i="2"/>
  <c r="H26" i="2"/>
  <c r="H22" i="2"/>
  <c r="I409" i="1"/>
  <c r="H35" i="2"/>
  <c r="H13" i="2"/>
  <c r="H9"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40" i="14" s="1"/>
  <c r="E45" i="14" s="1"/>
  <c r="E122" i="2"/>
  <c r="L291" i="1"/>
  <c r="L615" i="1"/>
  <c r="K599" i="1"/>
  <c r="G648" i="1" s="1"/>
  <c r="K572" i="1"/>
  <c r="L571" i="1"/>
  <c r="H572" i="1"/>
  <c r="L566" i="1"/>
  <c r="I572" i="1"/>
  <c r="K546" i="1"/>
  <c r="H52" i="1"/>
  <c r="H620" i="1" s="1"/>
  <c r="J620" i="1" s="1"/>
  <c r="C114" i="2"/>
  <c r="H114" i="2" s="1"/>
  <c r="G112" i="1"/>
  <c r="B10" i="16" s="1"/>
  <c r="E118" i="2"/>
  <c r="L248" i="1"/>
  <c r="D40" i="14" s="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45" i="14" l="1"/>
  <c r="F40" i="14"/>
  <c r="F38" i="14" s="1"/>
  <c r="H42" i="2"/>
  <c r="I663" i="1"/>
  <c r="H123" i="2"/>
  <c r="H624" i="1"/>
  <c r="J624" i="1" s="1"/>
  <c r="H122" i="2"/>
  <c r="H111" i="2"/>
  <c r="H119" i="2"/>
  <c r="F194" i="1"/>
  <c r="G628" i="1" s="1"/>
  <c r="J628" i="1" s="1"/>
  <c r="H103" i="2"/>
  <c r="E51" i="2"/>
  <c r="D51" i="2"/>
  <c r="H21" i="2"/>
  <c r="I662" i="1"/>
  <c r="L572" i="1"/>
  <c r="H31" i="2"/>
  <c r="H62" i="2"/>
  <c r="H18" i="2"/>
  <c r="H16" i="2"/>
  <c r="H134" i="2"/>
  <c r="H50" i="2"/>
  <c r="H91" i="2"/>
  <c r="D128" i="2"/>
  <c r="D145" i="2" s="1"/>
  <c r="H127" i="2"/>
  <c r="H57" i="2"/>
  <c r="C81" i="2"/>
  <c r="H81" i="2" s="1"/>
  <c r="H78" i="2"/>
  <c r="H85"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104" i="2" s="1"/>
  <c r="H63" i="2"/>
  <c r="C144" i="2"/>
  <c r="C145" i="2" s="1"/>
  <c r="H141"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<sst xmlns="http://schemas.openxmlformats.org/spreadsheetml/2006/main" count="6642" uniqueCount="1844">
  <si>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</si>
  <si>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</si>
  <si>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</si>
  <si>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</si>
  <si>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</si>
  <si>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</si>
  <si>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</si>
  <si>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</si>
  <si>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</si>
  <si>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</si>
  <si>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</si>
  <si>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</si>
  <si>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</si>
  <si>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</si>
  <si>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</si>
  <si>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</si>
  <si>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</si>
  <si>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</si>
  <si>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</si>
  <si>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</si>
  <si>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</si>
  <si>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</si>
  <si>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</si>
  <si>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</si>
  <si>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</si>
  <si>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</si>
  <si>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</si>
  <si>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</si>
  <si>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</si>
  <si>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</si>
  <si>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</si>
  <si>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</si>
  <si>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</si>
  <si>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</si>
  <si>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</si>
  <si>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</si>
  <si>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</si>
  <si>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</si>
  <si>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</si>
  <si>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</si>
  <si>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</si>
  <si>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</si>
  <si>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</si>
  <si>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</si>
  <si>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</si>
  <si>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</si>
  <si>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</si>
  <si>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</si>
  <si>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</si>
  <si>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</si>
  <si>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</si>
  <si>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</si>
  <si>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</si>
  <si>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</si>
  <si>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</si>
  <si>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</si>
  <si>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</si>
  <si>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</si>
  <si>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</si>
  <si>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</si>
  <si>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</si>
  <si>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</si>
  <si>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</si>
  <si>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</si>
  <si>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</si>
  <si>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</si>
  <si>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</si>
  <si>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</si>
  <si>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</si>
  <si>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</si>
  <si>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</si>
  <si>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</si>
  <si>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</si>
  <si>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</si>
  <si>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</si>
  <si>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</si>
  <si>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</si>
  <si>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</si>
  <si>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</si>
  <si>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</si>
  <si>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</si>
  <si>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</si>
  <si>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</si>
  <si>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</si>
  <si>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</si>
  <si>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</si>
  <si>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</si>
  <si>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</si>
  <si>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</si>
  <si>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</si>
  <si>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</si>
  <si>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</si>
  <si>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</si>
  <si>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</si>
  <si>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</si>
  <si>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</si>
  <si>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</si>
  <si>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</si>
  <si>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</si>
  <si>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</si>
  <si>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</si>
  <si>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</si>
  <si>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</si>
  <si>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</si>
  <si>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</si>
  <si>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</si>
  <si>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</si>
  <si>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</si>
  <si>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</si>
  <si>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</si>
  <si>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</si>
  <si>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</si>
  <si>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</si>
  <si>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</si>
  <si>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</si>
  <si>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</si>
  <si>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</si>
  <si>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</si>
  <si>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</si>
  <si>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</si>
  <si>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</si>
  <si>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</si>
  <si>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</si>
  <si>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</si>
  <si>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</si>
  <si>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</si>
  <si>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</si>
  <si>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</si>
  <si>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</si>
  <si>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</si>
  <si>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</si>
  <si>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</si>
  <si>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</si>
  <si>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</si>
  <si>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</si>
  <si>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</si>
  <si>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</si>
  <si>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</si>
  <si>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</si>
  <si>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</si>
  <si>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</si>
  <si>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</si>
  <si>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</si>
  <si>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</si>
  <si>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</si>
  <si>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</si>
  <si>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</si>
  <si>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</si>
  <si>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</si>
  <si>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</si>
  <si>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</si>
  <si>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</si>
  <si>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</si>
  <si>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</si>
  <si>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</si>
  <si>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</si>
  <si>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</si>
  <si>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</si>
  <si>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</si>
  <si>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</si>
  <si>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</si>
  <si>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</si>
  <si>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</si>
  <si>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</si>
  <si>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</si>
  <si>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</si>
  <si>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</si>
  <si>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</si>
  <si>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</si>
  <si>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</si>
  <si>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</si>
  <si>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</si>
  <si>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</si>
  <si>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</si>
  <si>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</si>
  <si>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</si>
  <si>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</si>
  <si>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</si>
  <si>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</si>
  <si>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</si>
  <si>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</si>
  <si>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</si>
  <si>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</si>
  <si>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</si>
  <si>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</si>
  <si>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</si>
  <si>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</si>
  <si>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</si>
  <si>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</si>
  <si>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</si>
  <si>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</si>
  <si>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</si>
  <si>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</si>
  <si>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</si>
  <si>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</si>
  <si>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</si>
  <si>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</si>
  <si>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</si>
  <si>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</si>
  <si>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</si>
  <si>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</si>
  <si>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</si>
  <si>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</si>
  <si>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</si>
  <si>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</si>
  <si>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</si>
  <si>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</si>
  <si>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</si>
  <si>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</si>
  <si>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</si>
  <si>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</si>
  <si>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</si>
  <si>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</si>
  <si>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</si>
  <si>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</si>
  <si>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</si>
  <si>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</si>
  <si>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</si>
  <si>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</si>
  <si>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</si>
  <si>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</si>
  <si>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</si>
  <si>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</si>
  <si>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</si>
  <si>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</si>
  <si>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</si>
  <si>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</si>
  <si>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</si>
  <si>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</si>
  <si>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</si>
  <si>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</si>
  <si>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</si>
  <si>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</si>
  <si>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</si>
  <si>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</si>
  <si>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</si>
  <si>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</si>
  <si>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</si>
  <si>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</si>
  <si>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</si>
  <si>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</si>
  <si>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</si>
  <si>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</si>
  <si>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</si>
  <si>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</si>
  <si>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</si>
  <si>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</si>
  <si>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</si>
  <si>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</si>
  <si>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</si>
  <si>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</si>
  <si>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</si>
  <si>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</si>
  <si>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</si>
  <si>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</si>
  <si>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</si>
  <si>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</si>
  <si>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</si>
  <si>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</si>
  <si>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</si>
  <si>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</si>
  <si>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</si>
  <si>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</si>
  <si>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</si>
  <si>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</si>
  <si>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</si>
  <si>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</si>
  <si>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</si>
  <si>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</si>
  <si>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</si>
  <si>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</si>
  <si>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</si>
  <si>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</si>
  <si>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</si>
  <si>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</si>
  <si>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</si>
  <si>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</si>
  <si>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</si>
  <si>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</si>
  <si>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</si>
  <si>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</si>
  <si>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</si>
  <si>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</si>
  <si>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</si>
  <si>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</si>
  <si>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</si>
  <si>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</si>
  <si>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</si>
  <si>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</si>
  <si>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</si>
  <si>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</si>
  <si>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</si>
  <si>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</si>
  <si>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</si>
  <si>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</si>
  <si>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</si>
  <si>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</si>
  <si>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</si>
  <si>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</si>
  <si>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</si>
  <si>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</si>
  <si>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</si>
  <si>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</si>
  <si>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</si>
  <si>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</si>
  <si>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</si>
  <si>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</si>
  <si>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</si>
  <si>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</si>
  <si>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</si>
  <si>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</si>
  <si>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</si>
  <si>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</si>
  <si>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</si>
  <si>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</si>
  <si>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</si>
  <si>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</si>
  <si>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</si>
  <si>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</si>
  <si>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</si>
  <si>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</si>
  <si>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</si>
  <si>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</si>
  <si>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</si>
  <si>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</si>
  <si>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</si>
  <si>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</si>
  <si>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</si>
  <si>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</si>
  <si>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</si>
  <si>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</si>
  <si>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</si>
  <si>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</si>
  <si>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</si>
  <si>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</si>
  <si>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</si>
  <si>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</si>
  <si>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</si>
  <si>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</si>
  <si>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</si>
  <si>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</si>
  <si>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</si>
  <si>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</si>
  <si>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</si>
  <si>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</si>
  <si>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</si>
  <si>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</si>
  <si>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</si>
  <si>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</si>
  <si>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</si>
  <si>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</si>
  <si>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</si>
  <si>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</si>
  <si>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</si>
  <si>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</si>
  <si>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</si>
  <si>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</si>
  <si>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</si>
  <si>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</si>
  <si>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</si>
  <si>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</si>
  <si>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</si>
  <si>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</si>
  <si>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</si>
  <si>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</si>
  <si>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</si>
  <si>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</si>
  <si>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</si>
  <si>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</si>
  <si>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</si>
  <si>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</si>
  <si>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</si>
  <si>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</si>
  <si>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</si>
  <si>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</si>
  <si>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</si>
  <si>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</si>
  <si>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</si>
  <si>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</si>
  <si>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</si>
  <si>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</si>
  <si>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</si>
  <si>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</si>
  <si>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</si>
  <si>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</si>
  <si>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</si>
  <si>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</si>
  <si>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</si>
  <si>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</si>
  <si>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</si>
  <si>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</si>
  <si>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</si>
  <si>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</si>
  <si>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</si>
  <si>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</si>
  <si>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</si>
  <si>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</si>
  <si>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</si>
  <si>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</si>
  <si>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</si>
  <si>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</si>
  <si>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</si>
  <si>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</si>
  <si>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</si>
  <si>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</si>
  <si>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</si>
  <si>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</si>
  <si>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</si>
  <si>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</si>
  <si>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</si>
  <si>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</si>
  <si>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</si>
  <si>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</si>
  <si>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</si>
  <si>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</si>
  <si>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</si>
  <si>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</si>
  <si>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</si>
  <si>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</si>
  <si>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</si>
  <si>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</si>
  <si>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</si>
  <si>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</si>
  <si>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</si>
  <si>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</si>
  <si>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</si>
  <si>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</si>
  <si>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</si>
  <si>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</si>
  <si>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</si>
  <si>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</si>
  <si>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</si>
  <si>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</si>
  <si>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</si>
  <si>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</si>
  <si>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</si>
  <si>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</si>
  <si>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</si>
  <si>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</si>
  <si>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</si>
  <si>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</si>
  <si>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</si>
  <si>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</si>
  <si>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</si>
  <si>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</si>
  <si>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</si>
  <si>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</si>
  <si>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</si>
  <si>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</si>
  <si>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</si>
  <si>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</si>
  <si>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</si>
  <si>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</si>
  <si>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</si>
  <si>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</si>
  <si>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</si>
  <si>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</si>
  <si>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</si>
  <si>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</si>
  <si>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</si>
  <si>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</si>
  <si>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</si>
  <si>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</si>
  <si>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</si>
  <si>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</si>
  <si>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</si>
  <si>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</si>
  <si>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</si>
  <si>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</si>
  <si>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</si>
  <si>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</si>
  <si>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</si>
  <si>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</si>
  <si>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</si>
  <si>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</si>
  <si>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</si>
  <si>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</si>
  <si>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</si>
  <si>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</si>
  <si>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</si>
  <si>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</si>
  <si>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</si>
  <si>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</si>
  <si>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</si>
  <si>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</si>
  <si>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</si>
  <si>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</si>
  <si>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</si>
  <si>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</si>
  <si>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</si>
  <si>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</si>
  <si>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</si>
  <si>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</si>
  <si>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</si>
  <si>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</si>
  <si>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</si>
  <si>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</si>
  <si>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</si>
  <si>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</si>
  <si>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</si>
  <si>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</si>
  <si>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</si>
  <si>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</si>
  <si>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</si>
  <si>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</si>
  <si>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</si>
  <si>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</si>
  <si>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</si>
  <si>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</si>
  <si>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</si>
  <si>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</si>
  <si>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</si>
  <si>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</si>
  <si>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</si>
  <si>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</si>
  <si>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</si>
  <si>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</si>
  <si>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</si>
  <si>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</si>
  <si>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</si>
  <si>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</si>
  <si>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</si>
  <si>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</si>
  <si>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</si>
  <si>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</si>
  <si>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</si>
  <si>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</si>
  <si>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</si>
  <si>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</si>
  <si>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</si>
  <si>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</si>
  <si>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</si>
  <si>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</si>
  <si>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</si>
  <si>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</si>
  <si>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</si>
  <si>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</si>
  <si>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</si>
  <si>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</si>
  <si>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</si>
  <si>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</si>
  <si>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</si>
  <si>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</si>
  <si>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</si>
  <si>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</si>
  <si>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</si>
  <si>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</si>
  <si>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</si>
  <si>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</si>
  <si>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</si>
  <si>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</si>
  <si>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</si>
  <si>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</si>
  <si>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</si>
  <si>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</si>
  <si>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</si>
  <si>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</si>
  <si>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</si>
  <si>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</si>
  <si>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</si>
  <si>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</si>
  <si>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</si>
  <si>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</si>
  <si>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</si>
  <si>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</si>
  <si>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</si>
  <si>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</si>
  <si>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</si>
  <si>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</si>
  <si>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</si>
  <si>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</si>
  <si>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</si>
  <si>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</si>
  <si>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</si>
  <si>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</si>
  <si>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</si>
  <si>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</si>
  <si>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</si>
  <si>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</si>
  <si>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</si>
  <si>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</si>
  <si>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</si>
  <si>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</si>
  <si>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</si>
  <si>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</si>
  <si>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</si>
  <si>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</si>
  <si>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</si>
  <si>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</si>
  <si>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</si>
  <si>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</si>
  <si>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</si>
  <si>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</si>
  <si>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</si>
  <si>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</si>
  <si>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</si>
  <si>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</si>
  <si>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</si>
  <si>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</si>
  <si>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</si>
  <si>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</si>
  <si>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</si>
  <si>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</si>
  <si>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</si>
  <si>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</si>
  <si>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</si>
  <si>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</si>
  <si>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</si>
  <si>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</si>
  <si>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</si>
  <si>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</si>
  <si>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</si>
  <si>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</si>
  <si>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</si>
  <si>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</si>
  <si>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</si>
  <si>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</si>
  <si>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</si>
  <si>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</si>
  <si>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</si>
  <si>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</si>
  <si>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</si>
  <si>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</si>
  <si>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</si>
  <si>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</si>
  <si>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</si>
  <si>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</si>
  <si>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</si>
  <si>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</si>
  <si>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</si>
  <si>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</si>
  <si>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</si>
  <si>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</si>
  <si>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</si>
  <si>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</si>
  <si>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</si>
  <si>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</si>
  <si>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</si>
  <si>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</si>
  <si>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</si>
  <si>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</si>
  <si>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</si>
  <si>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</si>
  <si>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</si>
  <si>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</si>
  <si>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</si>
  <si>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</si>
  <si>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</si>
  <si>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</si>
  <si>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</si>
  <si>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</si>
  <si>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</si>
  <si>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</si>
  <si>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</si>
  <si>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</si>
  <si>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</si>
  <si>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</si>
  <si>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</si>
  <si>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</si>
  <si>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</si>
  <si>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</si>
  <si>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</si>
  <si>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</si>
  <si>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</si>
  <si>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</si>
  <si>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</si>
  <si>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</si>
  <si>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</si>
  <si>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</si>
  <si>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</si>
  <si>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</si>
  <si>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</si>
  <si>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</si>
  <si>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</si>
  <si>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</si>
  <si>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</si>
  <si>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</si>
  <si>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</si>
  <si>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</si>
  <si>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</si>
  <si>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</si>
  <si>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</si>
  <si>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</si>
  <si>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</si>
  <si>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</si>
  <si>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</si>
  <si>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</si>
  <si>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</si>
  <si>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</si>
  <si>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</si>
  <si>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</si>
  <si>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</si>
  <si>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</si>
  <si>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</si>
  <si>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</si>
  <si>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</si>
  <si>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</si>
  <si>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</si>
  <si>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</si>
  <si>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</si>
  <si>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</si>
  <si>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</si>
  <si>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</si>
  <si>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</si>
  <si>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</si>
  <si>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</si>
  <si>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</si>
  <si>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</si>
  <si>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</si>
  <si>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</si>
  <si>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</si>
  <si>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</si>
  <si>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</si>
  <si>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</si>
  <si>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</si>
  <si>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</si>
  <si>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</si>
  <si>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</si>
  <si>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</si>
  <si>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</si>
  <si>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</si>
  <si>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</si>
  <si>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</si>
  <si>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</si>
  <si>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</si>
  <si>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</si>
  <si>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</si>
  <si>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</si>
  <si>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</si>
  <si>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</si>
  <si>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</si>
  <si>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</si>
  <si>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</si>
  <si>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</si>
  <si>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</si>
  <si>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</si>
  <si>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</si>
  <si>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</si>
  <si>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</si>
  <si>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</si>
  <si>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</si>
  <si>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</si>
  <si>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</si>
  <si>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</si>
  <si>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</si>
  <si>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</si>
  <si>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</si>
  <si>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</si>
  <si>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</si>
  <si>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</si>
  <si>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</si>
  <si>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</si>
  <si>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</si>
  <si>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</si>
  <si>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</si>
  <si>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</si>
  <si>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</si>
  <si>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</si>
  <si>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</si>
  <si>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</si>
  <si>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</si>
  <si>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</si>
  <si>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</si>
  <si>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</si>
  <si>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</si>
  <si>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</si>
  <si>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</si>
  <si>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</si>
  <si>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</si>
  <si>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</si>
  <si>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</si>
  <si>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</si>
  <si>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</si>
  <si>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</si>
  <si>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</si>
  <si>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</si>
  <si>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</si>
  <si>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</si>
  <si>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</si>
  <si>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</si>
  <si>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</si>
  <si>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</si>
  <si>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</si>
  <si>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</si>
  <si>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</si>
  <si>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</si>
  <si>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</si>
  <si>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</si>
  <si>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</si>
  <si>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</si>
  <si>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</si>
  <si>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</si>
  <si>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</si>
  <si>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</si>
  <si>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</si>
  <si>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</si>
  <si>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</si>
  <si>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</si>
  <si>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</si>
  <si>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</si>
  <si>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</si>
  <si>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</si>
  <si>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</si>
  <si>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</si>
  <si>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</si>
  <si>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</si>
  <si>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</si>
  <si>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</si>
  <si>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</si>
  <si>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</si>
  <si>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</si>
  <si>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</si>
  <si>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</si>
  <si>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</si>
  <si>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</si>
  <si>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</si>
  <si>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</si>
  <si>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</si>
  <si>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</si>
  <si>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</si>
  <si>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</si>
  <si>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</si>
  <si>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</si>
  <si>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</si>
  <si>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</si>
  <si>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</si>
  <si>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</si>
  <si>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</si>
  <si>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</si>
  <si>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</si>
  <si>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</si>
  <si>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</si>
  <si>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</si>
  <si>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</si>
  <si>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</si>
  <si>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</si>
  <si>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</si>
  <si>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</si>
  <si>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</si>
  <si>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</si>
  <si>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</si>
  <si>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</si>
  <si>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</si>
  <si>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</si>
  <si>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</si>
  <si>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</si>
  <si>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</si>
  <si>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</si>
  <si>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</si>
  <si>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</si>
  <si>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</si>
  <si>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</si>
  <si>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</si>
  <si>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</si>
  <si>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</si>
  <si>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</si>
  <si>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</si>
  <si>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</si>
  <si>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</si>
  <si>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</si>
  <si>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</si>
  <si>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</si>
  <si>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</si>
  <si>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</si>
  <si>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</si>
  <si>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</si>
  <si>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</si>
  <si>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</si>
  <si>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</si>
  <si>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</si>
  <si>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</si>
  <si>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</si>
  <si>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</si>
  <si>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</si>
  <si>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</si>
  <si>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</si>
  <si>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</si>
  <si>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</si>
  <si>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</si>
  <si>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</si>
  <si>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</si>
  <si>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</si>
  <si>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</si>
  <si>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</si>
  <si>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</si>
  <si>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</si>
  <si>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</si>
  <si>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</si>
  <si>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</si>
  <si>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</si>
  <si>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</si>
  <si>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</si>
  <si>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</si>
  <si>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</si>
  <si>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</si>
  <si>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</si>
  <si>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</si>
  <si>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</si>
  <si>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</si>
  <si>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</si>
  <si>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</si>
  <si>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</si>
  <si>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</si>
  <si>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</si>
  <si>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</si>
  <si>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</si>
  <si>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</si>
  <si>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</si>
  <si>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</si>
  <si>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</si>
  <si>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</si>
  <si>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</si>
  <si>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</si>
  <si>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</si>
  <si>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</si>
  <si>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</si>
  <si>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</si>
  <si>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</si>
  <si>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</si>
  <si>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</si>
  <si>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</si>
  <si>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</si>
  <si>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</si>
  <si>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</si>
  <si>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</si>
  <si>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</si>
  <si>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</si>
  <si>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</si>
  <si>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</si>
  <si>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</si>
  <si>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</si>
  <si>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</si>
  <si>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</si>
  <si>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</si>
  <si>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</si>
  <si>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</si>
  <si>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</si>
  <si>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</si>
  <si>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</si>
  <si>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</si>
  <si>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</si>
  <si>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</si>
  <si>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</si>
  <si>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</si>
  <si>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</si>
  <si>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</si>
  <si>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</si>
  <si>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</si>
  <si>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</si>
  <si>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</si>
  <si>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</si>
  <si>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</si>
  <si>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</si>
  <si>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</si>
  <si>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</si>
  <si>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</si>
  <si>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</si>
  <si>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</si>
  <si>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</si>
  <si>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</si>
  <si>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</si>
  <si>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</si>
  <si>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</si>
  <si>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</si>
  <si>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</si>
  <si>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</si>
  <si>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</si>
  <si>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</si>
  <si>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</si>
  <si>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</si>
  <si>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</si>
  <si>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</si>
  <si>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</si>
  <si>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</si>
  <si>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</si>
  <si>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</si>
  <si>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</si>
  <si>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</si>
  <si>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</si>
  <si>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</si>
  <si>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</si>
  <si>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</si>
  <si>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</si>
  <si>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</si>
  <si>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</si>
  <si>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</si>
  <si>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</si>
  <si>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</si>
  <si>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</si>
  <si>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</si>
  <si>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</si>
  <si>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</si>
  <si>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</si>
  <si>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</si>
  <si>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</si>
  <si>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</si>
  <si>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</si>
  <si>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</si>
  <si>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</si>
  <si>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</si>
  <si>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</si>
  <si>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</si>
  <si>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</si>
  <si>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</si>
  <si>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</si>
  <si>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</si>
  <si>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</si>
  <si>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</si>
  <si>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</si>
  <si>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</si>
  <si>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</si>
  <si>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</si>
  <si>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</si>
  <si>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</si>
  <si>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</si>
  <si>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</si>
  <si>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</si>
  <si>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</si>
  <si>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</si>
  <si>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</si>
  <si>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</si>
  <si>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</si>
  <si>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</si>
  <si>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</si>
  <si>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</si>
  <si>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</si>
  <si>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</si>
  <si>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</si>
  <si>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</si>
  <si>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</si>
  <si>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</si>
  <si>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</si>
  <si>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</si>
  <si>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</si>
  <si>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</si>
  <si>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</si>
  <si>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</si>
  <si>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</si>
  <si>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</si>
  <si>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</si>
  <si>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</si>
  <si>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</si>
  <si>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</si>
  <si>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</si>
  <si>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</si>
  <si>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</si>
  <si>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</si>
  <si>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</si>
  <si>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</si>
  <si>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</si>
  <si>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</si>
  <si>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</si>
  <si>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</si>
  <si>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</si>
  <si>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</si>
  <si>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</si>
  <si>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</si>
  <si>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</si>
  <si>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</si>
  <si>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</si>
  <si>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</si>
  <si>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</si>
  <si>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</si>
  <si>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</si>
  <si>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</si>
  <si>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</si>
  <si>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</si>
  <si>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</si>
  <si>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</si>
  <si>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</si>
  <si>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</si>
  <si>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</si>
  <si>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</si>
  <si>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</si>
  <si>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</si>
  <si>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</si>
  <si>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</si>
  <si>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</si>
  <si>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</si>
  <si>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</si>
  <si>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</si>
  <si>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</si>
  <si>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</si>
  <si>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</si>
  <si>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</si>
  <si>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</si>
  <si>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</si>
  <si>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</si>
  <si>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</si>
  <si>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</si>
  <si>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</si>
  <si>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</si>
  <si>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</si>
  <si>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</si>
  <si>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</si>
  <si>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</si>
  <si>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</si>
  <si>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</si>
  <si>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</si>
  <si>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</si>
  <si>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</si>
  <si>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</si>
  <si>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</si>
  <si>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</si>
  <si>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</si>
  <si>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</si>
  <si>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</si>
  <si>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</si>
  <si>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</si>
  <si>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</si>
  <si>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</si>
  <si>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</si>
  <si>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</si>
  <si>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</si>
  <si>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</si>
  <si>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</si>
  <si>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</si>
  <si>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</si>
  <si>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</si>
  <si>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</si>
  <si>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</si>
  <si>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</si>
  <si>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</si>
  <si>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</si>
  <si>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</si>
  <si>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</si>
  <si>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</si>
  <si>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</si>
  <si>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</si>
  <si>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</si>
  <si>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</si>
  <si>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</si>
  <si>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</si>
  <si>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</si>
  <si>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</si>
  <si>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</si>
  <si>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</si>
  <si>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</si>
  <si>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</si>
  <si>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</si>
  <si>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</si>
  <si>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</si>
  <si>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</si>
  <si>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</si>
  <si>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</si>
  <si>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</si>
  <si>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</si>
  <si>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</si>
  <si>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</si>
  <si>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</si>
  <si>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</si>
  <si>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</si>
  <si>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</si>
  <si>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</si>
  <si>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</si>
  <si>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</si>
  <si>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</si>
  <si>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</si>
  <si>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</si>
  <si>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</si>
  <si>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</si>
  <si>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</si>
  <si>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</si>
  <si>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</si>
  <si>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</si>
  <si>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</si>
  <si>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</si>
  <si>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</si>
  <si>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</si>
  <si>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</si>
  <si>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</si>
  <si>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</si>
  <si>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</si>
  <si>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</si>
  <si>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</si>
  <si>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</si>
  <si>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</si>
  <si>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</si>
  <si>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</si>
  <si>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</si>
  <si>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</si>
  <si>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</si>
  <si>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</si>
  <si>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</si>
  <si>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</si>
  <si>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</si>
  <si>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</si>
  <si>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</si>
  <si>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</si>
  <si>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</si>
  <si>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</si>
  <si>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</si>
  <si>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</si>
  <si>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</si>
  <si>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</si>
  <si>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</si>
  <si>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</si>
  <si>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</si>
  <si>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</si>
  <si>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</si>
  <si>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</si>
  <si>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</si>
  <si>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</si>
  <si>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</si>
  <si>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</si>
  <si>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</si>
  <si>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</si>
  <si>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</si>
  <si>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</si>
  <si>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</si>
  <si>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</si>
  <si>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</si>
  <si>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</si>
  <si>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</si>
  <si>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</si>
  <si>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</si>
  <si>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</si>
  <si>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</si>
  <si>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</si>
  <si>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</si>
  <si>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</si>
  <si>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</si>
  <si>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</si>
  <si>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</si>
  <si>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</si>
  <si>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</si>
  <si>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</si>
  <si>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</si>
  <si>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</si>
  <si>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</si>
  <si>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</si>
  <si>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</si>
  <si>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</si>
  <si>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</si>
  <si>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</si>
  <si>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</si>
  <si>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</si>
  <si>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</si>
  <si>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</si>
  <si>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</si>
  <si>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</si>
  <si>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</si>
  <si>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</si>
  <si>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</si>
  <si>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</si>
  <si>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</si>
  <si>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</si>
  <si>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</si>
  <si>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</si>
  <si>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</si>
  <si>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</si>
  <si>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</si>
  <si>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</si>
  <si>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</si>
  <si>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</si>
  <si>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</si>
  <si>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</si>
  <si>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</si>
  <si>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</si>
  <si>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</si>
  <si>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</si>
  <si>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</si>
  <si>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</si>
  <si>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</si>
  <si>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</si>
  <si>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</si>
  <si>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</si>
  <si>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</si>
  <si>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</si>
  <si>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</si>
  <si>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</si>
  <si>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</si>
  <si>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</si>
  <si>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</si>
  <si>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</si>
  <si>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</si>
  <si>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</si>
  <si>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</si>
  <si>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</si>
  <si>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</si>
  <si>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</si>
  <si>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</si>
  <si>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</si>
  <si>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</si>
  <si>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</si>
  <si>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</si>
  <si>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</si>
  <si>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</si>
  <si>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</si>
  <si>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</si>
  <si>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</si>
  <si>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</si>
  <si>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</si>
  <si>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</si>
  <si>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</si>
  <si>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</si>
  <si>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</si>
  <si>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</si>
  <si>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</si>
  <si>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</si>
  <si>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</si>
  <si>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</si>
  <si>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</si>
  <si>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</si>
  <si>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</si>
  <si>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</si>
  <si>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</si>
  <si>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</si>
  <si>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</si>
  <si>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</si>
  <si>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</si>
  <si>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</si>
  <si>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</si>
  <si>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</si>
  <si>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</si>
  <si>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</si>
  <si>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</si>
  <si>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</si>
  <si>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</si>
  <si>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</si>
  <si>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</si>
  <si>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</si>
  <si>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</si>
  <si>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</si>
  <si>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</si>
  <si>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</si>
  <si>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</si>
  <si>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</si>
  <si>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</si>
  <si>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</si>
  <si>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</si>
  <si>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</si>
  <si>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</si>
  <si>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</si>
  <si>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</si>
  <si>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</si>
  <si>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</si>
  <si>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</si>
  <si>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</si>
  <si>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</si>
  <si>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</si>
  <si>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</si>
  <si>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</si>
  <si>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</si>
  <si>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</si>
  <si>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</si>
  <si>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</si>
  <si>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</si>
  <si>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</si>
  <si>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</si>
  <si>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</si>
  <si>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</si>
  <si>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</si>
  <si>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</si>
  <si>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</si>
  <si>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</si>
  <si>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</si>
  <si>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</si>
  <si>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</si>
  <si>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</si>
  <si>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</si>
  <si>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</si>
  <si>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</si>
  <si>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</si>
  <si>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</si>
  <si>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</si>
  <si>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</si>
  <si>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</si>
  <si>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</si>
  <si>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</si>
  <si>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</si>
  <si>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</si>
  <si>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</si>
  <si>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</si>
  <si>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</si>
  <si>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</si>
  <si>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</si>
  <si>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</si>
  <si>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</si>
  <si>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</si>
  <si>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</si>
  <si>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</si>
  <si>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</si>
  <si>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</si>
  <si>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</si>
  <si>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</si>
  <si>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</si>
  <si>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</si>
  <si>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</si>
  <si>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</si>
  <si>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</si>
  <si>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</si>
  <si>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</si>
  <si>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</si>
  <si>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</si>
  <si>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</si>
  <si>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</si>
  <si>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</si>
  <si>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</si>
  <si>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</si>
  <si>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</si>
  <si>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</si>
  <si>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</si>
  <si>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</si>
  <si>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</si>
  <si>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</si>
  <si>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</si>
  <si>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</si>
  <si>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</si>
  <si>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</si>
  <si>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</si>
  <si>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</si>
  <si>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</si>
  <si>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</si>
  <si>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</si>
  <si>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</si>
  <si>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</si>
  <si>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</si>
  <si>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</si>
  <si>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</si>
  <si>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</si>
  <si>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</si>
  <si>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</si>
  <si>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</si>
  <si>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</si>
  <si>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</si>
  <si>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</si>
  <si>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</si>
  <si>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</si>
  <si>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</si>
  <si>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</si>
  <si>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</si>
  <si>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</si>
  <si>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</si>
  <si>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</si>
  <si>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</si>
  <si>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</si>
  <si>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</si>
  <si>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</si>
  <si>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</si>
  <si>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</si>
  <si>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</si>
  <si>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</si>
  <si>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</si>
  <si>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</si>
  <si>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</si>
  <si>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</si>
  <si>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</si>
  <si>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</si>
  <si>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</si>
  <si>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</si>
  <si>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</si>
  <si>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</si>
  <si>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</si>
  <si>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</si>
  <si>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</si>
  <si>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</si>
  <si>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</si>
  <si>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</si>
  <si>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</si>
  <si>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</si>
  <si>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</si>
  <si>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</si>
  <si>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</si>
  <si>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</si>
  <si>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</si>
  <si>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</si>
  <si>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</si>
  <si>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</si>
  <si>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</si>
  <si>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</si>
  <si>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</si>
  <si>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</si>
  <si>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</si>
  <si>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</si>
  <si>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</si>
  <si>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</si>
  <si>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</si>
  <si>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</si>
  <si>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</si>
  <si>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</si>
  <si>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</si>
  <si>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</si>
  <si>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</si>
  <si>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</si>
  <si>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</si>
  <si>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</si>
  <si>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</si>
  <si>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</si>
  <si>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</si>
  <si>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</si>
  <si>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</si>
  <si>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</si>
  <si>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</si>
  <si>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</si>
  <si>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</si>
  <si>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</si>
  <si>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</si>
  <si>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</si>
  <si>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</si>
  <si>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</si>
  <si>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</si>
  <si>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</si>
  <si>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</si>
  <si>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</si>
  <si>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</si>
  <si>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</si>
  <si>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</si>
  <si>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</si>
  <si>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</si>
  <si>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</si>
  <si>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</si>
  <si>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</si>
  <si>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</si>
  <si>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</si>
  <si>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</si>
  <si>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</si>
  <si>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</si>
  <si>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</si>
  <si>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</si>
  <si>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</si>
  <si>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</si>
  <si>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</si>
  <si>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</si>
  <si>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</si>
  <si>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</si>
  <si>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</si>
  <si>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</si>
  <si>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</si>
  <si>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</si>
  <si>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</si>
  <si>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</si>
  <si>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</si>
  <si>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</si>
  <si>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</si>
  <si>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</si>
  <si>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</si>
  <si>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</si>
  <si>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</si>
  <si>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</si>
  <si>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</si>
  <si>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</si>
  <si>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</si>
  <si>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</si>
  <si>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</si>
  <si>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</si>
  <si>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</si>
  <si>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</si>
  <si>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</si>
  <si>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</si>
  <si>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</si>
  <si>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</si>
  <si>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</si>
  <si>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</si>
  <si>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</si>
  <si>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</si>
  <si>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</si>
  <si>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</si>
  <si>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</si>
  <si>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</si>
  <si>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</si>
  <si>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</si>
  <si>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</si>
  <si>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</si>
  <si>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</si>
  <si>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</si>
  <si>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</si>
  <si>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</si>
  <si>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</si>
  <si>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</si>
  <si>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</si>
  <si>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</si>
  <si>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</si>
  <si>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</si>
  <si>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</si>
  <si>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</si>
  <si>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</si>
  <si>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</si>
  <si>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</si>
  <si>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</si>
  <si>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</si>
  <si>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</si>
  <si>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</si>
  <si>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</si>
  <si>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</si>
  <si>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</si>
  <si>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</si>
  <si>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</si>
  <si>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</si>
  <si>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</si>
  <si>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</si>
  <si>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</si>
  <si>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</si>
  <si>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</si>
  <si>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</si>
  <si>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</si>
  <si>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</si>
  <si>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</si>
  <si>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</si>
  <si>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</si>
  <si>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</si>
  <si>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</si>
  <si>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</si>
  <si>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</si>
  <si>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</si>
  <si>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</si>
  <si>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</si>
  <si>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</si>
  <si>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</si>
  <si>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</si>
  <si>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</si>
  <si>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</si>
  <si>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</si>
  <si>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</si>
  <si>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</si>
  <si>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</si>
  <si>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</si>
  <si>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</si>
  <si>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</si>
  <si>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</si>
  <si>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</si>
  <si>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</si>
  <si>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</si>
  <si>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</si>
  <si>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</si>
  <si>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</si>
  <si>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</si>
  <si>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</si>
  <si>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</si>
  <si>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</si>
  <si>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</si>
  <si>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</si>
  <si>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</si>
  <si>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</si>
  <si>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</si>
  <si>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</si>
  <si>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</si>
  <si>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</si>
  <si>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</si>
  <si>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</si>
  <si>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</si>
  <si>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</si>
  <si>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</si>
  <si>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</si>
  <si>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</si>
  <si>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</si>
  <si>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</si>
  <si>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</si>
  <si>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</si>
  <si>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</si>
  <si>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</si>
  <si>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</si>
  <si>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</si>
  <si>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</si>
  <si>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</si>
  <si>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</si>
  <si>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</si>
  <si>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</si>
  <si>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</si>
  <si>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</si>
  <si>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</si>
  <si>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</si>
  <si>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</si>
  <si>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</si>
  <si>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</si>
  <si>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</si>
  <si>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</si>
  <si>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</si>
  <si>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</si>
  <si>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</si>
  <si>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</si>
  <si>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</si>
  <si>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</si>
  <si>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</si>
  <si>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</si>
  <si>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</si>
  <si>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</si>
  <si>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</si>
  <si>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</si>
  <si>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</si>
  <si>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</si>
  <si>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</si>
  <si>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</si>
  <si>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</si>
  <si>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</si>
  <si>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</si>
  <si>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</si>
  <si>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</si>
  <si>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</si>
  <si>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</si>
  <si>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</si>
  <si>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</si>
  <si>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</si>
  <si>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</si>
  <si>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</si>
  <si>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</si>
  <si>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</si>
  <si>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</si>
  <si>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</si>
  <si>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</si>
  <si>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</si>
  <si>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</si>
  <si>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</si>
  <si>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</si>
  <si>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</si>
  <si>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</si>
  <si>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</si>
  <si>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</si>
  <si>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</si>
  <si>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</si>
  <si>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</si>
  <si>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</si>
  <si>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</si>
  <si>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</si>
  <si>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</si>
  <si>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</si>
  <si>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</si>
  <si>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</si>
  <si>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</si>
  <si>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</si>
  <si>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</si>
  <si>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</si>
  <si>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</si>
  <si>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</si>
  <si>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</si>
  <si>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</si>
  <si>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</si>
  <si>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</si>
  <si>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</si>
  <si>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</si>
  <si>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</si>
  <si>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</si>
  <si>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</si>
  <si>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</si>
  <si>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</si>
  <si>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</si>
  <si>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</si>
  <si>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</si>
  <si>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</si>
  <si>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</si>
  <si>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</si>
  <si>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</si>
  <si>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</si>
  <si>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</si>
  <si>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</si>
  <si>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</si>
  <si>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</si>
  <si>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</si>
  <si>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</si>
  <si>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</si>
  <si>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</si>
  <si>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</si>
  <si>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</si>
  <si>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</si>
  <si>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</si>
  <si>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</si>
  <si>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</si>
  <si>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</si>
  <si>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</si>
  <si>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</si>
  <si>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</si>
  <si>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</si>
  <si>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</si>
  <si>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</si>
  <si>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</si>
  <si>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</si>
  <si>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</si>
  <si>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</si>
  <si>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</si>
  <si>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</si>
  <si>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</si>
  <si>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</si>
  <si>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</si>
  <si>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</si>
  <si>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</si>
  <si>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</si>
  <si>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</si>
  <si>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</si>
  <si>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</si>
  <si>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</si>
  <si>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</si>
  <si>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</si>
  <si>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</si>
  <si>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</si>
  <si>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</si>
  <si>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</si>
  <si>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</si>
  <si>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</si>
  <si>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</si>
  <si>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</si>
  <si>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</si>
  <si>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</si>
  <si>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</si>
  <si>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</si>
  <si>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</si>
  <si>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</si>
  <si>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</si>
  <si>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</si>
  <si>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</si>
  <si>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</si>
  <si>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</si>
  <si>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</si>
  <si>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</si>
  <si>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</si>
  <si>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</si>
  <si>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</si>
  <si>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</si>
  <si>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</si>
  <si>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</si>
  <si>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</si>
  <si>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</si>
  <si>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</si>
  <si>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</si>
  <si>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</si>
  <si>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</si>
  <si>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</si>
  <si>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</si>
  <si>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</si>
  <si>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</si>
  <si>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</si>
  <si>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</si>
  <si>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</si>
  <si>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</si>
  <si>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</si>
  <si>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</si>
  <si>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</si>
  <si>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</si>
  <si>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</si>
  <si>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</si>
  <si>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</si>
  <si>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</si>
  <si>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</si>
  <si>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</si>
  <si>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</si>
  <si>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</si>
  <si>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</si>
  <si>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</si>
  <si>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</si>
  <si>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</si>
  <si>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</si>
  <si>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</si>
  <si>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Prior period adjustment on audit</t>
  </si>
  <si>
    <t>02/13/2019</t>
  </si>
  <si>
    <t>1/15/2029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</si>
</sst>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556" zoomScaleNormal="100" workbookViewId="0">
      <selection activeCell="F662" sqref="F66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1333</v>
      </c>
      <c r="B2">
        <f>INDEX('School Tables'!$AH$3:$AH$213,MATCH('DOE25'!A2,'School Tables'!$AJ$3:$AJ$213,0))</f>
        <v>428</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2217555.3199999998</v>
      </c>
      <c r="G9" s="18">
        <v>132784.68</v>
      </c>
      <c r="H9" s="18">
        <v>-155288.93</v>
      </c>
      <c r="I9" s="18">
        <v>-3446</v>
      </c>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3866.44</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22502.07</v>
      </c>
      <c r="G13" s="18">
        <v>16952.650000000001</v>
      </c>
      <c r="H13" s="18">
        <v>200853.91</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102834.51</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2342891.8999999994</v>
      </c>
      <c r="G19" s="38">
        <f>SUM(G9:G18)</f>
        <v>149737.32999999999</v>
      </c>
      <c r="H19" s="38">
        <f>SUM(H9:H18)</f>
        <v>45564.98000000001</v>
      </c>
      <c r="I19" s="38">
        <f>SUM(I9:I18)</f>
        <v>-3446</v>
      </c>
      <c r="J19" s="38">
        <f>SUM(J9:J18)</f>
        <v>3866.44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573797.4</v>
      </c>
      <c r="G24" s="18">
        <v>71210.41</v>
      </c>
      <c r="H24" s="18">
        <v>36833.629999999997</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45767.56</v>
      </c>
      <c r="G30" s="18"/>
      <c r="H30" s="18">
        <v>8731.35</v>
      </c>
      <c r="I30" s="18">
        <v>6286.22</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619564.96</v>
      </c>
      <c r="G32" s="38">
        <f>SUM(G22:G31)</f>
        <v>71210.41</v>
      </c>
      <c r="H32" s="38">
        <f>SUM(H22:H31)</f>
        <v>45564.979999999996</v>
      </c>
      <c r="I32" s="38">
        <f>SUM(I22:I31)</f>
        <v>6286.22</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328437</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78526.92</v>
      </c>
      <c r="H48" s="18">
        <v>-146235.38</v>
      </c>
      <c r="I48" s="18">
        <v>-9732.2199999999993</v>
      </c>
      <c r="J48" s="13">
        <f>SUM(I460)</f>
        <v>3866.44</v>
      </c>
      <c r="K48" s="23" t="s">
        <v>288</v>
      </c>
      <c r="L48" s="23" t="s">
        <v>288</v>
      </c>
      <c r="M48" s="8"/>
      <c r="N48" s="164"/>
    </row>
    <row r="49" spans="1:14" s="3" customFormat="1" ht="12.2" customHeight="1" x14ac:dyDescent="0.15">
      <c r="A49" s="1" t="s">
        <v>855</v>
      </c>
      <c r="B49" s="2" t="s">
        <v>289</v>
      </c>
      <c r="C49" s="6">
        <v>34</v>
      </c>
      <c r="D49" s="2"/>
      <c r="E49" s="6">
        <v>753</v>
      </c>
      <c r="F49" s="18">
        <v>1237032.51</v>
      </c>
      <c r="G49" s="18"/>
      <c r="H49" s="18">
        <v>146235.38</v>
      </c>
      <c r="I49" s="18"/>
      <c r="J49" s="13">
        <f>I455</f>
        <v>0</v>
      </c>
      <c r="K49" s="23"/>
      <c r="L49" s="23"/>
      <c r="M49" s="8"/>
      <c r="N49" s="164"/>
    </row>
    <row r="50" spans="1:14" s="3" customFormat="1" ht="12.2" customHeight="1" thickBot="1" x14ac:dyDescent="0.2">
      <c r="A50" s="28" t="s">
        <v>836</v>
      </c>
      <c r="B50" s="2" t="s">
        <v>289</v>
      </c>
      <c r="C50" s="56">
        <v>35</v>
      </c>
      <c r="D50" s="2" t="s">
        <v>653</v>
      </c>
      <c r="E50" s="6">
        <v>770</v>
      </c>
      <c r="F50" s="18">
        <v>157857.43</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1723326.94</v>
      </c>
      <c r="G51" s="38">
        <f>SUM(G35:G50)</f>
        <v>78526.92</v>
      </c>
      <c r="H51" s="38">
        <f>SUM(H35:H50)</f>
        <v>0</v>
      </c>
      <c r="I51" s="38">
        <f>SUM(I35:I50)</f>
        <v>-9732.2199999999993</v>
      </c>
      <c r="J51" s="38">
        <f>SUM(J35:J50)</f>
        <v>3866.44</v>
      </c>
      <c r="K51" s="42" t="s">
        <v>288</v>
      </c>
      <c r="L51" s="42" t="s">
        <v>288</v>
      </c>
      <c r="N51" s="130"/>
    </row>
    <row r="52" spans="1:14" s="3" customFormat="1" ht="12.2" customHeight="1" thickTop="1" x14ac:dyDescent="0.15">
      <c r="A52" s="35" t="s">
        <v>455</v>
      </c>
      <c r="B52" s="36" t="s">
        <v>289</v>
      </c>
      <c r="C52" s="6">
        <v>37</v>
      </c>
      <c r="D52" s="36" t="s">
        <v>653</v>
      </c>
      <c r="E52" s="36"/>
      <c r="F52" s="38">
        <f>F51+F32</f>
        <v>2342891.9</v>
      </c>
      <c r="G52" s="38">
        <f>G51+G32</f>
        <v>149737.33000000002</v>
      </c>
      <c r="H52" s="38">
        <f>H51+H32</f>
        <v>45564.979999999996</v>
      </c>
      <c r="I52" s="38">
        <f>I51+I32</f>
        <v>-3445.9999999999991</v>
      </c>
      <c r="J52" s="38">
        <f>J51+J32</f>
        <v>3866.44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11475344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11475344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12279.22</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241876.27</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62586.52</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316742.01</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6940.82</v>
      </c>
      <c r="G96" s="18"/>
      <c r="H96" s="18"/>
      <c r="I96" s="18"/>
      <c r="J96" s="18">
        <v>202.6</v>
      </c>
      <c r="K96" s="23" t="s">
        <v>288</v>
      </c>
      <c r="L96" s="23" t="s">
        <v>288</v>
      </c>
      <c r="M96" s="8"/>
      <c r="N96" s="164"/>
    </row>
    <row r="97" spans="1:14" s="3" customFormat="1" ht="12.2" customHeight="1" x14ac:dyDescent="0.15">
      <c r="A97" s="1" t="s">
        <v>503</v>
      </c>
      <c r="B97" s="2" t="s">
        <v>315</v>
      </c>
      <c r="C97" s="6">
        <v>12</v>
      </c>
      <c r="D97" s="2" t="s">
        <v>430</v>
      </c>
      <c r="E97" s="6">
        <v>1600</v>
      </c>
      <c r="F97" s="23" t="s">
        <v>288</v>
      </c>
      <c r="G97" s="18">
        <v>269437.94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33701</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-675.01</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1960.02</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41926.829999999994</v>
      </c>
      <c r="G111" s="38">
        <f>SUM(G96:G110)</f>
        <v>269437.94</v>
      </c>
      <c r="H111" s="38">
        <f>SUM(H96:H110)</f>
        <v>0</v>
      </c>
      <c r="I111" s="38">
        <f>SUM(I96:I110)</f>
        <v>0</v>
      </c>
      <c r="J111" s="38">
        <f>SUM(J96:J110)</f>
        <v>202.6</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11834012.84</v>
      </c>
      <c r="G112" s="38">
        <f>G60+G111</f>
        <v>269437.94</v>
      </c>
      <c r="H112" s="38">
        <f>H60+H79+H94+H111</f>
        <v>0</v>
      </c>
      <c r="I112" s="38">
        <f>I60+I111</f>
        <v>0</v>
      </c>
      <c r="J112" s="38">
        <f>J60+J111</f>
        <v>202.6</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2731401.73</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1664559</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4395960.7300000004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44148.33</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2212.29</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9343.39</v>
      </c>
      <c r="G135" s="18"/>
      <c r="H135" s="18">
        <v>32933.25</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53491.72</v>
      </c>
      <c r="G136" s="38">
        <f>SUM(G123:G135)</f>
        <v>2212.29</v>
      </c>
      <c r="H136" s="38">
        <f>SUM(H123:H135)</f>
        <v>32933.25</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4449452.45</v>
      </c>
      <c r="G140" s="38">
        <f>G121+SUM(G136:G137)</f>
        <v>2212.29</v>
      </c>
      <c r="H140" s="38">
        <f>H121+SUM(H136:H139)</f>
        <v>32933.25</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153997.92000000001</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62675.82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119769.53</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46099.64</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84276.160000000003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155545.79999999999</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37637.49</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5962.4</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1315623.8600000001</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37637.49</v>
      </c>
      <c r="G163" s="38">
        <f>SUM(G150:G162)</f>
        <v>84276.160000000003</v>
      </c>
      <c r="H163" s="38">
        <f>SUM(H150:H162)</f>
        <v>1859674.9700000002</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37637.49</v>
      </c>
      <c r="G170" s="38">
        <f>G147+G163+SUM(G164:G169)</f>
        <v>84276.160000000003</v>
      </c>
      <c r="H170" s="38">
        <f>H147+H163+SUM(H164:H169)</f>
        <v>1859674.9700000002</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5742.94</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5742.94</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5742.94</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16321102.779999999</v>
      </c>
      <c r="G194" s="38">
        <f>G112+G140+G170+G193</f>
        <v>361669.33</v>
      </c>
      <c r="H194" s="38">
        <f>H112+H140+H170+H193</f>
        <v>1892608.2200000002</v>
      </c>
      <c r="I194" s="38">
        <f>I112+I140+I170+I193</f>
        <v>0</v>
      </c>
      <c r="J194" s="38">
        <f>J112+J140+J193</f>
        <v>202.6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4"/>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0</v>
      </c>
      <c r="I212" s="38">
        <f t="shared" si="1"/>
        <v>0</v>
      </c>
      <c r="J212" s="38">
        <f t="shared" si="1"/>
        <v>0</v>
      </c>
      <c r="K212" s="38">
        <f t="shared" si="1"/>
        <v>0</v>
      </c>
      <c r="L212" s="38">
        <f t="shared" si="1"/>
        <v>0</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3063267.26</v>
      </c>
      <c r="G234" s="18">
        <v>1871180.5</v>
      </c>
      <c r="H234" s="18">
        <v>129166.42</v>
      </c>
      <c r="I234" s="18">
        <v>171463.86</v>
      </c>
      <c r="J234" s="18">
        <v>159771.10999999999</v>
      </c>
      <c r="K234" s="18">
        <v>686.75</v>
      </c>
      <c r="L234" s="13">
        <f>SUM(F234:K234)</f>
        <v>5395535.9000000004</v>
      </c>
      <c r="M234" s="8"/>
      <c r="N234" s="164"/>
    </row>
    <row r="235" spans="1:14" s="3" customFormat="1" ht="12.2" customHeight="1" x14ac:dyDescent="0.15">
      <c r="A235" s="1" t="s">
        <v>439</v>
      </c>
      <c r="B235" s="2" t="s">
        <v>350</v>
      </c>
      <c r="C235" s="2" t="s">
        <v>291</v>
      </c>
      <c r="D235" s="2" t="s">
        <v>431</v>
      </c>
      <c r="E235" s="6">
        <v>1200</v>
      </c>
      <c r="F235" s="18">
        <v>853709.33</v>
      </c>
      <c r="G235" s="18">
        <v>457316.17</v>
      </c>
      <c r="H235" s="18">
        <v>757727.86</v>
      </c>
      <c r="I235" s="18">
        <v>21862.28</v>
      </c>
      <c r="J235" s="18">
        <v>582.36</v>
      </c>
      <c r="K235" s="18"/>
      <c r="L235" s="13">
        <f>SUM(F235:K235)</f>
        <v>2091198</v>
      </c>
      <c r="M235" s="8"/>
      <c r="N235" s="164"/>
    </row>
    <row r="236" spans="1:14" s="3" customFormat="1" ht="12.2" customHeight="1" x14ac:dyDescent="0.15">
      <c r="A236" s="1" t="s">
        <v>440</v>
      </c>
      <c r="B236" s="2" t="s">
        <v>350</v>
      </c>
      <c r="C236" s="2" t="s">
        <v>292</v>
      </c>
      <c r="D236" s="2" t="s">
        <v>431</v>
      </c>
      <c r="E236" s="6">
        <v>1300</v>
      </c>
      <c r="F236" s="18">
        <v>510234.04</v>
      </c>
      <c r="G236" s="18">
        <v>262753.07</v>
      </c>
      <c r="H236" s="18">
        <v>43919.63</v>
      </c>
      <c r="I236" s="18">
        <v>61569.55</v>
      </c>
      <c r="J236" s="18">
        <v>3486.15</v>
      </c>
      <c r="K236" s="18">
        <v>762.7</v>
      </c>
      <c r="L236" s="13">
        <f>SUM(F236:K236)</f>
        <v>882725.14</v>
      </c>
      <c r="M236" s="8"/>
      <c r="N236" s="164"/>
    </row>
    <row r="237" spans="1:14" s="3" customFormat="1" ht="12.2" customHeight="1" x14ac:dyDescent="0.15">
      <c r="A237" s="1" t="s">
        <v>441</v>
      </c>
      <c r="B237" s="2" t="s">
        <v>350</v>
      </c>
      <c r="C237" s="2" t="s">
        <v>293</v>
      </c>
      <c r="D237" s="2" t="s">
        <v>431</v>
      </c>
      <c r="E237" s="6">
        <v>1400</v>
      </c>
      <c r="F237" s="18">
        <v>319644.68</v>
      </c>
      <c r="G237" s="18">
        <v>67624.399999999994</v>
      </c>
      <c r="H237" s="18">
        <v>126271.29</v>
      </c>
      <c r="I237" s="18">
        <v>74057.119999999995</v>
      </c>
      <c r="J237" s="18">
        <v>56155.09</v>
      </c>
      <c r="K237" s="18">
        <v>12449.3</v>
      </c>
      <c r="L237" s="13">
        <f>SUM(F237:K237)</f>
        <v>656201.88</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562484.65</v>
      </c>
      <c r="G239" s="18">
        <v>309740.69</v>
      </c>
      <c r="H239" s="18">
        <v>250867.23</v>
      </c>
      <c r="I239" s="18">
        <v>2999.66</v>
      </c>
      <c r="J239" s="18">
        <v>254.97</v>
      </c>
      <c r="K239" s="18">
        <v>444</v>
      </c>
      <c r="L239" s="13">
        <f t="shared" ref="L239:L245" si="4">SUM(F239:K239)</f>
        <v>1126791.2</v>
      </c>
      <c r="M239" s="8"/>
      <c r="N239" s="164"/>
    </row>
    <row r="240" spans="1:14" s="3" customFormat="1" ht="12.2" customHeight="1" x14ac:dyDescent="0.15">
      <c r="A240" s="1" t="s">
        <v>443</v>
      </c>
      <c r="B240" s="2" t="s">
        <v>350</v>
      </c>
      <c r="C240" s="2" t="s">
        <v>295</v>
      </c>
      <c r="D240" s="2" t="s">
        <v>431</v>
      </c>
      <c r="E240" s="6">
        <v>2200</v>
      </c>
      <c r="F240" s="18">
        <v>119002.23</v>
      </c>
      <c r="G240" s="18">
        <v>94067.58</v>
      </c>
      <c r="H240" s="18">
        <v>439</v>
      </c>
      <c r="I240" s="18">
        <v>36336.839999999997</v>
      </c>
      <c r="J240" s="18"/>
      <c r="K240" s="18"/>
      <c r="L240" s="13">
        <f t="shared" si="4"/>
        <v>249845.65</v>
      </c>
      <c r="M240" s="8"/>
      <c r="N240" s="164"/>
    </row>
    <row r="241" spans="1:14" s="3" customFormat="1" ht="12.2" customHeight="1" x14ac:dyDescent="0.15">
      <c r="A241" s="1" t="s">
        <v>444</v>
      </c>
      <c r="B241" s="2" t="s">
        <v>350</v>
      </c>
      <c r="C241" s="2" t="s">
        <v>296</v>
      </c>
      <c r="D241" s="2" t="s">
        <v>431</v>
      </c>
      <c r="E241" s="6">
        <v>2300</v>
      </c>
      <c r="F241" s="18">
        <v>271404.73</v>
      </c>
      <c r="G241" s="18">
        <v>142899.09</v>
      </c>
      <c r="H241" s="18">
        <v>611309.47</v>
      </c>
      <c r="I241" s="18">
        <v>3451.06</v>
      </c>
      <c r="J241" s="18"/>
      <c r="K241" s="18">
        <v>4860.51</v>
      </c>
      <c r="L241" s="13">
        <f t="shared" si="4"/>
        <v>1033924.86</v>
      </c>
      <c r="M241" s="8"/>
      <c r="N241" s="164"/>
    </row>
    <row r="242" spans="1:14" s="3" customFormat="1" ht="12.2" customHeight="1" x14ac:dyDescent="0.15">
      <c r="A242" s="1" t="s">
        <v>445</v>
      </c>
      <c r="B242" s="2" t="s">
        <v>350</v>
      </c>
      <c r="C242" s="2" t="s">
        <v>297</v>
      </c>
      <c r="D242" s="2" t="s">
        <v>431</v>
      </c>
      <c r="E242" s="6">
        <v>2400</v>
      </c>
      <c r="F242" s="18">
        <v>543752.14</v>
      </c>
      <c r="G242" s="18">
        <v>323955.53999999998</v>
      </c>
      <c r="H242" s="18">
        <v>10657.23</v>
      </c>
      <c r="I242" s="18">
        <v>3981.95</v>
      </c>
      <c r="J242" s="18"/>
      <c r="K242" s="18">
        <v>21140.48</v>
      </c>
      <c r="L242" s="13">
        <f t="shared" si="4"/>
        <v>903487.33999999985</v>
      </c>
      <c r="M242" s="8"/>
      <c r="N242" s="164"/>
    </row>
    <row r="243" spans="1:14" s="3" customFormat="1" ht="12.2" customHeight="1" x14ac:dyDescent="0.15">
      <c r="A243" s="1" t="s">
        <v>446</v>
      </c>
      <c r="B243" s="2" t="s">
        <v>350</v>
      </c>
      <c r="C243" s="2" t="s">
        <v>298</v>
      </c>
      <c r="D243" s="2" t="s">
        <v>431</v>
      </c>
      <c r="E243" s="6">
        <v>2500</v>
      </c>
      <c r="F243" s="18"/>
      <c r="G243" s="18"/>
      <c r="H243" s="18">
        <v>491.59</v>
      </c>
      <c r="I243" s="18"/>
      <c r="J243" s="18"/>
      <c r="K243" s="18"/>
      <c r="L243" s="13">
        <f t="shared" si="4"/>
        <v>491.59</v>
      </c>
      <c r="M243" s="8"/>
      <c r="N243" s="164"/>
    </row>
    <row r="244" spans="1:14" s="3" customFormat="1" ht="12.2" customHeight="1" x14ac:dyDescent="0.15">
      <c r="A244" s="1" t="s">
        <v>447</v>
      </c>
      <c r="B244" s="2" t="s">
        <v>350</v>
      </c>
      <c r="C244" s="2" t="s">
        <v>299</v>
      </c>
      <c r="D244" s="2" t="s">
        <v>431</v>
      </c>
      <c r="E244" s="6">
        <v>2600</v>
      </c>
      <c r="F244" s="18">
        <v>481998.49</v>
      </c>
      <c r="G244" s="18">
        <v>189389.13</v>
      </c>
      <c r="H244" s="18">
        <v>444829.13</v>
      </c>
      <c r="I244" s="18">
        <v>349748.78</v>
      </c>
      <c r="J244" s="18">
        <v>286914.78000000003</v>
      </c>
      <c r="K244" s="18"/>
      <c r="L244" s="13">
        <f t="shared" si="4"/>
        <v>1752880.31</v>
      </c>
      <c r="M244" s="8"/>
      <c r="N244" s="164"/>
    </row>
    <row r="245" spans="1:14" s="3" customFormat="1" ht="12.2" customHeight="1" x14ac:dyDescent="0.15">
      <c r="A245" s="1" t="s">
        <v>448</v>
      </c>
      <c r="B245" s="2" t="s">
        <v>350</v>
      </c>
      <c r="C245" s="2" t="s">
        <v>300</v>
      </c>
      <c r="D245" s="2" t="s">
        <v>431</v>
      </c>
      <c r="E245" s="6">
        <v>2700</v>
      </c>
      <c r="F245" s="18"/>
      <c r="G245" s="18"/>
      <c r="H245" s="18">
        <v>864992.99</v>
      </c>
      <c r="I245" s="18"/>
      <c r="J245" s="18"/>
      <c r="K245" s="18"/>
      <c r="L245" s="13">
        <f t="shared" si="4"/>
        <v>864992.99</v>
      </c>
      <c r="M245" s="8"/>
      <c r="N245" s="164"/>
    </row>
    <row r="246" spans="1:14" s="3" customFormat="1" ht="12.2" customHeight="1" x14ac:dyDescent="0.15">
      <c r="A246" s="1" t="s">
        <v>449</v>
      </c>
      <c r="B246" s="2" t="s">
        <v>350</v>
      </c>
      <c r="C246" s="2" t="s">
        <v>343</v>
      </c>
      <c r="D246" s="2" t="s">
        <v>431</v>
      </c>
      <c r="E246" s="6">
        <v>2800</v>
      </c>
      <c r="F246" s="18"/>
      <c r="G246" s="18"/>
      <c r="H246" s="18">
        <v>73354.45</v>
      </c>
      <c r="I246" s="18"/>
      <c r="J246" s="18"/>
      <c r="K246" s="18"/>
      <c r="L246" s="13">
        <f>SUM(F246:K246)</f>
        <v>73354.45</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6725497.5499999998</v>
      </c>
      <c r="G248" s="38">
        <f t="shared" si="5"/>
        <v>3718926.1699999995</v>
      </c>
      <c r="H248" s="38">
        <f t="shared" si="5"/>
        <v>3314026.29</v>
      </c>
      <c r="I248" s="38">
        <f t="shared" si="5"/>
        <v>725471.1</v>
      </c>
      <c r="J248" s="38">
        <f t="shared" si="5"/>
        <v>507164.45999999996</v>
      </c>
      <c r="K248" s="38">
        <f t="shared" si="5"/>
        <v>40343.740000000005</v>
      </c>
      <c r="L248" s="38">
        <f t="shared" si="5"/>
        <v>15031429.309999999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852741.85</v>
      </c>
      <c r="I256" s="18"/>
      <c r="J256" s="18"/>
      <c r="K256" s="18"/>
      <c r="L256" s="13">
        <f t="shared" si="6"/>
        <v>852741.85</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852741.85</v>
      </c>
      <c r="I257" s="38">
        <f t="shared" si="7"/>
        <v>0</v>
      </c>
      <c r="J257" s="38">
        <f t="shared" si="7"/>
        <v>0</v>
      </c>
      <c r="K257" s="38">
        <f t="shared" si="7"/>
        <v>0</v>
      </c>
      <c r="L257" s="38">
        <f>SUM(F257:K257)</f>
        <v>852741.85</v>
      </c>
      <c r="M257" s="8"/>
      <c r="N257" s="164"/>
    </row>
    <row r="258" spans="1:14" s="3" customFormat="1" ht="12.2" customHeight="1" thickTop="1" x14ac:dyDescent="0.15">
      <c r="A258" s="35" t="s">
        <v>462</v>
      </c>
      <c r="B258" s="37">
        <v>10</v>
      </c>
      <c r="C258" s="37">
        <v>8</v>
      </c>
      <c r="D258" s="36" t="s">
        <v>431</v>
      </c>
      <c r="E258" s="37"/>
      <c r="F258" s="38">
        <f t="shared" ref="F258:L258" si="8">F212+F230+F248+F257</f>
        <v>6725497.5499999998</v>
      </c>
      <c r="G258" s="38">
        <f t="shared" si="8"/>
        <v>3718926.1699999995</v>
      </c>
      <c r="H258" s="38">
        <f t="shared" si="8"/>
        <v>4166768.14</v>
      </c>
      <c r="I258" s="38">
        <f t="shared" si="8"/>
        <v>725471.1</v>
      </c>
      <c r="J258" s="38">
        <f t="shared" si="8"/>
        <v>507164.45999999996</v>
      </c>
      <c r="K258" s="38">
        <f t="shared" si="8"/>
        <v>40343.740000000005</v>
      </c>
      <c r="L258" s="38">
        <f t="shared" si="8"/>
        <v>15884171.159999998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425163.13</v>
      </c>
      <c r="L261" s="13">
        <f>SUM(F261:K261)</f>
        <v>425163.13</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128044.1</v>
      </c>
      <c r="L262" s="13">
        <f>SUM(F262:K262)</f>
        <v>128044.1</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5742.94</v>
      </c>
      <c r="L264" s="13">
        <f>SUM(F264:K264)</f>
        <v>5742.94</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558950.16999999993</v>
      </c>
      <c r="L271" s="38">
        <f t="shared" si="9"/>
        <v>558950.16999999993</v>
      </c>
      <c r="M271" s="8"/>
      <c r="N271" s="164"/>
    </row>
    <row r="272" spans="1:14" s="33" customFormat="1" ht="12.2" customHeight="1" thickTop="1" x14ac:dyDescent="0.2">
      <c r="A272" s="40" t="s">
        <v>464</v>
      </c>
      <c r="B272" s="37">
        <v>10</v>
      </c>
      <c r="C272" s="37">
        <v>18</v>
      </c>
      <c r="D272" s="36" t="s">
        <v>431</v>
      </c>
      <c r="E272" s="37"/>
      <c r="F272" s="39">
        <f t="shared" ref="F272:L272" si="11">F258+F271</f>
        <v>6725497.5499999998</v>
      </c>
      <c r="G272" s="39">
        <f t="shared" si="11"/>
        <v>3718926.1699999995</v>
      </c>
      <c r="H272" s="39">
        <f t="shared" si="11"/>
        <v>4166768.14</v>
      </c>
      <c r="I272" s="39">
        <f t="shared" si="11"/>
        <v>725471.1</v>
      </c>
      <c r="J272" s="39">
        <f t="shared" si="11"/>
        <v>507164.45999999996</v>
      </c>
      <c r="K272" s="39">
        <f t="shared" si="11"/>
        <v>599293.90999999992</v>
      </c>
      <c r="L272" s="39">
        <f t="shared" si="11"/>
        <v>16443121.329999998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77431.199999999997</v>
      </c>
      <c r="G315" s="18">
        <v>35046.29</v>
      </c>
      <c r="H315" s="18">
        <v>6876.57</v>
      </c>
      <c r="I315" s="18">
        <v>28004.55</v>
      </c>
      <c r="J315" s="18"/>
      <c r="K315" s="18"/>
      <c r="L315" s="13">
        <f>SUM(F315:K315)</f>
        <v>147358.60999999999</v>
      </c>
      <c r="M315" s="8"/>
      <c r="N315" s="164"/>
    </row>
    <row r="316" spans="1:14" s="3" customFormat="1" ht="12.2" customHeight="1" x14ac:dyDescent="0.15">
      <c r="A316" s="1" t="s">
        <v>439</v>
      </c>
      <c r="B316" s="2" t="s">
        <v>359</v>
      </c>
      <c r="C316" s="2" t="s">
        <v>291</v>
      </c>
      <c r="D316" s="2" t="s">
        <v>431</v>
      </c>
      <c r="E316" s="6">
        <v>1200</v>
      </c>
      <c r="F316" s="18">
        <v>17650</v>
      </c>
      <c r="G316" s="18"/>
      <c r="H316" s="18">
        <v>114815</v>
      </c>
      <c r="I316" s="18">
        <v>10240</v>
      </c>
      <c r="J316" s="18">
        <v>151.6</v>
      </c>
      <c r="K316" s="18"/>
      <c r="L316" s="13">
        <f>SUM(F316:K316)</f>
        <v>142856.6</v>
      </c>
      <c r="M316" s="8"/>
      <c r="N316" s="164"/>
    </row>
    <row r="317" spans="1:14" s="3" customFormat="1" ht="12.2" customHeight="1" x14ac:dyDescent="0.15">
      <c r="A317" s="1" t="s">
        <v>440</v>
      </c>
      <c r="B317" s="2" t="s">
        <v>359</v>
      </c>
      <c r="C317" s="2" t="s">
        <v>292</v>
      </c>
      <c r="D317" s="2" t="s">
        <v>431</v>
      </c>
      <c r="E317" s="6">
        <v>1300</v>
      </c>
      <c r="F317" s="18">
        <v>23369.51</v>
      </c>
      <c r="G317" s="18">
        <v>467.2</v>
      </c>
      <c r="H317" s="18">
        <v>14295.05</v>
      </c>
      <c r="I317" s="18">
        <v>40597.33</v>
      </c>
      <c r="J317" s="18">
        <v>25790.25</v>
      </c>
      <c r="K317" s="18">
        <v>15250.19</v>
      </c>
      <c r="L317" s="13">
        <f>SUM(F317:K317)</f>
        <v>119769.53</v>
      </c>
      <c r="M317" s="8"/>
      <c r="N317" s="164"/>
    </row>
    <row r="318" spans="1:14" s="3" customFormat="1" ht="12.2" customHeight="1" x14ac:dyDescent="0.15">
      <c r="A318" s="1" t="s">
        <v>441</v>
      </c>
      <c r="B318" s="2" t="s">
        <v>359</v>
      </c>
      <c r="C318" s="2" t="s">
        <v>293</v>
      </c>
      <c r="D318" s="2" t="s">
        <v>431</v>
      </c>
      <c r="E318" s="6">
        <v>1400</v>
      </c>
      <c r="F318" s="18">
        <v>17550</v>
      </c>
      <c r="G318" s="18">
        <v>3930.33</v>
      </c>
      <c r="H318" s="18">
        <v>3930.86</v>
      </c>
      <c r="I318" s="18">
        <v>2016.5</v>
      </c>
      <c r="J318" s="18"/>
      <c r="K318" s="18">
        <v>2335</v>
      </c>
      <c r="L318" s="13">
        <f>SUM(F318:K318)</f>
        <v>29762.690000000002</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33148.5</v>
      </c>
      <c r="G320" s="18"/>
      <c r="H320" s="18">
        <v>9000</v>
      </c>
      <c r="I320" s="18"/>
      <c r="J320" s="18"/>
      <c r="K320" s="18"/>
      <c r="L320" s="13">
        <f t="shared" ref="L320:L326" si="16">SUM(F320:K320)</f>
        <v>42148.5</v>
      </c>
      <c r="M320" s="8"/>
      <c r="N320" s="164"/>
    </row>
    <row r="321" spans="1:14" s="3" customFormat="1" ht="12.2" customHeight="1" x14ac:dyDescent="0.15">
      <c r="A321" s="1" t="s">
        <v>443</v>
      </c>
      <c r="B321" s="2" t="s">
        <v>359</v>
      </c>
      <c r="C321" s="2" t="s">
        <v>295</v>
      </c>
      <c r="D321" s="2" t="s">
        <v>431</v>
      </c>
      <c r="E321" s="6">
        <v>2200</v>
      </c>
      <c r="F321" s="18">
        <v>27598.03</v>
      </c>
      <c r="G321" s="18">
        <v>6712.48</v>
      </c>
      <c r="H321" s="18">
        <v>53632.11</v>
      </c>
      <c r="I321" s="18">
        <v>6425</v>
      </c>
      <c r="J321" s="18"/>
      <c r="K321" s="18"/>
      <c r="L321" s="13">
        <f t="shared" si="16"/>
        <v>94367.62</v>
      </c>
      <c r="M321" s="8"/>
      <c r="N321" s="164"/>
    </row>
    <row r="322" spans="1:14" s="3" customFormat="1" ht="12.2" customHeight="1" x14ac:dyDescent="0.15">
      <c r="A322" s="1" t="s">
        <v>444</v>
      </c>
      <c r="B322" s="2" t="s">
        <v>359</v>
      </c>
      <c r="C322" s="2" t="s">
        <v>296</v>
      </c>
      <c r="D322" s="2" t="s">
        <v>431</v>
      </c>
      <c r="E322" s="6">
        <v>2300</v>
      </c>
      <c r="F322" s="18">
        <v>13440</v>
      </c>
      <c r="G322" s="18"/>
      <c r="H322" s="18">
        <v>905</v>
      </c>
      <c r="I322" s="18"/>
      <c r="J322" s="18"/>
      <c r="K322" s="18">
        <v>2568.34</v>
      </c>
      <c r="L322" s="13">
        <f t="shared" si="16"/>
        <v>16913.34</v>
      </c>
      <c r="M322" s="8"/>
      <c r="N322" s="164"/>
    </row>
    <row r="323" spans="1:14" s="3" customFormat="1" ht="12.2" customHeight="1" x14ac:dyDescent="0.15">
      <c r="A323" s="1" t="s">
        <v>445</v>
      </c>
      <c r="B323" s="2" t="s">
        <v>359</v>
      </c>
      <c r="C323" s="2" t="s">
        <v>297</v>
      </c>
      <c r="D323" s="2" t="s">
        <v>431</v>
      </c>
      <c r="E323" s="6">
        <v>2400</v>
      </c>
      <c r="F323" s="18">
        <v>500</v>
      </c>
      <c r="G323" s="18"/>
      <c r="H323" s="18"/>
      <c r="I323" s="18"/>
      <c r="J323" s="18"/>
      <c r="K323" s="18"/>
      <c r="L323" s="13">
        <f t="shared" si="16"/>
        <v>500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v>96764.3</v>
      </c>
      <c r="L324" s="13">
        <f t="shared" si="16"/>
        <v>96764.3</v>
      </c>
      <c r="M324" s="8"/>
      <c r="N324" s="164"/>
    </row>
    <row r="325" spans="1:14" s="3" customFormat="1" ht="12.2" customHeight="1" x14ac:dyDescent="0.15">
      <c r="A325" s="1" t="s">
        <v>447</v>
      </c>
      <c r="B325" s="2" t="s">
        <v>359</v>
      </c>
      <c r="C325" s="2" t="s">
        <v>299</v>
      </c>
      <c r="D325" s="2" t="s">
        <v>431</v>
      </c>
      <c r="E325" s="6">
        <v>2600</v>
      </c>
      <c r="F325" s="18"/>
      <c r="G325" s="18"/>
      <c r="H325" s="18"/>
      <c r="I325" s="18">
        <v>32933.25</v>
      </c>
      <c r="J325" s="18"/>
      <c r="K325" s="18"/>
      <c r="L325" s="13">
        <f t="shared" si="16"/>
        <v>32933.25</v>
      </c>
      <c r="M325" s="8"/>
      <c r="N325" s="164"/>
    </row>
    <row r="326" spans="1:14" s="3" customFormat="1" ht="12.2" customHeight="1" x14ac:dyDescent="0.15">
      <c r="A326" s="1" t="s">
        <v>448</v>
      </c>
      <c r="B326" s="2" t="s">
        <v>359</v>
      </c>
      <c r="C326" s="2" t="s">
        <v>300</v>
      </c>
      <c r="D326" s="2" t="s">
        <v>431</v>
      </c>
      <c r="E326" s="6">
        <v>2700</v>
      </c>
      <c r="F326" s="18"/>
      <c r="G326" s="18"/>
      <c r="H326" s="18">
        <v>21666.29</v>
      </c>
      <c r="I326" s="18"/>
      <c r="J326" s="18"/>
      <c r="K326" s="18"/>
      <c r="L326" s="13">
        <f t="shared" si="16"/>
        <v>21666.29</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210687.24</v>
      </c>
      <c r="G329" s="39">
        <f t="shared" si="17"/>
        <v>46156.3</v>
      </c>
      <c r="H329" s="39">
        <f t="shared" si="17"/>
        <v>225120.87999999998</v>
      </c>
      <c r="I329" s="39">
        <f t="shared" si="17"/>
        <v>120216.63</v>
      </c>
      <c r="J329" s="39">
        <f t="shared" si="17"/>
        <v>25941.85</v>
      </c>
      <c r="K329" s="39">
        <f t="shared" si="17"/>
        <v>116917.83</v>
      </c>
      <c r="L329" s="38">
        <f t="shared" si="17"/>
        <v>745040.7300000001</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v>1147567.49</v>
      </c>
      <c r="K337" s="18"/>
      <c r="L337" s="13">
        <f t="shared" si="18"/>
        <v>1147567.49</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1147567.49</v>
      </c>
      <c r="K338" s="38">
        <f t="shared" si="19"/>
        <v>0</v>
      </c>
      <c r="L338" s="38">
        <f t="shared" si="18"/>
        <v>1147567.49</v>
      </c>
      <c r="M338" s="8"/>
      <c r="N338" s="164"/>
    </row>
    <row r="339" spans="1:43" s="3" customFormat="1" ht="12.2" customHeight="1" thickTop="1" x14ac:dyDescent="0.15">
      <c r="A339" s="35" t="s">
        <v>468</v>
      </c>
      <c r="B339" s="37">
        <v>14</v>
      </c>
      <c r="C339" s="37">
        <v>7</v>
      </c>
      <c r="D339" s="36" t="s">
        <v>431</v>
      </c>
      <c r="E339" s="37"/>
      <c r="F339" s="38">
        <f t="shared" ref="F339:L339" si="20">F291+F310+F329+F338</f>
        <v>210687.24</v>
      </c>
      <c r="G339" s="38">
        <f t="shared" si="20"/>
        <v>46156.3</v>
      </c>
      <c r="H339" s="38">
        <f t="shared" si="20"/>
        <v>225120.87999999998</v>
      </c>
      <c r="I339" s="38">
        <f t="shared" si="20"/>
        <v>120216.63</v>
      </c>
      <c r="J339" s="38">
        <f t="shared" si="20"/>
        <v>1173509.3400000001</v>
      </c>
      <c r="K339" s="38">
        <f t="shared" si="20"/>
        <v>116917.83</v>
      </c>
      <c r="L339" s="38">
        <f t="shared" si="20"/>
        <v>1892608.2200000002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210687.24</v>
      </c>
      <c r="G353" s="38">
        <f>G339</f>
        <v>46156.3</v>
      </c>
      <c r="H353" s="38">
        <f>H339</f>
        <v>225120.87999999998</v>
      </c>
      <c r="I353" s="38">
        <f>I339</f>
        <v>120216.63</v>
      </c>
      <c r="J353" s="38">
        <f>J339</f>
        <v>1173509.3400000001</v>
      </c>
      <c r="K353" s="38">
        <f>K339+K352</f>
        <v>116917.83</v>
      </c>
      <c r="L353" s="38">
        <f>L339+L352</f>
        <v>1892608.2200000002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v>387798.76</v>
      </c>
      <c r="I361" s="18"/>
      <c r="J361" s="18"/>
      <c r="K361" s="18"/>
      <c r="L361" s="13">
        <f>SUM(F361:K361)</f>
        <v>387798.76</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387798.76</v>
      </c>
      <c r="I363" s="38">
        <f t="shared" si="22"/>
        <v>0</v>
      </c>
      <c r="J363" s="38">
        <f t="shared" si="22"/>
        <v>0</v>
      </c>
      <c r="K363" s="38">
        <f t="shared" si="22"/>
        <v>0</v>
      </c>
      <c r="L363" s="38">
        <f t="shared" si="22"/>
        <v>387798.76</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v>98.89</v>
      </c>
      <c r="I390" s="18"/>
      <c r="J390" s="23" t="s">
        <v>288</v>
      </c>
      <c r="K390" s="23" t="s">
        <v>288</v>
      </c>
      <c r="L390" s="13">
        <f t="shared" si="25"/>
        <v>98.89</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98.89</v>
      </c>
      <c r="I394" s="54">
        <f>SUM(I388:I393)</f>
        <v>0</v>
      </c>
      <c r="J394" s="42" t="s">
        <v>288</v>
      </c>
      <c r="K394" s="42" t="s">
        <v>288</v>
      </c>
      <c r="L394" s="38">
        <f>SUM(L388:L393)</f>
        <v>98.89</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v>103.71</v>
      </c>
      <c r="I398" s="18"/>
      <c r="J398" s="23" t="s">
        <v>288</v>
      </c>
      <c r="K398" s="23" t="s">
        <v>288</v>
      </c>
      <c r="L398" s="13">
        <f t="shared" si="26"/>
        <v>103.71</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103.71</v>
      </c>
      <c r="I402" s="38">
        <f>SUM(I396:I401)</f>
        <v>0</v>
      </c>
      <c r="J402" s="42" t="s">
        <v>288</v>
      </c>
      <c r="K402" s="42" t="s">
        <v>288</v>
      </c>
      <c r="L402" s="38">
        <f>SUM(L396:L401)</f>
        <v>103.71</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202.6</v>
      </c>
      <c r="I409" s="38">
        <f>I394+I402+I408</f>
        <v>0</v>
      </c>
      <c r="J409" s="23" t="s">
        <v>288</v>
      </c>
      <c r="K409" s="23" t="s">
        <v>288</v>
      </c>
      <c r="L409" s="38">
        <f>L394+L402+L408</f>
        <v>202.6</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3866.44</v>
      </c>
      <c r="G441" s="18"/>
      <c r="H441" s="18"/>
      <c r="I441" s="13">
        <f t="shared" si="33"/>
        <v>3866.44</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3866.44</v>
      </c>
      <c r="G447" s="13">
        <f>SUM(G440:G446)</f>
        <v>0</v>
      </c>
      <c r="H447" s="13">
        <f>SUM(H440:H446)</f>
        <v>0</v>
      </c>
      <c r="I447" s="13">
        <f>SUM(I440:I446)</f>
        <v>3866.44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3866.44</v>
      </c>
      <c r="G460" s="18"/>
      <c r="H460" s="18"/>
      <c r="I460" s="13">
        <f t="shared" si="34"/>
        <v>3866.44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3866.44</v>
      </c>
      <c r="G461" s="65">
        <f>SUM(G455:G460)</f>
        <v>0</v>
      </c>
      <c r="H461" s="65">
        <f>SUM(H455:H460)</f>
        <v>0</v>
      </c>
      <c r="I461" s="65">
        <f>SUM(I455:I460)</f>
        <v>3866.44</v>
      </c>
      <c r="J461" s="23" t="s">
        <v>288</v>
      </c>
      <c r="K461" s="23" t="s">
        <v>288</v>
      </c>
      <c r="L461" s="23" t="s">
        <v>288</v>
      </c>
      <c r="N461" s="130"/>
    </row>
    <row r="462" spans="1:86" ht="12.2" customHeight="1" thickTop="1" x14ac:dyDescent="0.2">
      <c r="A462" s="40" t="s">
        <v>424</v>
      </c>
      <c r="B462" s="41">
        <v>18</v>
      </c>
      <c r="C462" s="64">
        <v>21</v>
      </c>
      <c r="D462" s="114" t="s">
        <v>432</v>
      </c>
      <c r="E462" s="64"/>
      <c r="F462" s="39">
        <f>F453+F461</f>
        <v>3866.44</v>
      </c>
      <c r="G462" s="39">
        <f>G453+G461</f>
        <v>0</v>
      </c>
      <c r="H462" s="39">
        <f>H453+H461</f>
        <v>0</v>
      </c>
      <c r="I462" s="39">
        <f>I453+I461</f>
        <v>3866.44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1845332.49</v>
      </c>
      <c r="G466" s="18">
        <v>104656.35</v>
      </c>
      <c r="H466" s="18">
        <v>0</v>
      </c>
      <c r="I466" s="18">
        <v>-9732.2199999999993</v>
      </c>
      <c r="J466" s="18">
        <v>3663.84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16321102.779999999</v>
      </c>
      <c r="G469" s="18">
        <v>361669.33</v>
      </c>
      <c r="H469" s="18">
        <v>1892608.22</v>
      </c>
      <c r="I469" s="18">
        <v>0</v>
      </c>
      <c r="J469" s="18">
        <v>202.6</v>
      </c>
      <c r="K469" s="23" t="s">
        <v>288</v>
      </c>
      <c r="L469" s="23" t="s">
        <v>288</v>
      </c>
      <c r="N469" s="130"/>
    </row>
    <row r="470" spans="1:14" ht="12.2" customHeight="1" x14ac:dyDescent="0.2">
      <c r="A470" s="71" t="s">
        <v>611</v>
      </c>
      <c r="B470" s="22">
        <v>19</v>
      </c>
      <c r="C470" s="31">
        <v>3</v>
      </c>
      <c r="D470" s="2" t="s">
        <v>432</v>
      </c>
      <c r="E470" s="31"/>
      <c r="F470" s="18">
        <v>13</v>
      </c>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16321115.779999999</v>
      </c>
      <c r="G471" s="19">
        <f>SUM(G469:G470)</f>
        <v>361669.33</v>
      </c>
      <c r="H471" s="19">
        <f>SUM(H469:H470)</f>
        <v>1892608.22</v>
      </c>
      <c r="I471" s="19">
        <f>SUM(I469:I470)</f>
        <v>0</v>
      </c>
      <c r="J471" s="19">
        <f>SUM(J469:J470)</f>
        <v>202.6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16443121.33</v>
      </c>
      <c r="G473" s="18">
        <v>387798.76</v>
      </c>
      <c r="H473" s="18">
        <v>1892608.22</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16443121.33</v>
      </c>
      <c r="G475" s="19">
        <f>SUM(G473:G474)</f>
        <v>387798.76</v>
      </c>
      <c r="H475" s="19">
        <f>SUM(H473:H474)</f>
        <v>1892608.22</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1723326.9399999995</v>
      </c>
      <c r="G477" s="19">
        <f>(G466+G471)- G475</f>
        <v>78526.920000000042</v>
      </c>
      <c r="H477" s="19">
        <f>(H466+H471)- H475</f>
        <v>0</v>
      </c>
      <c r="I477" s="19">
        <f>(I466+I471)- I475</f>
        <v>-9732.2199999999993</v>
      </c>
      <c r="J477" s="19">
        <f>(J466+J471)- J475</f>
        <v>3866.44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1841</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1842</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1843</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3205000</v>
      </c>
      <c r="G494" s="18"/>
      <c r="H494" s="18"/>
      <c r="I494" s="18"/>
      <c r="J494" s="18"/>
      <c r="K494" s="23" t="s">
        <v>288</v>
      </c>
      <c r="L494" s="23" t="s">
        <v>288</v>
      </c>
      <c r="N494" s="130"/>
    </row>
    <row r="495" spans="1:14" ht="12.2" customHeight="1" x14ac:dyDescent="0.2">
      <c r="A495" s="21" t="s">
        <v>618</v>
      </c>
      <c r="B495" s="22">
        <v>20</v>
      </c>
      <c r="C495" s="22">
        <v>5</v>
      </c>
      <c r="D495" s="2" t="s">
        <v>432</v>
      </c>
      <c r="E495" s="22"/>
      <c r="F495" s="18">
        <v>2.2200000000000002</v>
      </c>
      <c r="G495" s="18"/>
      <c r="H495" s="18"/>
      <c r="I495" s="18"/>
      <c r="J495" s="18"/>
      <c r="K495" s="23" t="s">
        <v>288</v>
      </c>
      <c r="L495" s="23" t="s">
        <v>288</v>
      </c>
      <c r="N495" s="130"/>
    </row>
    <row r="496" spans="1:14" ht="12.2" customHeight="1" x14ac:dyDescent="0.2">
      <c r="A496" s="21" t="s">
        <v>619</v>
      </c>
      <c r="B496" s="22">
        <v>20</v>
      </c>
      <c r="C496" s="22">
        <v>6</v>
      </c>
      <c r="D496" s="2" t="s">
        <v>432</v>
      </c>
      <c r="E496" s="22"/>
      <c r="F496" s="18">
        <v>1679750</v>
      </c>
      <c r="G496" s="18"/>
      <c r="H496" s="18"/>
      <c r="I496" s="18"/>
      <c r="J496" s="18"/>
      <c r="K496" s="19">
        <f>SUM(F496:J496)</f>
        <v>1679750</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279750</v>
      </c>
      <c r="G498" s="18"/>
      <c r="H498" s="18"/>
      <c r="I498" s="18"/>
      <c r="J498" s="18"/>
      <c r="K498" s="19">
        <f t="shared" si="35"/>
        <v>279750</v>
      </c>
      <c r="L498" s="23" t="s">
        <v>288</v>
      </c>
      <c r="N498" s="130"/>
    </row>
    <row r="499" spans="1:14" ht="12.2" customHeight="1" x14ac:dyDescent="0.2">
      <c r="A499" s="143" t="s">
        <v>622</v>
      </c>
      <c r="B499" s="144">
        <v>20</v>
      </c>
      <c r="C499" s="144">
        <v>9</v>
      </c>
      <c r="D499" s="145" t="s">
        <v>432</v>
      </c>
      <c r="E499" s="144"/>
      <c r="F499" s="146">
        <v>1400000</v>
      </c>
      <c r="G499" s="146"/>
      <c r="H499" s="146"/>
      <c r="I499" s="146"/>
      <c r="J499" s="146"/>
      <c r="K499" s="147">
        <f t="shared" si="35"/>
        <v>1400000</v>
      </c>
      <c r="L499" s="148" t="s">
        <v>288</v>
      </c>
      <c r="N499" s="130"/>
    </row>
    <row r="500" spans="1:14" ht="12.2" customHeight="1" thickBot="1" x14ac:dyDescent="0.25">
      <c r="A500" s="21" t="s">
        <v>623</v>
      </c>
      <c r="B500" s="22">
        <v>20</v>
      </c>
      <c r="C500" s="22">
        <v>10</v>
      </c>
      <c r="D500" s="2" t="s">
        <v>432</v>
      </c>
      <c r="E500" s="22"/>
      <c r="F500" s="18">
        <v>200200</v>
      </c>
      <c r="G500" s="18"/>
      <c r="H500" s="18"/>
      <c r="I500" s="18"/>
      <c r="J500" s="18"/>
      <c r="K500" s="19">
        <f t="shared" si="35"/>
        <v>200200</v>
      </c>
      <c r="L500" s="23" t="s">
        <v>288</v>
      </c>
      <c r="N500" s="130"/>
    </row>
    <row r="501" spans="1:14" ht="12.2" customHeight="1" thickTop="1" x14ac:dyDescent="0.2">
      <c r="A501" s="97" t="s">
        <v>624</v>
      </c>
      <c r="B501" s="41">
        <v>20</v>
      </c>
      <c r="C501" s="41">
        <v>11</v>
      </c>
      <c r="D501" s="36" t="s">
        <v>432</v>
      </c>
      <c r="E501" s="41"/>
      <c r="F501" s="39">
        <f>SUM(F499:F500)</f>
        <v>1600200</v>
      </c>
      <c r="G501" s="39">
        <f>SUM(G499:G500)</f>
        <v>0</v>
      </c>
      <c r="H501" s="39">
        <f>SUM(H499:H500)</f>
        <v>0</v>
      </c>
      <c r="I501" s="39">
        <f>SUM(I499:I500)</f>
        <v>0</v>
      </c>
      <c r="J501" s="39">
        <f>SUM(J499:J500)</f>
        <v>0</v>
      </c>
      <c r="K501" s="39">
        <f t="shared" si="35"/>
        <v>1600200</v>
      </c>
      <c r="L501" s="42" t="s">
        <v>288</v>
      </c>
      <c r="N501" s="130"/>
    </row>
    <row r="502" spans="1:14" ht="12.2" customHeight="1" x14ac:dyDescent="0.2">
      <c r="A502" s="143" t="s">
        <v>651</v>
      </c>
      <c r="B502" s="144">
        <v>20</v>
      </c>
      <c r="C502" s="144">
        <v>12</v>
      </c>
      <c r="D502" s="145" t="s">
        <v>432</v>
      </c>
      <c r="E502" s="144"/>
      <c r="F502" s="146">
        <v>280000</v>
      </c>
      <c r="G502" s="146"/>
      <c r="H502" s="146"/>
      <c r="I502" s="146"/>
      <c r="J502" s="146"/>
      <c r="K502" s="147">
        <f t="shared" si="35"/>
        <v>280000</v>
      </c>
      <c r="L502" s="148" t="s">
        <v>288</v>
      </c>
      <c r="N502" s="130"/>
    </row>
    <row r="503" spans="1:14" ht="12.2" customHeight="1" thickBot="1" x14ac:dyDescent="0.25">
      <c r="A503" s="21" t="s">
        <v>625</v>
      </c>
      <c r="B503" s="22">
        <v>20</v>
      </c>
      <c r="C503" s="22">
        <v>13</v>
      </c>
      <c r="D503" s="2" t="s">
        <v>432</v>
      </c>
      <c r="E503" s="22"/>
      <c r="F503" s="18">
        <f>34300+34300</f>
        <v>68600</v>
      </c>
      <c r="G503" s="18"/>
      <c r="H503" s="18"/>
      <c r="I503" s="18"/>
      <c r="J503" s="18"/>
      <c r="K503" s="19">
        <f t="shared" si="35"/>
        <v>68600</v>
      </c>
      <c r="L503" s="23" t="s">
        <v>288</v>
      </c>
      <c r="N503" s="130"/>
    </row>
    <row r="504" spans="1:14" ht="12.2" customHeight="1" thickTop="1" x14ac:dyDescent="0.2">
      <c r="A504" s="97" t="s">
        <v>626</v>
      </c>
      <c r="B504" s="41">
        <v>20</v>
      </c>
      <c r="C504" s="41">
        <v>14</v>
      </c>
      <c r="D504" s="36" t="s">
        <v>432</v>
      </c>
      <c r="E504" s="41"/>
      <c r="F504" s="39">
        <f>SUM(F502:F503)</f>
        <v>348600</v>
      </c>
      <c r="G504" s="39">
        <f>SUM(G502:G503)</f>
        <v>0</v>
      </c>
      <c r="H504" s="39">
        <f>SUM(H502:H503)</f>
        <v>0</v>
      </c>
      <c r="I504" s="39">
        <f>SUM(I502:I503)</f>
        <v>0</v>
      </c>
      <c r="J504" s="39">
        <f>SUM(J502:J503)</f>
        <v>0</v>
      </c>
      <c r="K504" s="39">
        <f t="shared" si="35"/>
        <v>348600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c r="I522" s="18"/>
      <c r="J522" s="18"/>
      <c r="K522" s="18"/>
      <c r="L522" s="69">
        <f>SUM(F522:K522)</f>
        <v>0</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v>853709.33</v>
      </c>
      <c r="G524" s="18">
        <v>457316.17</v>
      </c>
      <c r="H524" s="18">
        <v>757727.86</v>
      </c>
      <c r="I524" s="18">
        <v>21862.28</v>
      </c>
      <c r="J524" s="18">
        <v>582.36</v>
      </c>
      <c r="K524" s="18"/>
      <c r="L524" s="69">
        <f>SUM(F524:K524)</f>
        <v>2091198</v>
      </c>
      <c r="N524" s="130"/>
    </row>
    <row r="525" spans="1:14" ht="12.2" customHeight="1" thickTop="1" x14ac:dyDescent="0.2">
      <c r="A525" s="97" t="s">
        <v>63</v>
      </c>
      <c r="B525" s="41">
        <v>21</v>
      </c>
      <c r="C525" s="41">
        <v>4</v>
      </c>
      <c r="D525" s="115" t="s">
        <v>432</v>
      </c>
      <c r="E525" s="41"/>
      <c r="F525" s="81">
        <f>SUM(F522:F524)</f>
        <v>853709.33</v>
      </c>
      <c r="G525" s="81">
        <f t="shared" ref="G525:L525" si="36">SUM(G522:G524)</f>
        <v>457316.17</v>
      </c>
      <c r="H525" s="81">
        <f t="shared" si="36"/>
        <v>757727.86</v>
      </c>
      <c r="I525" s="81">
        <f t="shared" si="36"/>
        <v>21862.28</v>
      </c>
      <c r="J525" s="81">
        <f t="shared" si="36"/>
        <v>582.36</v>
      </c>
      <c r="K525" s="81">
        <f t="shared" si="36"/>
        <v>0</v>
      </c>
      <c r="L525" s="70">
        <f t="shared" si="36"/>
        <v>2091198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v>190461.35</v>
      </c>
      <c r="G529" s="18">
        <v>85683.53</v>
      </c>
      <c r="H529" s="18">
        <v>96690.54</v>
      </c>
      <c r="I529" s="18"/>
      <c r="J529" s="18"/>
      <c r="K529" s="18"/>
      <c r="L529" s="69">
        <f>SUM(F529:K529)</f>
        <v>372835.42</v>
      </c>
      <c r="M529" s="8"/>
      <c r="N529" s="164"/>
    </row>
    <row r="530" spans="1:14" s="3" customFormat="1" ht="12.2" customHeight="1" thickTop="1" x14ac:dyDescent="0.15">
      <c r="A530" s="97" t="s">
        <v>65</v>
      </c>
      <c r="B530" s="41">
        <v>21</v>
      </c>
      <c r="C530" s="41">
        <v>8</v>
      </c>
      <c r="D530" s="115" t="s">
        <v>432</v>
      </c>
      <c r="E530" s="41"/>
      <c r="F530" s="70">
        <f>SUM(F527:F529)</f>
        <v>190461.35</v>
      </c>
      <c r="G530" s="70">
        <f t="shared" ref="G530:L530" si="37">SUM(G527:G529)</f>
        <v>85683.53</v>
      </c>
      <c r="H530" s="70">
        <f t="shared" si="37"/>
        <v>96690.54</v>
      </c>
      <c r="I530" s="70">
        <f t="shared" si="37"/>
        <v>0</v>
      </c>
      <c r="J530" s="70">
        <f t="shared" si="37"/>
        <v>0</v>
      </c>
      <c r="K530" s="70">
        <f t="shared" si="37"/>
        <v>0</v>
      </c>
      <c r="L530" s="70">
        <f t="shared" si="37"/>
        <v>372835.42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v>44092.76</v>
      </c>
      <c r="G534" s="18">
        <v>26690.62</v>
      </c>
      <c r="H534" s="18"/>
      <c r="I534" s="18"/>
      <c r="J534" s="18"/>
      <c r="K534" s="18"/>
      <c r="L534" s="69">
        <f>SUM(F534:K534)</f>
        <v>70783.38</v>
      </c>
      <c r="M534" s="8"/>
      <c r="N534" s="164"/>
    </row>
    <row r="535" spans="1:14" s="3" customFormat="1" ht="12.2" customHeight="1" thickTop="1" x14ac:dyDescent="0.15">
      <c r="A535" s="97" t="s">
        <v>67</v>
      </c>
      <c r="B535" s="41">
        <v>21</v>
      </c>
      <c r="C535" s="41">
        <v>12</v>
      </c>
      <c r="D535" s="115" t="s">
        <v>432</v>
      </c>
      <c r="E535" s="41"/>
      <c r="F535" s="70">
        <f>SUM(F532:F534)</f>
        <v>44092.76</v>
      </c>
      <c r="G535" s="70">
        <f t="shared" ref="G535:L535" si="38">SUM(G532:G534)</f>
        <v>26690.62</v>
      </c>
      <c r="H535" s="70">
        <f t="shared" si="38"/>
        <v>0</v>
      </c>
      <c r="I535" s="70">
        <f t="shared" si="38"/>
        <v>0</v>
      </c>
      <c r="J535" s="70">
        <f t="shared" si="38"/>
        <v>0</v>
      </c>
      <c r="K535" s="70">
        <f t="shared" si="38"/>
        <v>0</v>
      </c>
      <c r="L535" s="70">
        <f t="shared" si="38"/>
        <v>70783.38</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266030.86</v>
      </c>
      <c r="I544" s="18"/>
      <c r="J544" s="18"/>
      <c r="K544" s="18"/>
      <c r="L544" s="69">
        <f>SUM(F544:K544)</f>
        <v>266030.86</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266030.86</v>
      </c>
      <c r="I545" s="140">
        <f t="shared" si="40"/>
        <v>0</v>
      </c>
      <c r="J545" s="140">
        <f t="shared" si="40"/>
        <v>0</v>
      </c>
      <c r="K545" s="140">
        <f t="shared" si="40"/>
        <v>0</v>
      </c>
      <c r="L545" s="140">
        <f t="shared" si="40"/>
        <v>266030.86</v>
      </c>
      <c r="M545" s="8"/>
      <c r="N545" s="164"/>
    </row>
    <row r="546" spans="1:14" s="3" customFormat="1" ht="12.2" customHeight="1" thickTop="1" x14ac:dyDescent="0.15">
      <c r="A546" s="75" t="s">
        <v>72</v>
      </c>
      <c r="B546" s="41">
        <v>21</v>
      </c>
      <c r="C546" s="41">
        <v>21</v>
      </c>
      <c r="D546" s="115" t="s">
        <v>432</v>
      </c>
      <c r="E546" s="41"/>
      <c r="F546" s="70">
        <f>F525+F530+F535+F540+F545</f>
        <v>1088263.44</v>
      </c>
      <c r="G546" s="70">
        <f t="shared" ref="G546:L546" si="41">G525+G530+G535+G540+G545</f>
        <v>569690.31999999995</v>
      </c>
      <c r="H546" s="70">
        <f t="shared" si="41"/>
        <v>1120449.26</v>
      </c>
      <c r="I546" s="70">
        <f t="shared" si="41"/>
        <v>21862.28</v>
      </c>
      <c r="J546" s="70">
        <f t="shared" si="41"/>
        <v>582.36</v>
      </c>
      <c r="K546" s="70">
        <f t="shared" si="41"/>
        <v>0</v>
      </c>
      <c r="L546" s="70">
        <f t="shared" si="41"/>
        <v>2800847.6599999997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2091198</v>
      </c>
      <c r="G552" s="69">
        <f>L529</f>
        <v>372835.42</v>
      </c>
      <c r="H552" s="69">
        <f>L534</f>
        <v>70783.38</v>
      </c>
      <c r="I552" s="69">
        <f>L539</f>
        <v>0</v>
      </c>
      <c r="J552" s="69">
        <f>L544</f>
        <v>266030.86</v>
      </c>
      <c r="K552" s="69">
        <f>SUM(F552:J552)</f>
        <v>2800847.6599999997</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2091198</v>
      </c>
      <c r="G553" s="70">
        <f t="shared" si="42"/>
        <v>372835.42</v>
      </c>
      <c r="H553" s="70">
        <f t="shared" si="42"/>
        <v>70783.38</v>
      </c>
      <c r="I553" s="70">
        <f t="shared" si="42"/>
        <v>0</v>
      </c>
      <c r="J553" s="70">
        <f t="shared" si="42"/>
        <v>266030.86</v>
      </c>
      <c r="K553" s="70">
        <f t="shared" si="42"/>
        <v>2800847.6599999997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541451.31999999995</v>
      </c>
      <c r="I583" s="69">
        <f t="shared" si="47"/>
        <v>541451.31999999995</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541451.31999999995</v>
      </c>
      <c r="I589" s="79">
        <f t="shared" si="48"/>
        <v>541451.31999999995</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c r="I592" s="18"/>
      <c r="J592" s="18">
        <v>457693.03</v>
      </c>
      <c r="K592" s="80">
        <f t="shared" ref="K592:K598" si="49">SUM(H592:J592)</f>
        <v>457693.03</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v>266030.86</v>
      </c>
      <c r="K593" s="80">
        <f t="shared" si="49"/>
        <v>266030.86</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v>107006.47</v>
      </c>
      <c r="K595" s="80">
        <f t="shared" si="49"/>
        <v>107006.47</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v>23059.69</v>
      </c>
      <c r="K596" s="80">
        <f t="shared" si="49"/>
        <v>23059.69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v>11202.94</v>
      </c>
      <c r="K598" s="80">
        <f t="shared" si="49"/>
        <v>11202.94</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0</v>
      </c>
      <c r="J599" s="81">
        <f>SUM(J592:J598)</f>
        <v>864992.98999999987</v>
      </c>
      <c r="K599" s="81">
        <f>SUM(K592:K598)</f>
        <v>864992.98999999987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c r="J605" s="18">
        <v>533106.31000000006</v>
      </c>
      <c r="K605" s="80">
        <f>SUM(H605:J605)</f>
        <v>533106.31000000006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533106.31000000006</v>
      </c>
      <c r="K606" s="81">
        <f>SUM(K603:K605)</f>
        <v>533106.31000000006</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v>15080</v>
      </c>
      <c r="G614" s="18">
        <v>3889.33</v>
      </c>
      <c r="H614" s="18"/>
      <c r="I614" s="18"/>
      <c r="J614" s="18"/>
      <c r="K614" s="18"/>
      <c r="L614" s="69">
        <f>SUM(F614:K614)</f>
        <v>18969.330000000002</v>
      </c>
      <c r="M614" s="8"/>
      <c r="N614" s="164"/>
    </row>
    <row r="615" spans="1:14" s="3" customFormat="1" ht="12.2" customHeight="1" thickTop="1" x14ac:dyDescent="0.15">
      <c r="A615" s="75" t="s">
        <v>340</v>
      </c>
      <c r="B615" s="41">
        <v>23</v>
      </c>
      <c r="C615" s="41">
        <v>16</v>
      </c>
      <c r="D615" s="36" t="s">
        <v>432</v>
      </c>
      <c r="E615" s="41"/>
      <c r="F615" s="81">
        <f t="shared" ref="F615:L615" si="50">SUM(F612:F614)</f>
        <v>15080</v>
      </c>
      <c r="G615" s="81">
        <f t="shared" si="50"/>
        <v>3889.33</v>
      </c>
      <c r="H615" s="81">
        <f t="shared" si="50"/>
        <v>0</v>
      </c>
      <c r="I615" s="81">
        <f t="shared" si="50"/>
        <v>0</v>
      </c>
      <c r="J615" s="81">
        <f t="shared" si="50"/>
        <v>0</v>
      </c>
      <c r="K615" s="81">
        <f t="shared" si="50"/>
        <v>0</v>
      </c>
      <c r="L615" s="70">
        <f t="shared" si="50"/>
        <v>18969.330000000002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2342891.8999999994</v>
      </c>
      <c r="H618" s="80">
        <f>SUM(F52)</f>
        <v>2342891.9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149737.32999999999</v>
      </c>
      <c r="H619" s="80">
        <f>SUM(G52)</f>
        <v>149737.33000000002</v>
      </c>
      <c r="I619" s="87" t="s">
        <v>872</v>
      </c>
      <c r="J619" s="80">
        <f>G619-H619</f>
        <v>0</v>
      </c>
      <c r="K619" s="80"/>
      <c r="L619" s="80"/>
      <c r="M619" s="8"/>
    </row>
    <row r="620" spans="1:14" s="3" customFormat="1" ht="12.2" customHeight="1" x14ac:dyDescent="0.15">
      <c r="A620" s="74"/>
      <c r="B620" s="22"/>
      <c r="C620" s="22"/>
      <c r="D620" s="22"/>
      <c r="E620" s="22"/>
      <c r="F620" s="87" t="s">
        <v>685</v>
      </c>
      <c r="G620" s="80">
        <f>SUM(H19)</f>
        <v>45564.98000000001</v>
      </c>
      <c r="H620" s="80">
        <f>SUM(H52)</f>
        <v>45564.979999999996</v>
      </c>
      <c r="I620" s="87" t="s">
        <v>873</v>
      </c>
      <c r="J620" s="80">
        <f>G620-H620</f>
        <v>0</v>
      </c>
      <c r="K620" s="80"/>
      <c r="L620" s="80"/>
      <c r="M620" s="8"/>
    </row>
    <row r="621" spans="1:14" s="3" customFormat="1" ht="12.2" customHeight="1" x14ac:dyDescent="0.15">
      <c r="A621" s="74"/>
      <c r="B621" s="22"/>
      <c r="C621" s="22"/>
      <c r="D621" s="22"/>
      <c r="E621" s="22"/>
      <c r="F621" s="87" t="s">
        <v>686</v>
      </c>
      <c r="G621" s="80">
        <f>SUM(I19)</f>
        <v>-3446</v>
      </c>
      <c r="H621" s="80">
        <f>SUM(I52)</f>
        <v>-3445.9999999999991</v>
      </c>
      <c r="I621" s="87" t="s">
        <v>874</v>
      </c>
      <c r="J621" s="80">
        <f>G621-H621</f>
        <v>0</v>
      </c>
      <c r="K621" s="80"/>
      <c r="L621" s="80"/>
      <c r="M621" s="8"/>
    </row>
    <row r="622" spans="1:14" s="3" customFormat="1" ht="12.2" customHeight="1" x14ac:dyDescent="0.15">
      <c r="A622" s="74"/>
      <c r="B622" s="22"/>
      <c r="C622" s="22"/>
      <c r="D622" s="22"/>
      <c r="E622" s="22"/>
      <c r="F622" s="87" t="s">
        <v>687</v>
      </c>
      <c r="G622" s="80">
        <f>SUM(J19)</f>
        <v>3866.44</v>
      </c>
      <c r="H622" s="80">
        <f>SUM(J52)</f>
        <v>3866.44</v>
      </c>
      <c r="I622" s="87" t="s">
        <v>875</v>
      </c>
      <c r="J622" s="80">
        <f>G622-H622</f>
        <v>0</v>
      </c>
      <c r="K622" s="80"/>
      <c r="L622" s="80"/>
      <c r="M622" s="8"/>
    </row>
    <row r="623" spans="1:14" s="3" customFormat="1" ht="12.2" customHeight="1" x14ac:dyDescent="0.15">
      <c r="A623" s="74"/>
      <c r="B623" s="22"/>
      <c r="C623" s="22"/>
      <c r="D623" s="22"/>
      <c r="E623" s="22"/>
      <c r="F623" s="87" t="s">
        <v>861</v>
      </c>
      <c r="G623" s="80">
        <f>F51</f>
        <v>1723326.94</v>
      </c>
      <c r="H623" s="80">
        <f>F477</f>
        <v>1723326.9399999995</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78526.92</v>
      </c>
      <c r="H624" s="80">
        <f>G477</f>
        <v>78526.920000000042</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-9732.2199999999993</v>
      </c>
      <c r="H626" s="80">
        <f>I477</f>
        <v>-9732.2199999999993</v>
      </c>
      <c r="I626" s="87" t="s">
        <v>104</v>
      </c>
      <c r="J626" s="80">
        <f t="shared" si="51"/>
        <v>0</v>
      </c>
      <c r="K626" s="80"/>
      <c r="L626" s="80"/>
      <c r="M626" s="8"/>
    </row>
    <row r="627" spans="1:13" s="3" customFormat="1" ht="12.2" customHeight="1" x14ac:dyDescent="0.15">
      <c r="A627" s="21"/>
      <c r="B627" s="22"/>
      <c r="C627" s="22"/>
      <c r="D627" s="22"/>
      <c r="E627" s="22"/>
      <c r="F627" s="86" t="s">
        <v>865</v>
      </c>
      <c r="G627" s="80">
        <f>J51</f>
        <v>3866.44</v>
      </c>
      <c r="H627" s="80">
        <f>J477</f>
        <v>3866.44</v>
      </c>
      <c r="I627" s="87" t="s">
        <v>105</v>
      </c>
      <c r="J627" s="80">
        <f t="shared" si="51"/>
        <v>0</v>
      </c>
      <c r="K627" s="67"/>
      <c r="L627" s="69"/>
      <c r="M627" s="8"/>
    </row>
    <row r="628" spans="1:13" s="3" customFormat="1" ht="12.2" customHeight="1" x14ac:dyDescent="0.15">
      <c r="A628" s="21"/>
      <c r="B628" s="22"/>
      <c r="C628" s="22"/>
      <c r="D628" s="22"/>
      <c r="E628" s="22"/>
      <c r="F628" s="86" t="s">
        <v>658</v>
      </c>
      <c r="G628" s="80">
        <f>F194</f>
        <v>16321102.779999999</v>
      </c>
      <c r="H628" s="80">
        <f>SUM(F469)</f>
        <v>16321102.779999999</v>
      </c>
      <c r="I628" s="87" t="s">
        <v>106</v>
      </c>
      <c r="J628" s="80">
        <f>G628-H628</f>
        <v>0</v>
      </c>
      <c r="K628" s="67"/>
      <c r="L628" s="69"/>
      <c r="M628" s="8"/>
    </row>
    <row r="629" spans="1:13" s="3" customFormat="1" ht="12.2" customHeight="1" x14ac:dyDescent="0.15">
      <c r="A629" s="21"/>
      <c r="B629" s="22"/>
      <c r="C629" s="22"/>
      <c r="D629" s="22"/>
      <c r="E629" s="22"/>
      <c r="F629" s="86" t="s">
        <v>659</v>
      </c>
      <c r="G629" s="80">
        <f>G194</f>
        <v>361669.33</v>
      </c>
      <c r="H629" s="80">
        <f>SUM(G469)</f>
        <v>361669.33</v>
      </c>
      <c r="I629" s="87" t="s">
        <v>107</v>
      </c>
      <c r="J629" s="80">
        <f>G629-H629</f>
        <v>0</v>
      </c>
      <c r="K629" s="67"/>
      <c r="L629" s="69"/>
      <c r="M629" s="8"/>
    </row>
    <row r="630" spans="1:13" s="3" customFormat="1" ht="12.2" customHeight="1" x14ac:dyDescent="0.15">
      <c r="A630" s="21"/>
      <c r="B630" s="22"/>
      <c r="C630" s="22"/>
      <c r="D630" s="22"/>
      <c r="E630" s="22"/>
      <c r="F630" s="86" t="s">
        <v>660</v>
      </c>
      <c r="G630" s="80">
        <f>H194</f>
        <v>1892608.2200000002</v>
      </c>
      <c r="H630" s="80">
        <f>SUM(H469)</f>
        <v>1892608.22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202.6</v>
      </c>
      <c r="H632" s="80">
        <f>SUM(J469)</f>
        <v>202.6</v>
      </c>
      <c r="I632" s="87" t="s">
        <v>110</v>
      </c>
      <c r="J632" s="80">
        <f>G632-H632</f>
        <v>0</v>
      </c>
      <c r="K632" s="67"/>
      <c r="L632" s="69"/>
      <c r="M632" s="8"/>
    </row>
    <row r="633" spans="1:13" s="3" customFormat="1" ht="12.2" customHeight="1" x14ac:dyDescent="0.15">
      <c r="A633" s="21"/>
      <c r="B633" s="22"/>
      <c r="C633" s="22"/>
      <c r="D633" s="22"/>
      <c r="E633" s="22"/>
      <c r="F633" s="86" t="s">
        <v>394</v>
      </c>
      <c r="G633" s="80">
        <f>SUM(L272)</f>
        <v>16443121.329999998</v>
      </c>
      <c r="H633" s="80">
        <f>SUM(F473)</f>
        <v>16443121.33</v>
      </c>
      <c r="I633" s="87" t="s">
        <v>111</v>
      </c>
      <c r="J633" s="80">
        <f t="shared" si="51"/>
        <v>0</v>
      </c>
      <c r="K633" s="67"/>
      <c r="L633" s="69"/>
      <c r="M633" s="8"/>
    </row>
    <row r="634" spans="1:13" s="3" customFormat="1" ht="12.2" customHeight="1" x14ac:dyDescent="0.15">
      <c r="A634" s="21"/>
      <c r="B634" s="22"/>
      <c r="C634" s="22"/>
      <c r="D634" s="22"/>
      <c r="E634" s="22"/>
      <c r="F634" s="86" t="s">
        <v>395</v>
      </c>
      <c r="G634" s="80">
        <f>SUM(L353)</f>
        <v>1892608.2200000002</v>
      </c>
      <c r="H634" s="80">
        <f>SUM(H473)</f>
        <v>1892608.22</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387798.76</v>
      </c>
      <c r="H636" s="80">
        <f>SUM(G473)</f>
        <v>387798.76</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202.6</v>
      </c>
      <c r="H638" s="108">
        <f>SUM(J469)</f>
        <v>202.6</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3866.44</v>
      </c>
      <c r="H640" s="80">
        <f>SUM(F462)</f>
        <v>3866.44</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3866.44</v>
      </c>
      <c r="H643" s="80">
        <f>SUM(I462)</f>
        <v>3866.44</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202.6</v>
      </c>
      <c r="H645" s="80">
        <f>H409</f>
        <v>202.6</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202.6</v>
      </c>
      <c r="H647" s="80">
        <f>L409</f>
        <v>202.6</v>
      </c>
      <c r="I647" s="87" t="s">
        <v>477</v>
      </c>
      <c r="J647" s="80">
        <f t="shared" si="51"/>
        <v>0</v>
      </c>
      <c r="K647" s="67"/>
      <c r="L647" s="69"/>
      <c r="M647" s="8"/>
    </row>
    <row r="648" spans="1:13" s="3" customFormat="1" ht="12.2" customHeight="1" x14ac:dyDescent="0.15">
      <c r="A648" s="21"/>
      <c r="B648" s="22"/>
      <c r="C648" s="22"/>
      <c r="D648" s="22"/>
      <c r="E648" s="22"/>
      <c r="F648" s="86" t="s">
        <v>51</v>
      </c>
      <c r="G648" s="80">
        <f>K599</f>
        <v>864992.98999999987</v>
      </c>
      <c r="H648" s="80">
        <f>L209+L227+L245</f>
        <v>864992.99</v>
      </c>
      <c r="I648" s="87" t="s">
        <v>396</v>
      </c>
      <c r="J648" s="80">
        <f t="shared" si="51"/>
        <v>0</v>
      </c>
      <c r="K648" s="67"/>
      <c r="L648" s="69"/>
      <c r="M648" s="8"/>
    </row>
    <row r="649" spans="1:13" s="3" customFormat="1" ht="12.2" customHeight="1" x14ac:dyDescent="0.15">
      <c r="A649" s="21"/>
      <c r="B649" s="22"/>
      <c r="C649" s="22"/>
      <c r="D649" s="22"/>
      <c r="E649" s="22"/>
      <c r="F649" s="86" t="s">
        <v>52</v>
      </c>
      <c r="G649" s="80">
        <f>K606</f>
        <v>533106.31000000006</v>
      </c>
      <c r="H649" s="80">
        <f>(J258+J339)-(J256+J337)</f>
        <v>533106.31000000006</v>
      </c>
      <c r="I649" s="87" t="s">
        <v>699</v>
      </c>
      <c r="J649" s="80">
        <f t="shared" si="51"/>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864992.99</v>
      </c>
      <c r="H652" s="80">
        <f>J599</f>
        <v>864992.98999999987</v>
      </c>
      <c r="I652" s="87" t="s">
        <v>390</v>
      </c>
      <c r="J652" s="80">
        <f t="shared" si="51"/>
        <v>0</v>
      </c>
      <c r="K652" s="67"/>
      <c r="L652" s="69"/>
      <c r="M652" s="8"/>
    </row>
    <row r="653" spans="1:13" s="3" customFormat="1" ht="12.2" customHeight="1" x14ac:dyDescent="0.15">
      <c r="A653" s="21"/>
      <c r="B653" s="22"/>
      <c r="C653" s="22"/>
      <c r="D653" s="22"/>
      <c r="E653" s="22"/>
      <c r="F653" s="86" t="s">
        <v>665</v>
      </c>
      <c r="G653" s="80">
        <f>G180+G182</f>
        <v>5742.94</v>
      </c>
      <c r="H653" s="80">
        <f>K264+K346</f>
        <v>5742.94</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0</v>
      </c>
      <c r="G661" s="13">
        <f>(L230+L310+L360)</f>
        <v>0</v>
      </c>
      <c r="H661" s="13">
        <f>(L248+L329+L361)</f>
        <v>16164268.799999999</v>
      </c>
      <c r="I661" s="13">
        <f>SUM(F661:H661)</f>
        <v>16164268.799999999</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269437.94</v>
      </c>
      <c r="I662" s="13">
        <f>SUM(F662:H662)</f>
        <v>269437.94</v>
      </c>
      <c r="J662"/>
      <c r="K662" s="13"/>
      <c r="L662" s="13"/>
      <c r="M662" s="8"/>
    </row>
    <row r="663" spans="1:13" s="3" customFormat="1" ht="12.2" customHeight="1" x14ac:dyDescent="0.2">
      <c r="A663" s="1" t="s">
        <v>128</v>
      </c>
      <c r="F663" s="13">
        <f>(L209+L288)-(J209+J288)</f>
        <v>0</v>
      </c>
      <c r="G663" s="13">
        <f>(L227+L307)-(J227+J307)</f>
        <v>0</v>
      </c>
      <c r="H663" s="13">
        <f>(L245+L326)-(J245+J326)</f>
        <v>886659.28</v>
      </c>
      <c r="I663" s="13">
        <f>SUM(F663:H663)</f>
        <v>886659.28</v>
      </c>
      <c r="J663"/>
      <c r="K663" s="13"/>
      <c r="L663" s="13"/>
      <c r="M663" s="9"/>
    </row>
    <row r="664" spans="1:13" s="3" customFormat="1" ht="12.2" customHeight="1" x14ac:dyDescent="0.15">
      <c r="A664" s="141" t="s">
        <v>129</v>
      </c>
      <c r="B664" s="124"/>
      <c r="C664" s="124"/>
      <c r="D664" s="124"/>
      <c r="E664" s="124"/>
      <c r="F664" s="142">
        <f>SUM(F576:F588)+SUM(H603:H605)+SUM(L612)</f>
        <v>0</v>
      </c>
      <c r="G664" s="142">
        <f>SUM(G576:G588)+SUM(I603:I605)+L613</f>
        <v>0</v>
      </c>
      <c r="H664" s="142">
        <f>SUM(H576:H588)+SUM(J603:J605)+L614</f>
        <v>1093526.96</v>
      </c>
      <c r="I664" s="13">
        <f>SUM(F664:H664)</f>
        <v>1093526.96</v>
      </c>
      <c r="J664" s="13"/>
      <c r="K664" s="13"/>
      <c r="L664" s="13"/>
      <c r="M664" s="9"/>
    </row>
    <row r="665" spans="1:13" s="3" customFormat="1" ht="12.2" customHeight="1" x14ac:dyDescent="0.15">
      <c r="A665" s="1" t="s">
        <v>130</v>
      </c>
      <c r="F665" s="13">
        <f>F661-SUM(F662:F664)</f>
        <v>0</v>
      </c>
      <c r="G665" s="13">
        <f>G661-SUM(G662:G664)</f>
        <v>0</v>
      </c>
      <c r="H665" s="13">
        <f>H661-SUM(H662:H664)</f>
        <v>13914644.619999999</v>
      </c>
      <c r="I665" s="13">
        <f>I661-SUM(I662:I664)</f>
        <v>13914644.619999999</v>
      </c>
      <c r="J665" s="13"/>
      <c r="K665" s="13"/>
      <c r="L665" s="13"/>
      <c r="M665" s="8"/>
    </row>
    <row r="666" spans="1:13" s="3" customFormat="1" ht="12.2" customHeight="1" x14ac:dyDescent="0.2">
      <c r="A666" s="1" t="s">
        <v>131</v>
      </c>
      <c r="F666" s="182"/>
      <c r="G666" s="183"/>
      <c r="H666" s="183">
        <v>632.58000000000004</v>
      </c>
      <c r="I666" s="13">
        <f>SUM(F666:H666)</f>
        <v>632.58000000000004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f>ROUND(H665/H666,2)</f>
        <v>21996.66</v>
      </c>
      <c r="I668" s="13">
        <f>ROUND(I665/I666,2)</f>
        <v>21996.66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f>ROUND((H665+H670)/(H666+H671),2)</f>
        <v>21996.66</v>
      </c>
      <c r="I673" s="13">
        <f>ROUND((I665+I670)/(I666+I671),2)</f>
        <v>21996.66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62675.82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115.61+3255.97+36146.5</f>
        <v>39518.080000000002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242.97+15265.94+7613.14</f>
        <v>23122.05</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f>35.69</f>
        <v>35.69</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Pemi-Baker Regional</v>
      </c>
      <c r="C5" s="321"/>
      <c r="D5" s="321"/>
      <c r="E5" s="321"/>
      <c r="F5" s="321"/>
    </row>
    <row r="8" spans="1:9" ht="18" x14ac:dyDescent="0.25">
      <c r="A8" s="239" t="s">
        <v>1548</v>
      </c>
      <c r="F8" s="246" t="s">
        <v>1566</v>
      </c>
    </row>
    <row r="9" spans="1:9" ht="15" x14ac:dyDescent="0.2">
      <c r="A9" s="237" t="s">
        <v>1549</v>
      </c>
      <c r="B9" s="240">
        <f>'DOE25'!G97</f>
        <v>269437.94</v>
      </c>
      <c r="F9" s="237" t="s">
        <v>1562</v>
      </c>
    </row>
    <row r="10" spans="1:9" ht="15" x14ac:dyDescent="0.2">
      <c r="A10" s="237" t="s">
        <v>1550</v>
      </c>
      <c r="B10" s="240">
        <f>'DOE25'!G112-'DOE25'!G97</f>
        <v>0</v>
      </c>
      <c r="F10" s="237" t="s">
        <v>1563</v>
      </c>
    </row>
    <row r="11" spans="1:9" ht="15" x14ac:dyDescent="0.2">
      <c r="A11" s="237" t="s">
        <v>1551</v>
      </c>
      <c r="B11" s="240">
        <f>'DOE25'!G140</f>
        <v>2212.29</v>
      </c>
      <c r="F11" s="237" t="s">
        <v>1564</v>
      </c>
    </row>
    <row r="12" spans="1:9" ht="15" x14ac:dyDescent="0.2">
      <c r="A12" s="237" t="s">
        <v>1552</v>
      </c>
      <c r="B12" s="240">
        <f>'DOE25'!G170</f>
        <v>84276.160000000003</v>
      </c>
      <c r="F12" s="237" t="s">
        <v>1565</v>
      </c>
    </row>
    <row r="13" spans="1:9" ht="15" x14ac:dyDescent="0.2">
      <c r="A13" s="237" t="s">
        <v>1553</v>
      </c>
      <c r="B13" s="240">
        <f>'DOE25'!G193-'DOE25'!G180</f>
        <v>0</v>
      </c>
      <c r="F13" s="237" t="s">
        <v>1575</v>
      </c>
    </row>
    <row r="14" spans="1:9" ht="18" x14ac:dyDescent="0.25">
      <c r="A14" s="239" t="s">
        <v>732</v>
      </c>
      <c r="B14" s="241">
        <f>SUM(B9:B13)</f>
        <v>355926.39</v>
      </c>
    </row>
    <row r="16" spans="1:9" ht="18" x14ac:dyDescent="0.25">
      <c r="A16" s="239" t="s">
        <v>783</v>
      </c>
      <c r="F16" s="246" t="s">
        <v>1567</v>
      </c>
    </row>
    <row r="17" spans="1:6" ht="15" x14ac:dyDescent="0.2">
      <c r="A17" s="237" t="s">
        <v>1554</v>
      </c>
      <c r="B17" s="240">
        <f>'DOE25'!L363-'DOE25'!L362</f>
        <v>387798.76</v>
      </c>
      <c r="F17" s="237" t="s">
        <v>1568</v>
      </c>
    </row>
    <row r="18" spans="1:6" ht="15" x14ac:dyDescent="0.2">
      <c r="A18" s="237" t="s">
        <v>1555</v>
      </c>
      <c r="B18" s="250"/>
      <c r="F18" s="246" t="s">
        <v>1592</v>
      </c>
    </row>
    <row r="19" spans="1:6" ht="18" x14ac:dyDescent="0.25">
      <c r="A19" s="239" t="s">
        <v>725</v>
      </c>
      <c r="B19" s="241">
        <f>SUM(B17:B18)</f>
        <v>387798.76</v>
      </c>
    </row>
    <row r="21" spans="1:6" ht="18.75" thickBot="1" x14ac:dyDescent="0.3">
      <c r="A21" s="239" t="s">
        <v>1556</v>
      </c>
    </row>
    <row r="22" spans="1:6" ht="18.75" thickTop="1" x14ac:dyDescent="0.25">
      <c r="A22" s="239" t="s">
        <v>1557</v>
      </c>
      <c r="B22" s="245">
        <f>B14-B19</f>
        <v>-31872.369999999995</v>
      </c>
      <c r="F22" s="237" t="s">
        <v>1569</v>
      </c>
    </row>
    <row r="26" spans="1:6" ht="18" x14ac:dyDescent="0.25">
      <c r="A26" s="239" t="s">
        <v>186</v>
      </c>
    </row>
    <row r="27" spans="1:6" ht="15" x14ac:dyDescent="0.2">
      <c r="A27" s="237" t="s">
        <v>1558</v>
      </c>
      <c r="B27" s="240">
        <f>'DOE25'!G180</f>
        <v>5742.94</v>
      </c>
      <c r="F27" s="237" t="s">
        <v>1570</v>
      </c>
    </row>
    <row r="28" spans="1:6" ht="15" x14ac:dyDescent="0.2">
      <c r="A28" s="237" t="s">
        <v>1560</v>
      </c>
      <c r="B28" s="240">
        <f>'DOE25'!L362</f>
        <v>0</v>
      </c>
      <c r="F28" s="237" t="s">
        <v>1571</v>
      </c>
    </row>
    <row r="31" spans="1:6" ht="15" x14ac:dyDescent="0.2">
      <c r="A31" s="237" t="s">
        <v>1789</v>
      </c>
      <c r="B31" s="240">
        <f>'DOE25'!G466</f>
        <v>104656.35</v>
      </c>
      <c r="F31" s="237" t="s">
        <v>1572</v>
      </c>
    </row>
    <row r="33" spans="1:6" ht="15" x14ac:dyDescent="0.2">
      <c r="A33" s="237" t="s">
        <v>1790</v>
      </c>
      <c r="B33" s="240">
        <f>'DOE25'!G477</f>
        <v>78526.920000000042</v>
      </c>
      <c r="F33" s="237" t="s">
        <v>1573</v>
      </c>
    </row>
    <row r="36" spans="1:6" ht="15" x14ac:dyDescent="0.2">
      <c r="A36" s="237" t="s">
        <v>1559</v>
      </c>
      <c r="B36" s="251">
        <v>26497.39</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Pemi-Baker Regional</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3140698.46</v>
      </c>
      <c r="C9" s="166">
        <f>'DOE25'!G198+'DOE25'!G216+'DOE25'!G234+'DOE25'!G277+'DOE25'!G296+'DOE25'!G315</f>
        <v>1906226.79</v>
      </c>
    </row>
    <row r="10" spans="1:3" x14ac:dyDescent="0.2">
      <c r="A10" t="s">
        <v>772</v>
      </c>
      <c r="B10" s="176">
        <v>3087867.64</v>
      </c>
      <c r="C10" s="176">
        <v>1873336.85</v>
      </c>
    </row>
    <row r="11" spans="1:3" x14ac:dyDescent="0.2">
      <c r="A11" t="s">
        <v>773</v>
      </c>
      <c r="B11" s="176">
        <v>36538.32</v>
      </c>
      <c r="C11" s="176">
        <v>2834.29</v>
      </c>
    </row>
    <row r="12" spans="1:3" x14ac:dyDescent="0.2">
      <c r="A12" t="s">
        <v>774</v>
      </c>
      <c r="B12" s="176">
        <v>16292.5</v>
      </c>
      <c r="C12" s="176">
        <v>30055.65</v>
      </c>
    </row>
    <row r="13" spans="1:3" x14ac:dyDescent="0.2">
      <c r="A13" t="str">
        <f>IF(B9=B13,IF(C9=C13,"Check Total OK","Check Total Error"),"Check Total Error")</f>
        <v>Check Total OK</v>
      </c>
      <c r="B13" s="168">
        <f>SUM(B10:B12)</f>
        <v>3140698.46</v>
      </c>
      <c r="C13" s="168">
        <f>SUM(C10:C12)</f>
        <v>1906226.79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871359.33</v>
      </c>
      <c r="C18" s="166">
        <f>'DOE25'!G199+'DOE25'!G217+'DOE25'!G235+'DOE25'!G278+'DOE25'!G297+'DOE25'!G316</f>
        <v>457316.17</v>
      </c>
    </row>
    <row r="19" spans="1:3" x14ac:dyDescent="0.2">
      <c r="A19" t="s">
        <v>772</v>
      </c>
      <c r="B19" s="176">
        <v>439598.02</v>
      </c>
      <c r="C19" s="176">
        <v>209910.12</v>
      </c>
    </row>
    <row r="20" spans="1:3" x14ac:dyDescent="0.2">
      <c r="A20" t="s">
        <v>773</v>
      </c>
      <c r="B20" s="176">
        <v>325790.31</v>
      </c>
      <c r="C20" s="176">
        <v>207456.29</v>
      </c>
    </row>
    <row r="21" spans="1:3" x14ac:dyDescent="0.2">
      <c r="A21" t="s">
        <v>774</v>
      </c>
      <c r="B21" s="176">
        <v>105971</v>
      </c>
      <c r="C21" s="176">
        <v>39949.760000000002</v>
      </c>
    </row>
    <row r="22" spans="1:3" x14ac:dyDescent="0.2">
      <c r="A22" t="str">
        <f>IF(B18=B22,IF(C18=C22,"Check Total OK","Check Total Error"),"Check Total Error")</f>
        <v>Check Total OK</v>
      </c>
      <c r="B22" s="168">
        <f>SUM(B19:B21)</f>
        <v>871359.33000000007</v>
      </c>
      <c r="C22" s="168">
        <f>SUM(C19:C21)</f>
        <v>457316.17000000004</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533603.54999999993</v>
      </c>
      <c r="C27" s="171">
        <f>'DOE25'!G200+'DOE25'!G218+'DOE25'!G236+'DOE25'!G279+'DOE25'!G298+'DOE25'!G317</f>
        <v>263220.27</v>
      </c>
    </row>
    <row r="28" spans="1:3" x14ac:dyDescent="0.2">
      <c r="A28" t="s">
        <v>772</v>
      </c>
      <c r="B28" s="176">
        <v>533603.55000000005</v>
      </c>
      <c r="C28" s="176">
        <v>263220.27</v>
      </c>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533603.55000000005</v>
      </c>
      <c r="C31" s="168">
        <f>SUM(C28:C30)</f>
        <v>263220.27</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337194.68</v>
      </c>
      <c r="C36" s="172">
        <f>'DOE25'!G201+'DOE25'!G219+'DOE25'!G237+'DOE25'!G280+'DOE25'!G299+'DOE25'!G318</f>
        <v>71554.73</v>
      </c>
    </row>
    <row r="37" spans="1:3" x14ac:dyDescent="0.2">
      <c r="A37" t="s">
        <v>772</v>
      </c>
      <c r="B37" s="176"/>
      <c r="C37" s="176"/>
    </row>
    <row r="38" spans="1:3" x14ac:dyDescent="0.2">
      <c r="A38" t="s">
        <v>773</v>
      </c>
      <c r="B38" s="176"/>
      <c r="C38" s="176"/>
    </row>
    <row r="39" spans="1:3" x14ac:dyDescent="0.2">
      <c r="A39" t="s">
        <v>774</v>
      </c>
      <c r="B39" s="176">
        <v>337194.68</v>
      </c>
      <c r="C39" s="176">
        <v>71554.73</v>
      </c>
    </row>
    <row r="40" spans="1:3" x14ac:dyDescent="0.2">
      <c r="A40" t="str">
        <f>IF(B36=B40,IF(C36=C40,"Check Total OK","Check Total Error"),"Check Total Error")</f>
        <v>Check Total OK</v>
      </c>
      <c r="B40" s="168">
        <f>SUM(B37:B39)</f>
        <v>337194.68</v>
      </c>
      <c r="C40" s="168">
        <f>SUM(C37:C39)</f>
        <v>71554.73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E40" sqref="E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Pemi-Baker Regional</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9025660.9200000018</v>
      </c>
      <c r="D5" s="19">
        <f>SUM('DOE25'!L198:L201)+SUM('DOE25'!L216:L219)+SUM('DOE25'!L234:L237)-F5-G5-H5</f>
        <v>8791767.4600000009</v>
      </c>
      <c r="E5" s="179"/>
      <c r="F5" s="180"/>
      <c r="G5" s="19">
        <f>SUM('DOE25'!J198:J201)+SUM('DOE25'!J216:J219)+SUM('DOE25'!J234:J237)</f>
        <v>219994.70999999996</v>
      </c>
      <c r="H5" s="19">
        <f>SUM('DOE25'!K198:K201)+SUM('DOE25'!K216:K219)+SUM('DOE25'!K234:K237)</f>
        <v>13898.75</v>
      </c>
      <c r="I5" s="191"/>
    </row>
    <row r="6" spans="1:9" x14ac:dyDescent="0.2">
      <c r="A6" s="31">
        <v>2100</v>
      </c>
      <c r="B6" t="s">
        <v>793</v>
      </c>
      <c r="C6" s="205">
        <f t="shared" si="0"/>
        <v>1126791.2</v>
      </c>
      <c r="D6" s="19">
        <f>'DOE25'!L203+'DOE25'!L221+'DOE25'!L239-F6-G6-H6</f>
        <v>1126092.23</v>
      </c>
      <c r="E6" s="179"/>
      <c r="F6" s="180"/>
      <c r="G6" s="19">
        <f>'DOE25'!J203+'DOE25'!J221+'DOE25'!J239</f>
        <v>254.97</v>
      </c>
      <c r="H6" s="19">
        <f>'DOE25'!K203+'DOE25'!K221+'DOE25'!K239</f>
        <v>444</v>
      </c>
      <c r="I6" s="191"/>
    </row>
    <row r="7" spans="1:9" x14ac:dyDescent="0.2">
      <c r="A7" s="31">
        <v>2200</v>
      </c>
      <c r="B7" t="s">
        <v>817</v>
      </c>
      <c r="C7" s="205">
        <f t="shared" si="0"/>
        <v>249845.65</v>
      </c>
      <c r="D7" s="19">
        <f>'DOE25'!L204+'DOE25'!L222+'DOE25'!L240-F7-G7-H7</f>
        <v>249845.65</v>
      </c>
      <c r="E7" s="179"/>
      <c r="F7" s="180"/>
      <c r="G7" s="19">
        <f>'DOE25'!J204+'DOE25'!J222+'DOE25'!J240</f>
        <v>0</v>
      </c>
      <c r="H7" s="19">
        <f>'DOE25'!K204+'DOE25'!K222+'DOE25'!K240</f>
        <v>0</v>
      </c>
      <c r="I7" s="191"/>
    </row>
    <row r="8" spans="1:9" x14ac:dyDescent="0.2">
      <c r="A8" s="31">
        <v>2300</v>
      </c>
      <c r="B8" t="s">
        <v>794</v>
      </c>
      <c r="C8" s="205">
        <f t="shared" si="0"/>
        <v>978513.57</v>
      </c>
      <c r="D8" s="179"/>
      <c r="E8" s="19">
        <f>'DOE25'!L205+'DOE25'!L223+'DOE25'!L241-F8-G8-H8-D9-D11</f>
        <v>973653.05999999994</v>
      </c>
      <c r="F8" s="180"/>
      <c r="G8" s="19">
        <f>'DOE25'!J205+'DOE25'!J223+'DOE25'!J241</f>
        <v>0</v>
      </c>
      <c r="H8" s="19">
        <f>'DOE25'!K205+'DOE25'!K223+'DOE25'!K241</f>
        <v>4860.51</v>
      </c>
      <c r="I8" s="191"/>
    </row>
    <row r="9" spans="1:9" ht="14.25" x14ac:dyDescent="0.2">
      <c r="A9" s="31">
        <v>2310</v>
      </c>
      <c r="B9" s="71" t="s">
        <v>884</v>
      </c>
      <c r="C9" s="205">
        <f t="shared" si="0"/>
        <v>55411.29</v>
      </c>
      <c r="D9" s="180">
        <v>55411.29</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903487.33999999985</v>
      </c>
      <c r="D12" s="19">
        <f>'DOE25'!L206+'DOE25'!L224+'DOE25'!L242-F12-G12-H12</f>
        <v>882346.85999999987</v>
      </c>
      <c r="E12" s="179"/>
      <c r="F12" s="180"/>
      <c r="G12" s="19">
        <f>'DOE25'!J206+'DOE25'!J224+'DOE25'!J242</f>
        <v>0</v>
      </c>
      <c r="H12" s="19">
        <f>'DOE25'!K206+'DOE25'!K224+'DOE25'!K242</f>
        <v>21140.48</v>
      </c>
      <c r="I12" s="191"/>
    </row>
    <row r="13" spans="1:9" x14ac:dyDescent="0.2">
      <c r="A13" s="31">
        <v>2500</v>
      </c>
      <c r="B13" t="s">
        <v>795</v>
      </c>
      <c r="C13" s="205">
        <f t="shared" si="0"/>
        <v>491.59</v>
      </c>
      <c r="D13" s="179"/>
      <c r="E13" s="19">
        <f>'DOE25'!L207+'DOE25'!L225+'DOE25'!L243-F13-G13-H13</f>
        <v>491.59</v>
      </c>
      <c r="F13" s="180"/>
      <c r="G13" s="19">
        <f>'DOE25'!J207+'DOE25'!J225+'DOE25'!J243</f>
        <v>0</v>
      </c>
      <c r="H13" s="19">
        <f>'DOE25'!K207+'DOE25'!K225+'DOE25'!K243</f>
        <v>0</v>
      </c>
      <c r="I13" s="191"/>
    </row>
    <row r="14" spans="1:9" x14ac:dyDescent="0.2">
      <c r="A14" s="31">
        <v>2600</v>
      </c>
      <c r="B14" t="s">
        <v>815</v>
      </c>
      <c r="C14" s="205">
        <f t="shared" si="0"/>
        <v>1752880.31</v>
      </c>
      <c r="D14" s="19">
        <f>'DOE25'!L208+'DOE25'!L226+'DOE25'!L244-F14-G14-H14</f>
        <v>1465965.53</v>
      </c>
      <c r="E14" s="179"/>
      <c r="F14" s="180"/>
      <c r="G14" s="19">
        <f>'DOE25'!J208+'DOE25'!J226+'DOE25'!J244</f>
        <v>286914.78000000003</v>
      </c>
      <c r="H14" s="19">
        <f>'DOE25'!K208+'DOE25'!K226+'DOE25'!K244</f>
        <v>0</v>
      </c>
      <c r="I14" s="191"/>
    </row>
    <row r="15" spans="1:9" x14ac:dyDescent="0.2">
      <c r="A15" s="31">
        <v>2700</v>
      </c>
      <c r="B15" t="s">
        <v>796</v>
      </c>
      <c r="C15" s="205">
        <f t="shared" si="0"/>
        <v>864992.99</v>
      </c>
      <c r="D15" s="19">
        <f>'DOE25'!L209+'DOE25'!L227+'DOE25'!L245-F15-G15-H15</f>
        <v>313904.99</v>
      </c>
      <c r="E15" s="179"/>
      <c r="F15" s="180">
        <v>551088</v>
      </c>
      <c r="G15" s="19">
        <f>'DOE25'!J209+'DOE25'!J227+'DOE25'!J245</f>
        <v>0</v>
      </c>
      <c r="H15" s="19">
        <f>'DOE25'!K209+'DOE25'!K227+'DOE25'!K245</f>
        <v>0</v>
      </c>
      <c r="I15" s="191"/>
    </row>
    <row r="16" spans="1:9" x14ac:dyDescent="0.2">
      <c r="A16" s="31">
        <v>2800</v>
      </c>
      <c r="B16" t="s">
        <v>797</v>
      </c>
      <c r="C16" s="205">
        <f t="shared" si="0"/>
        <v>73354.45</v>
      </c>
      <c r="D16" s="179"/>
      <c r="E16" s="19">
        <f>'DOE25'!L210+'DOE25'!L228+'DOE25'!L246-F16-G16-H16</f>
        <v>73354.45</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2000309.3399999999</v>
      </c>
      <c r="D22" s="179"/>
      <c r="E22" s="179"/>
      <c r="F22" s="179"/>
      <c r="G22" s="19">
        <f>'DOE25'!L256+'DOE25'!L337</f>
        <v>2000309.3399999999</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553207.23</v>
      </c>
      <c r="D25" s="179"/>
      <c r="E25" s="179"/>
      <c r="F25" s="190"/>
      <c r="G25" s="179"/>
      <c r="H25" s="179"/>
      <c r="I25" s="189">
        <f>'DOE25'!L261+'DOE25'!L262+'DOE25'!L342+'DOE25'!L343</f>
        <v>553207.23</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239188.68000000002</v>
      </c>
      <c r="D29" s="211">
        <f>'DOE25'!L359+'DOE25'!L360+'DOE25'!L361-'DOE25'!I368-F29-G29-H29-F39</f>
        <v>239188.68000000002</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745040.73</v>
      </c>
      <c r="D31" s="19">
        <f>'DOE25'!L291+'DOE25'!L310+'DOE25'!L329+'DOE25'!L334+'DOE25'!L335+'DOE25'!L336-F31-G31-H31</f>
        <v>476107.52000000008</v>
      </c>
      <c r="E31" s="179"/>
      <c r="F31" s="180">
        <v>126073.53</v>
      </c>
      <c r="G31" s="19">
        <f>'DOE25'!J291+'DOE25'!J310+'DOE25'!J329+'DOE25'!J334+'DOE25'!J335+'DOE25'!J336</f>
        <v>25941.85</v>
      </c>
      <c r="H31" s="19">
        <f>'DOE25'!K291+'DOE25'!K310+'DOE25'!K329+'DOE25'!K334+'DOE25'!K335+'DOE25'!K336</f>
        <v>116917.83</v>
      </c>
      <c r="I31" s="191"/>
    </row>
    <row r="32" spans="1:9" ht="12" thickBot="1" x14ac:dyDescent="0.25">
      <c r="C32" s="206"/>
      <c r="G32" s="187"/>
      <c r="H32" s="187"/>
      <c r="I32" s="193"/>
    </row>
    <row r="33" spans="1:9" ht="12" thickTop="1" x14ac:dyDescent="0.2">
      <c r="B33" t="s">
        <v>806</v>
      </c>
      <c r="D33" s="181">
        <f t="shared" ref="D33:I33" si="1">SUM(D5:D31)</f>
        <v>13600630.209999999</v>
      </c>
      <c r="E33" s="181">
        <f t="shared" si="1"/>
        <v>1047499.0999999999</v>
      </c>
      <c r="F33" s="181">
        <f t="shared" si="1"/>
        <v>677161.53</v>
      </c>
      <c r="G33" s="181">
        <f t="shared" si="1"/>
        <v>2533415.65</v>
      </c>
      <c r="H33" s="181">
        <f t="shared" si="1"/>
        <v>157261.57</v>
      </c>
      <c r="I33" s="181">
        <f t="shared" si="1"/>
        <v>553207.23</v>
      </c>
    </row>
    <row r="34" spans="1:9" ht="12" thickBot="1" x14ac:dyDescent="0.25"/>
    <row r="35" spans="1:9" ht="12" thickBot="1" x14ac:dyDescent="0.25">
      <c r="B35" s="187" t="s">
        <v>827</v>
      </c>
      <c r="D35" s="188">
        <f>E33</f>
        <v>1047499.0999999999</v>
      </c>
      <c r="E35" s="184"/>
      <c r="F35" s="294" t="s">
        <v>1596</v>
      </c>
      <c r="G35" s="295"/>
      <c r="H35" s="295"/>
      <c r="I35" s="296"/>
    </row>
    <row r="36" spans="1:9" ht="12" thickTop="1" x14ac:dyDescent="0.2">
      <c r="B36" t="s">
        <v>807</v>
      </c>
      <c r="D36" s="19">
        <f>D33</f>
        <v>13600630.209999999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148610.07999999999</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A18" sqref="A18"/>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Pemi-Baker Regional</v>
      </c>
      <c r="B2">
        <f>'DOE25'!B2</f>
        <v>428</v>
      </c>
      <c r="J2" s="223" t="s">
        <v>1799</v>
      </c>
      <c r="K2" s="308">
        <f>SUM('DOE25'!L198:L201)+SUM('DOE25'!L277:L280)</f>
        <v>0</v>
      </c>
      <c r="L2" s="308">
        <f>'DOE25'!L203+'DOE25'!L282</f>
        <v>0</v>
      </c>
      <c r="M2" s="308">
        <f>'DOE25'!L204+'DOE25'!L283</f>
        <v>0</v>
      </c>
      <c r="N2" s="308">
        <f>'DOE25'!L206+'DOE25'!L285</f>
        <v>0</v>
      </c>
      <c r="O2" s="316">
        <f>'Salaries-Benefits'!B10+'Salaries-Benefits'!B12+'Salaries-Benefits'!B19+'Salaries-Benefits'!B21+'Salaries-Benefits'!B28+'Salaries-Benefits'!B30+'Salaries-Benefits'!B37+'Salaries-Benefits'!B39</f>
        <v>4520527.3899999997</v>
      </c>
      <c r="P2" s="316">
        <f>'Salaries-Benefits'!B11+'Salaries-Benefits'!B20+'Salaries-Benefits'!B29+'Salaries-Benefits'!B38</f>
        <v>362328.63</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0</v>
      </c>
      <c r="G4" s="228">
        <f>'DOE25'!L212+'DOE25'!L291</f>
        <v>0</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v>4520527.3899999997</v>
      </c>
      <c r="P5" s="20">
        <v>362328.63</v>
      </c>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0</v>
      </c>
      <c r="E21" s="261">
        <f>SUM(E5:E20)</f>
        <v>0</v>
      </c>
      <c r="F21" s="216"/>
      <c r="G21" s="216"/>
      <c r="H21" s="216"/>
      <c r="K21" s="262">
        <f t="shared" ref="K21:Q21" si="4">SUM(K5:K20)</f>
        <v>0</v>
      </c>
      <c r="L21" s="262">
        <f t="shared" si="4"/>
        <v>0</v>
      </c>
      <c r="M21" s="262">
        <f t="shared" si="4"/>
        <v>0</v>
      </c>
      <c r="N21" s="262">
        <f t="shared" si="4"/>
        <v>0</v>
      </c>
      <c r="O21" s="262">
        <f t="shared" si="4"/>
        <v>4520527.3899999997</v>
      </c>
      <c r="P21" s="262">
        <f t="shared" si="4"/>
        <v>362328.63</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9465408.3499999996</v>
      </c>
      <c r="L36" s="19">
        <f>'DOE25'!L239+'DOE25'!L320</f>
        <v>1168939.7</v>
      </c>
      <c r="M36" s="19">
        <f>'DOE25'!L240+'DOE25'!L321</f>
        <v>344213.27</v>
      </c>
      <c r="N36" s="19">
        <f>'DOE25'!L242+'DOE25'!L323</f>
        <v>903987.33999999985</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15776470.039999999</v>
      </c>
      <c r="G38" s="228">
        <f>'DOE25'!L248+'DOE25'!L329</f>
        <v>15776470.039999999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'DOE25'!H589</f>
        <v>541451.31999999995</v>
      </c>
      <c r="E39" s="219"/>
      <c r="F39" s="231">
        <f t="shared" ref="F39:F44" si="10">D39+E39</f>
        <v>541451.31999999995</v>
      </c>
      <c r="G39" s="222"/>
      <c r="H39" s="222"/>
      <c r="J39" s="71" t="s">
        <v>1840</v>
      </c>
      <c r="K39" s="315">
        <v>541451.31999999995</v>
      </c>
      <c r="L39" s="315"/>
      <c r="M39" s="315"/>
      <c r="N39" s="315"/>
      <c r="O39" s="315"/>
      <c r="P39" s="315"/>
      <c r="Q39" s="315">
        <v>0</v>
      </c>
    </row>
    <row r="40" spans="1:17" x14ac:dyDescent="0.2">
      <c r="A40" t="str" cm="1">
        <f t="array" ref="A40">IFERROR(INDEX('School Tables'!$W$4:$AC$120,'School Tables'!$AF4,3),"")</f>
        <v>Plymouth Regional High School</v>
      </c>
      <c r="B40" s="229">
        <f>IFERROR(VLOOKUP(A40,'School Tables'!$Y$4:$Z$120,2,FALSE),"")</f>
        <v>22350</v>
      </c>
      <c r="C40" s="222" t="str">
        <f>IFERROR(INDEX('School Tables'!$X$4:$X$120,MATCH('School Level Expenditures'!A40,'School Tables'!$Y$4:$Y$120,0)),"")</f>
        <v>Pemi-Baker Regional</v>
      </c>
      <c r="D40" s="219">
        <f>'DOE25'!L248-541451.32</f>
        <v>14489977.989999998</v>
      </c>
      <c r="E40" s="219">
        <f>'DOE25'!L329</f>
        <v>745040.7300000001</v>
      </c>
      <c r="F40" s="231">
        <f t="shared" si="10"/>
        <v>15235018.719999999</v>
      </c>
      <c r="G40" s="222"/>
      <c r="H40" s="222"/>
      <c r="J40" t="str">
        <f>A40</f>
        <v>Plymouth Regional High School</v>
      </c>
      <c r="K40" s="101">
        <f>SUM('DOE25'!L234:L237)+SUM('DOE25'!L315:L318)-541451.32</f>
        <v>8923957.0299999993</v>
      </c>
      <c r="L40" s="101">
        <f>'DOE25'!L239+'DOE25'!L320</f>
        <v>1168939.7</v>
      </c>
      <c r="M40" s="307">
        <v>344213.27</v>
      </c>
      <c r="N40" s="101">
        <f>'DOE25'!L242+'DOE25'!L323</f>
        <v>903987.33999999985</v>
      </c>
      <c r="O40" s="20"/>
      <c r="P40" s="20"/>
      <c r="Q40" s="20">
        <v>426.3</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15031429.309999999</v>
      </c>
      <c r="E45" s="262">
        <f>SUM(E39:E44)</f>
        <v>745040.7300000001</v>
      </c>
      <c r="K45" s="262">
        <f t="shared" ref="K45:Q45" si="11">SUM(K39:K44)</f>
        <v>9465408.3499999996</v>
      </c>
      <c r="L45" s="262">
        <f t="shared" si="11"/>
        <v>1168939.7</v>
      </c>
      <c r="M45" s="262">
        <f t="shared" si="11"/>
        <v>344213.27</v>
      </c>
      <c r="N45" s="262">
        <f t="shared" si="11"/>
        <v>903987.33999999985</v>
      </c>
      <c r="O45" s="262">
        <f t="shared" si="11"/>
        <v>0</v>
      </c>
      <c r="P45" s="262">
        <f t="shared" si="11"/>
        <v>0</v>
      </c>
      <c r="Q45" s="262">
        <f t="shared" si="11"/>
        <v>426.3</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Pemi-Baker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2217555.3199999998</v>
      </c>
      <c r="D8" s="73">
        <f>'DOE25'!G9</f>
        <v>132784.68</v>
      </c>
      <c r="E8" s="73">
        <f>'DOE25'!H9</f>
        <v>-155288.93</v>
      </c>
      <c r="F8" s="73">
        <f>'DOE25'!I9</f>
        <v>-3446</v>
      </c>
      <c r="G8" s="73">
        <f>'DOE25'!J9</f>
        <v>0</v>
      </c>
      <c r="H8" s="13">
        <f>SUM(C8:G8)</f>
        <v>2191605.0699999998</v>
      </c>
      <c r="I8" s="90"/>
    </row>
    <row r="9" spans="1:9" x14ac:dyDescent="0.2">
      <c r="A9" s="1" t="s">
        <v>140</v>
      </c>
      <c r="B9" s="6">
        <v>110</v>
      </c>
      <c r="C9" s="73">
        <f>'DOE25'!F10</f>
        <v>0</v>
      </c>
      <c r="D9" s="73">
        <f>'DOE25'!G10</f>
        <v>0</v>
      </c>
      <c r="E9" s="73">
        <f>'DOE25'!H10</f>
        <v>0</v>
      </c>
      <c r="F9" s="73">
        <f>'DOE25'!I10</f>
        <v>0</v>
      </c>
      <c r="G9" s="73">
        <f>'DOE25'!J10</f>
        <v>3866.44</v>
      </c>
      <c r="H9" s="13">
        <f t="shared" ref="H9:H18" si="0">SUM(C9:G9)</f>
        <v>3866.44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22502.07</v>
      </c>
      <c r="D12" s="73">
        <f>'DOE25'!G13</f>
        <v>16952.650000000001</v>
      </c>
      <c r="E12" s="73">
        <f>'DOE25'!H13</f>
        <v>200853.91</v>
      </c>
      <c r="F12" s="73">
        <f>'DOE25'!I13</f>
        <v>0</v>
      </c>
      <c r="G12" s="73">
        <f>'DOE25'!J13</f>
        <v>0</v>
      </c>
      <c r="H12" s="13">
        <f t="shared" si="0"/>
        <v>240308.63</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102834.51</v>
      </c>
      <c r="D16" s="73">
        <f>'DOE25'!G17</f>
        <v>0</v>
      </c>
      <c r="E16" s="73">
        <f>'DOE25'!H17</f>
        <v>0</v>
      </c>
      <c r="F16" s="73">
        <f>'DOE25'!I17</f>
        <v>0</v>
      </c>
      <c r="G16" s="73">
        <f>'DOE25'!J17</f>
        <v>0</v>
      </c>
      <c r="H16" s="13">
        <f t="shared" si="0"/>
        <v>102834.51</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2342891.8999999994</v>
      </c>
      <c r="D18" s="38">
        <f>SUM(D8:D17)</f>
        <v>149737.32999999999</v>
      </c>
      <c r="E18" s="38">
        <f>SUM(E8:E17)</f>
        <v>45564.98000000001</v>
      </c>
      <c r="F18" s="38">
        <f>SUM(F8:F17)</f>
        <v>-3446</v>
      </c>
      <c r="G18" s="38">
        <f>SUM(G8:G17)</f>
        <v>3866.44</v>
      </c>
      <c r="H18" s="38">
        <f t="shared" si="0"/>
        <v>2538614.6499999994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573797.4</v>
      </c>
      <c r="D23" s="73">
        <f>'DOE25'!G24</f>
        <v>71210.41</v>
      </c>
      <c r="E23" s="73">
        <f>'DOE25'!H24</f>
        <v>36833.629999999997</v>
      </c>
      <c r="F23" s="73">
        <f>'DOE25'!I24</f>
        <v>0</v>
      </c>
      <c r="G23" s="73">
        <f>'DOE25'!J24</f>
        <v>0</v>
      </c>
      <c r="H23" s="13">
        <f t="shared" si="1"/>
        <v>681841.44000000006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45767.56</v>
      </c>
      <c r="D29" s="73">
        <f>'DOE25'!G30</f>
        <v>0</v>
      </c>
      <c r="E29" s="73">
        <f>'DOE25'!H30</f>
        <v>8731.35</v>
      </c>
      <c r="F29" s="73">
        <f>'DOE25'!I30</f>
        <v>6286.22</v>
      </c>
      <c r="G29" s="23" t="s">
        <v>288</v>
      </c>
      <c r="H29" s="13">
        <f t="shared" si="1"/>
        <v>60785.13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619564.96</v>
      </c>
      <c r="D31" s="38">
        <f>SUM(D21:D30)</f>
        <v>71210.41</v>
      </c>
      <c r="E31" s="38">
        <f>SUM(E21:E30)</f>
        <v>45564.979999999996</v>
      </c>
      <c r="F31" s="38">
        <f>SUM(F21:F30)</f>
        <v>6286.22</v>
      </c>
      <c r="G31" s="38">
        <f>SUM(G21:G30)</f>
        <v>0</v>
      </c>
      <c r="H31" s="38">
        <f t="shared" si="1"/>
        <v>742626.57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328437</v>
      </c>
      <c r="D45" s="23" t="s">
        <v>288</v>
      </c>
      <c r="E45" s="23" t="s">
        <v>288</v>
      </c>
      <c r="F45" s="23" t="s">
        <v>288</v>
      </c>
      <c r="G45" s="23" t="s">
        <v>288</v>
      </c>
      <c r="H45" s="13">
        <f t="shared" si="2"/>
        <v>328437</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78526.92</v>
      </c>
      <c r="E47" s="73">
        <f>'DOE25'!H48</f>
        <v>-146235.38</v>
      </c>
      <c r="F47" s="73">
        <f>'DOE25'!I48</f>
        <v>-9732.2199999999993</v>
      </c>
      <c r="G47" s="73">
        <f>'DOE25'!J48</f>
        <v>3866.44</v>
      </c>
      <c r="H47" s="13">
        <f t="shared" si="2"/>
        <v>-73574.240000000005</v>
      </c>
      <c r="I47" s="90"/>
    </row>
    <row r="48" spans="1:9" x14ac:dyDescent="0.2">
      <c r="A48" s="1" t="s">
        <v>878</v>
      </c>
      <c r="B48" s="6">
        <v>753</v>
      </c>
      <c r="C48" s="73">
        <f>'DOE25'!F49</f>
        <v>1237032.51</v>
      </c>
      <c r="D48" s="73">
        <f>'DOE25'!G49</f>
        <v>0</v>
      </c>
      <c r="E48" s="73">
        <f>'DOE25'!H49</f>
        <v>146235.38</v>
      </c>
      <c r="F48" s="73">
        <f>'DOE25'!I49</f>
        <v>0</v>
      </c>
      <c r="G48" s="73">
        <f>'DOE25'!J49</f>
        <v>0</v>
      </c>
      <c r="H48" s="13">
        <f t="shared" si="2"/>
        <v>1383267.8900000001</v>
      </c>
      <c r="I48" s="90"/>
    </row>
    <row r="49" spans="1:9" ht="12" thickBot="1" x14ac:dyDescent="0.25">
      <c r="A49" s="28" t="s">
        <v>879</v>
      </c>
      <c r="B49" s="56">
        <v>770</v>
      </c>
      <c r="C49" s="73">
        <f>'DOE25'!F50</f>
        <v>157857.43</v>
      </c>
      <c r="D49" s="23" t="s">
        <v>288</v>
      </c>
      <c r="E49" s="23" t="s">
        <v>288</v>
      </c>
      <c r="F49" s="23" t="s">
        <v>288</v>
      </c>
      <c r="G49" s="23" t="s">
        <v>288</v>
      </c>
      <c r="H49" s="13">
        <f t="shared" si="2"/>
        <v>157857.43</v>
      </c>
      <c r="I49" s="90"/>
    </row>
    <row r="50" spans="1:9" ht="12.75" thickTop="1" thickBot="1" x14ac:dyDescent="0.25">
      <c r="A50" s="35" t="s">
        <v>880</v>
      </c>
      <c r="B50" s="44"/>
      <c r="C50" s="38">
        <f>SUM(C34:C49)</f>
        <v>1723326.94</v>
      </c>
      <c r="D50" s="38">
        <f>SUM(D34:D49)</f>
        <v>78526.92</v>
      </c>
      <c r="E50" s="38">
        <f>SUM(E34:E49)</f>
        <v>0</v>
      </c>
      <c r="F50" s="38">
        <f>SUM(F34:F49)</f>
        <v>-9732.2199999999993</v>
      </c>
      <c r="G50" s="38">
        <f>SUM(G34:G49)</f>
        <v>3866.44</v>
      </c>
      <c r="H50" s="38">
        <f t="shared" si="2"/>
        <v>1795988.0799999998</v>
      </c>
      <c r="I50" s="90"/>
    </row>
    <row r="51" spans="1:9" ht="12" thickTop="1" x14ac:dyDescent="0.2">
      <c r="A51" s="35" t="s">
        <v>881</v>
      </c>
      <c r="B51" s="2"/>
      <c r="C51" s="38">
        <f>C50+C31</f>
        <v>2342891.9</v>
      </c>
      <c r="D51" s="38">
        <f>D50+D31</f>
        <v>149737.33000000002</v>
      </c>
      <c r="E51" s="38">
        <f>E50+E31</f>
        <v>45564.979999999996</v>
      </c>
      <c r="F51" s="38">
        <f>F50+F31</f>
        <v>-3445.9999999999991</v>
      </c>
      <c r="G51" s="38">
        <f>G50+G31</f>
        <v>3866.44</v>
      </c>
      <c r="H51" s="38">
        <f t="shared" si="2"/>
        <v>2538614.65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11475344</v>
      </c>
      <c r="D56" s="73">
        <f>'DOE25'!G60</f>
        <v>0</v>
      </c>
      <c r="E56" s="73">
        <f>'DOE25'!H60</f>
        <v>0</v>
      </c>
      <c r="F56" s="73">
        <f>'DOE25'!I60</f>
        <v>0</v>
      </c>
      <c r="G56" s="73">
        <f>'DOE25'!J60</f>
        <v>0</v>
      </c>
      <c r="H56" s="13">
        <f t="shared" ref="H56:H63" si="3">SUM(C56:G56)</f>
        <v>11475344</v>
      </c>
      <c r="I56"/>
    </row>
    <row r="57" spans="1:9" x14ac:dyDescent="0.2">
      <c r="A57" s="1" t="s">
        <v>164</v>
      </c>
      <c r="B57" s="6" t="s">
        <v>165</v>
      </c>
      <c r="C57" s="73">
        <f>'DOE25'!F79</f>
        <v>316742.01</v>
      </c>
      <c r="D57" s="23" t="s">
        <v>288</v>
      </c>
      <c r="E57" s="73">
        <f>'DOE25'!H79</f>
        <v>0</v>
      </c>
      <c r="F57" s="23" t="s">
        <v>288</v>
      </c>
      <c r="G57" s="23" t="s">
        <v>288</v>
      </c>
      <c r="H57" s="13">
        <f t="shared" si="3"/>
        <v>316742.01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6940.82</v>
      </c>
      <c r="D59" s="73">
        <f>'DOE25'!G96</f>
        <v>0</v>
      </c>
      <c r="E59" s="73">
        <f>'DOE25'!H96</f>
        <v>0</v>
      </c>
      <c r="F59" s="73">
        <f>'DOE25'!I96</f>
        <v>0</v>
      </c>
      <c r="G59" s="73">
        <f>'DOE25'!J96</f>
        <v>202.6</v>
      </c>
      <c r="H59" s="13">
        <f t="shared" si="3"/>
        <v>7143.42</v>
      </c>
      <c r="I59"/>
    </row>
    <row r="60" spans="1:9" x14ac:dyDescent="0.2">
      <c r="A60" s="1" t="s">
        <v>170</v>
      </c>
      <c r="B60" s="22" t="s">
        <v>171</v>
      </c>
      <c r="C60" s="23" t="s">
        <v>288</v>
      </c>
      <c r="D60" s="73">
        <f>'DOE25'!G97</f>
        <v>269437.94</v>
      </c>
      <c r="E60" s="23" t="s">
        <v>288</v>
      </c>
      <c r="F60" s="23" t="s">
        <v>288</v>
      </c>
      <c r="G60" s="23" t="s">
        <v>288</v>
      </c>
      <c r="H60" s="13">
        <f t="shared" si="3"/>
        <v>269437.94</v>
      </c>
      <c r="I60"/>
    </row>
    <row r="61" spans="1:9" ht="12" thickBot="1" x14ac:dyDescent="0.25">
      <c r="A61" s="1" t="s">
        <v>172</v>
      </c>
      <c r="B61" s="22" t="s">
        <v>173</v>
      </c>
      <c r="C61" s="73">
        <f>SUM('DOE25'!F98:F110)</f>
        <v>34986.009999999995</v>
      </c>
      <c r="D61" s="73">
        <f>SUM('DOE25'!G98:G110)</f>
        <v>0</v>
      </c>
      <c r="E61" s="73">
        <f>SUM('DOE25'!H98:H110)</f>
        <v>0</v>
      </c>
      <c r="F61" s="73">
        <f>SUM('DOE25'!I98:I110)</f>
        <v>0</v>
      </c>
      <c r="G61" s="73">
        <f>SUM('DOE25'!J98:J110)</f>
        <v>0</v>
      </c>
      <c r="H61" s="13">
        <f t="shared" si="3"/>
        <v>34986.009999999995</v>
      </c>
      <c r="I61"/>
    </row>
    <row r="62" spans="1:9" ht="12.75" thickTop="1" thickBot="1" x14ac:dyDescent="0.25">
      <c r="A62" s="28" t="s">
        <v>174</v>
      </c>
      <c r="B62" s="6"/>
      <c r="C62" s="93">
        <f>SUM(C57:C61)</f>
        <v>358668.84</v>
      </c>
      <c r="D62" s="93">
        <f>SUM(D57:D61)</f>
        <v>269437.94</v>
      </c>
      <c r="E62" s="93">
        <f>SUM(E57:E61)</f>
        <v>0</v>
      </c>
      <c r="F62" s="93">
        <f>SUM(F57:F61)</f>
        <v>0</v>
      </c>
      <c r="G62" s="93">
        <f>SUM(G57:G61)</f>
        <v>202.6</v>
      </c>
      <c r="H62" s="13">
        <f t="shared" si="3"/>
        <v>628309.38</v>
      </c>
      <c r="I62"/>
    </row>
    <row r="63" spans="1:9" ht="12" thickTop="1" x14ac:dyDescent="0.2">
      <c r="A63" s="28" t="s">
        <v>175</v>
      </c>
      <c r="B63" s="6"/>
      <c r="C63" s="21">
        <f>C56+C62</f>
        <v>11834012.84</v>
      </c>
      <c r="D63" s="21">
        <f>D56+D62</f>
        <v>269437.94</v>
      </c>
      <c r="E63" s="21">
        <f>E56+E62</f>
        <v>0</v>
      </c>
      <c r="F63" s="21">
        <f>F56+F62</f>
        <v>0</v>
      </c>
      <c r="G63" s="21">
        <f>G56+G62</f>
        <v>202.6</v>
      </c>
      <c r="H63" s="13">
        <f t="shared" si="3"/>
        <v>12103653.379999999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2731401.73</v>
      </c>
      <c r="D66" s="23" t="s">
        <v>288</v>
      </c>
      <c r="E66" s="23" t="s">
        <v>288</v>
      </c>
      <c r="F66" s="23" t="s">
        <v>288</v>
      </c>
      <c r="G66" s="23" t="s">
        <v>288</v>
      </c>
      <c r="H66" s="13">
        <f t="shared" ref="H66:H81" si="4">SUM(C66:G66)</f>
        <v>2731401.73</v>
      </c>
      <c r="I66"/>
    </row>
    <row r="67" spans="1:9" x14ac:dyDescent="0.2">
      <c r="A67" s="1" t="s">
        <v>767</v>
      </c>
      <c r="B67" s="6">
        <v>3112</v>
      </c>
      <c r="C67" s="73">
        <f>'DOE25'!F118</f>
        <v>1664559</v>
      </c>
      <c r="D67" s="23"/>
      <c r="E67" s="23"/>
      <c r="F67" s="23"/>
      <c r="G67" s="23"/>
      <c r="H67" s="13">
        <f t="shared" si="4"/>
        <v>1664559</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4395960.7300000004</v>
      </c>
      <c r="D70" s="97">
        <f>D69</f>
        <v>0</v>
      </c>
      <c r="E70" s="97">
        <f>E69</f>
        <v>0</v>
      </c>
      <c r="F70" s="97">
        <f>F69</f>
        <v>0</v>
      </c>
      <c r="G70" s="97">
        <f>G69</f>
        <v>0</v>
      </c>
      <c r="H70" s="13">
        <f t="shared" si="4"/>
        <v>4395960.7300000004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44148.33</v>
      </c>
      <c r="D75" s="23" t="s">
        <v>288</v>
      </c>
      <c r="E75" s="23" t="s">
        <v>288</v>
      </c>
      <c r="F75" s="23" t="s">
        <v>288</v>
      </c>
      <c r="G75" s="23" t="s">
        <v>288</v>
      </c>
      <c r="H75" s="13">
        <f t="shared" si="4"/>
        <v>44148.33</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9343.39</v>
      </c>
      <c r="D77" s="73">
        <f>SUM('DOE25'!G131:G135)</f>
        <v>2212.29</v>
      </c>
      <c r="E77" s="73">
        <f>SUM('DOE25'!H131:H135)</f>
        <v>32933.25</v>
      </c>
      <c r="F77" s="73">
        <f>SUM('DOE25'!I131:I135)</f>
        <v>0</v>
      </c>
      <c r="G77" s="73">
        <f>SUM('DOE25'!J131:J135)</f>
        <v>0</v>
      </c>
      <c r="H77" s="13">
        <f t="shared" si="4"/>
        <v>44488.93</v>
      </c>
      <c r="I77"/>
    </row>
    <row r="78" spans="1:9" ht="12.75" thickTop="1" thickBot="1" x14ac:dyDescent="0.25">
      <c r="A78" s="28" t="s">
        <v>259</v>
      </c>
      <c r="B78" s="6"/>
      <c r="C78" s="93">
        <f>SUM(C72:C77)</f>
        <v>53491.72</v>
      </c>
      <c r="D78" s="93">
        <f>SUM(D72:D77)</f>
        <v>2212.29</v>
      </c>
      <c r="E78" s="93">
        <f>SUM(E72:E77)</f>
        <v>32933.25</v>
      </c>
      <c r="F78" s="93">
        <f>SUM(F72:F77)</f>
        <v>0</v>
      </c>
      <c r="G78" s="93">
        <f>SUM(G72:G77)</f>
        <v>0</v>
      </c>
      <c r="H78" s="13">
        <f t="shared" si="4"/>
        <v>88637.260000000009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4449452.45</v>
      </c>
      <c r="D81" s="93">
        <f>SUM(D79:D80)+D78+D70</f>
        <v>2212.29</v>
      </c>
      <c r="E81" s="93">
        <f>SUM(E79:E80)+E78+E70</f>
        <v>32933.25</v>
      </c>
      <c r="F81" s="93">
        <f>SUM(F79:F80)+F78+F70</f>
        <v>0</v>
      </c>
      <c r="G81" s="93">
        <f>SUM(G79:G80)+G78+G70</f>
        <v>0</v>
      </c>
      <c r="H81" s="93">
        <f t="shared" si="4"/>
        <v>4484597.99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37637.49</v>
      </c>
      <c r="D88" s="252">
        <f>SUM('DOE25'!G153:G162)</f>
        <v>84276.160000000003</v>
      </c>
      <c r="E88" s="252">
        <f>SUM('DOE25'!H153:H162)</f>
        <v>1859674.9700000002</v>
      </c>
      <c r="F88" s="252">
        <f>SUM('DOE25'!I153:I162)</f>
        <v>0</v>
      </c>
      <c r="G88" s="23" t="s">
        <v>288</v>
      </c>
      <c r="H88" s="13">
        <f t="shared" si="5"/>
        <v>1981588.62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37637.49</v>
      </c>
      <c r="D91" s="94">
        <f>SUM(D85:D90)</f>
        <v>84276.160000000003</v>
      </c>
      <c r="E91" s="94">
        <f>SUM(E85:E90)</f>
        <v>1859674.9700000002</v>
      </c>
      <c r="F91" s="94">
        <f>SUM(F85:F90)</f>
        <v>0</v>
      </c>
      <c r="G91" s="23" t="s">
        <v>288</v>
      </c>
      <c r="H91" s="13">
        <f t="shared" si="5"/>
        <v>1981588.62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5742.94</v>
      </c>
      <c r="E96" s="73">
        <f>'DOE25'!H180</f>
        <v>0</v>
      </c>
      <c r="F96" s="73">
        <f>'DOE25'!I180</f>
        <v>0</v>
      </c>
      <c r="G96" s="73">
        <f>'DOE25'!J180</f>
        <v>0</v>
      </c>
      <c r="H96" s="13">
        <f t="shared" si="5"/>
        <v>5742.94</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5742.94</v>
      </c>
      <c r="E103" s="68">
        <f>SUM(E93:E102)</f>
        <v>0</v>
      </c>
      <c r="F103" s="68">
        <f>SUM(F93:F102)</f>
        <v>0</v>
      </c>
      <c r="G103" s="68">
        <f>SUM(G93:G102)</f>
        <v>0</v>
      </c>
      <c r="H103" s="68">
        <f t="shared" si="5"/>
        <v>5742.94</v>
      </c>
    </row>
    <row r="104" spans="1:8" ht="12.75" thickTop="1" thickBot="1" x14ac:dyDescent="0.25">
      <c r="A104" s="32" t="s">
        <v>758</v>
      </c>
      <c r="C104" s="68">
        <f>C63+C81+C91+C103</f>
        <v>16321102.779999999</v>
      </c>
      <c r="D104" s="68">
        <f>D63+D81+D91+D103</f>
        <v>361669.33</v>
      </c>
      <c r="E104" s="68">
        <f>E63+E81+E91+E103</f>
        <v>1892608.2200000002</v>
      </c>
      <c r="F104" s="68">
        <f>F63+F81+F91+F103</f>
        <v>0</v>
      </c>
      <c r="G104" s="68">
        <f>G63+G81+G103</f>
        <v>202.6</v>
      </c>
      <c r="H104" s="68">
        <f t="shared" si="5"/>
        <v>18575582.93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5395535.9000000004</v>
      </c>
      <c r="D109" s="23" t="s">
        <v>288</v>
      </c>
      <c r="E109" s="73">
        <f>('DOE25'!L277)+('DOE25'!L296)+('DOE25'!L315)</f>
        <v>147358.60999999999</v>
      </c>
      <c r="F109" s="23" t="s">
        <v>288</v>
      </c>
      <c r="G109" s="23" t="s">
        <v>288</v>
      </c>
      <c r="H109" s="13">
        <f t="shared" ref="H109:H115" si="6">SUM(C109:G109)</f>
        <v>5542894.5100000007</v>
      </c>
    </row>
    <row r="110" spans="1:8" x14ac:dyDescent="0.2">
      <c r="A110" t="s">
        <v>198</v>
      </c>
      <c r="B110" s="31" t="s">
        <v>199</v>
      </c>
      <c r="C110" s="73">
        <f>('DOE25'!L199)+('DOE25'!L217)+('DOE25'!L235)</f>
        <v>2091198</v>
      </c>
      <c r="D110" s="23" t="s">
        <v>288</v>
      </c>
      <c r="E110" s="73">
        <f>('DOE25'!L278)+('DOE25'!L297)+('DOE25'!L316)</f>
        <v>142856.6</v>
      </c>
      <c r="F110" s="23" t="s">
        <v>288</v>
      </c>
      <c r="G110" s="23" t="s">
        <v>288</v>
      </c>
      <c r="H110" s="13">
        <f t="shared" si="6"/>
        <v>2234054.6</v>
      </c>
    </row>
    <row r="111" spans="1:8" x14ac:dyDescent="0.2">
      <c r="A111" t="s">
        <v>200</v>
      </c>
      <c r="B111" s="31" t="s">
        <v>165</v>
      </c>
      <c r="C111" s="73">
        <f>('DOE25'!L200)+('DOE25'!L218)+('DOE25'!L236)</f>
        <v>882725.14</v>
      </c>
      <c r="D111" s="23" t="s">
        <v>288</v>
      </c>
      <c r="E111" s="73">
        <f>('DOE25'!L279)+('DOE25'!L298)+('DOE25'!L317)</f>
        <v>119769.53</v>
      </c>
      <c r="F111" s="23" t="s">
        <v>288</v>
      </c>
      <c r="G111" s="23" t="s">
        <v>288</v>
      </c>
      <c r="H111" s="13">
        <f t="shared" si="6"/>
        <v>1002494.67</v>
      </c>
    </row>
    <row r="112" spans="1:8" x14ac:dyDescent="0.2">
      <c r="A112" t="s">
        <v>201</v>
      </c>
      <c r="B112" s="31" t="s">
        <v>167</v>
      </c>
      <c r="C112" s="73">
        <f>('DOE25'!L201)+('DOE25'!L219)+('DOE25'!L237)</f>
        <v>656201.88</v>
      </c>
      <c r="D112" s="23" t="s">
        <v>288</v>
      </c>
      <c r="E112" s="73">
        <f>+('DOE25'!L280)+('DOE25'!L299)+('DOE25'!L318)</f>
        <v>29762.690000000002</v>
      </c>
      <c r="F112" s="23" t="s">
        <v>288</v>
      </c>
      <c r="G112" s="23" t="s">
        <v>288</v>
      </c>
      <c r="H112" s="13">
        <f t="shared" si="6"/>
        <v>685964.57000000007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9025660.9199999999</v>
      </c>
      <c r="D115" s="68">
        <f>SUM(D109:D114)</f>
        <v>0</v>
      </c>
      <c r="E115" s="68">
        <f>SUM(E109:E114)</f>
        <v>439747.43</v>
      </c>
      <c r="F115" s="68">
        <f>SUM(F109:F114)</f>
        <v>0</v>
      </c>
      <c r="G115" s="68">
        <f>SUM(G109:G114)</f>
        <v>0</v>
      </c>
      <c r="H115" s="68">
        <f t="shared" si="6"/>
        <v>9465408.3499999996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1126791.2</v>
      </c>
      <c r="D118" s="23" t="s">
        <v>288</v>
      </c>
      <c r="E118" s="73">
        <f>+('DOE25'!L282)+('DOE25'!L301)+('DOE25'!L320)</f>
        <v>42148.5</v>
      </c>
      <c r="F118" s="23" t="s">
        <v>288</v>
      </c>
      <c r="G118" s="23" t="s">
        <v>288</v>
      </c>
      <c r="H118" s="13">
        <f t="shared" ref="H118:H145" si="7">SUM(C118:G118)</f>
        <v>1168939.7</v>
      </c>
    </row>
    <row r="119" spans="1:8" x14ac:dyDescent="0.2">
      <c r="A119" t="s">
        <v>208</v>
      </c>
      <c r="B119" s="31" t="s">
        <v>209</v>
      </c>
      <c r="C119" s="73">
        <f>('DOE25'!L204)+('DOE25'!L222)+('DOE25'!L240)</f>
        <v>249845.65</v>
      </c>
      <c r="D119" s="23" t="s">
        <v>288</v>
      </c>
      <c r="E119" s="73">
        <f>+('DOE25'!L283)+('DOE25'!L302)+('DOE25'!L321)</f>
        <v>94367.62</v>
      </c>
      <c r="F119" s="23" t="s">
        <v>288</v>
      </c>
      <c r="G119" s="23" t="s">
        <v>288</v>
      </c>
      <c r="H119" s="13">
        <f t="shared" si="7"/>
        <v>344213.27</v>
      </c>
    </row>
    <row r="120" spans="1:8" x14ac:dyDescent="0.2">
      <c r="A120" t="s">
        <v>210</v>
      </c>
      <c r="B120" s="31" t="s">
        <v>211</v>
      </c>
      <c r="C120" s="73">
        <f>('DOE25'!L205)+('DOE25'!L223)+('DOE25'!L241)</f>
        <v>1033924.86</v>
      </c>
      <c r="D120" s="23" t="s">
        <v>288</v>
      </c>
      <c r="E120" s="73">
        <f>+('DOE25'!L284)+('DOE25'!L303)+('DOE25'!L322)</f>
        <v>16913.34</v>
      </c>
      <c r="F120" s="23" t="s">
        <v>288</v>
      </c>
      <c r="G120" s="23" t="s">
        <v>288</v>
      </c>
      <c r="H120" s="13">
        <f t="shared" si="7"/>
        <v>1050838.2</v>
      </c>
    </row>
    <row r="121" spans="1:8" x14ac:dyDescent="0.2">
      <c r="A121" t="s">
        <v>212</v>
      </c>
      <c r="B121" s="31" t="s">
        <v>213</v>
      </c>
      <c r="C121" s="73">
        <f>('DOE25'!L206)+('DOE25'!L224)+('DOE25'!L242)</f>
        <v>903487.33999999985</v>
      </c>
      <c r="D121" s="23" t="s">
        <v>288</v>
      </c>
      <c r="E121" s="73">
        <f>+('DOE25'!L285)+('DOE25'!L304)+('DOE25'!L323)</f>
        <v>500</v>
      </c>
      <c r="F121" s="23" t="s">
        <v>288</v>
      </c>
      <c r="G121" s="23" t="s">
        <v>288</v>
      </c>
      <c r="H121" s="13">
        <f t="shared" si="7"/>
        <v>903987.33999999985</v>
      </c>
    </row>
    <row r="122" spans="1:8" x14ac:dyDescent="0.2">
      <c r="A122" t="s">
        <v>214</v>
      </c>
      <c r="B122" s="31" t="s">
        <v>215</v>
      </c>
      <c r="C122" s="73">
        <f>('DOE25'!L207)+('DOE25'!L225)+('DOE25'!L243)</f>
        <v>491.59</v>
      </c>
      <c r="D122" s="23" t="s">
        <v>288</v>
      </c>
      <c r="E122" s="73">
        <f>+('DOE25'!L286)+('DOE25'!L305)+('DOE25'!L324)</f>
        <v>96764.3</v>
      </c>
      <c r="F122" s="23" t="s">
        <v>288</v>
      </c>
      <c r="G122" s="23" t="s">
        <v>288</v>
      </c>
      <c r="H122" s="13">
        <f t="shared" si="7"/>
        <v>97255.89</v>
      </c>
    </row>
    <row r="123" spans="1:8" x14ac:dyDescent="0.2">
      <c r="A123" t="s">
        <v>216</v>
      </c>
      <c r="B123" s="31" t="s">
        <v>217</v>
      </c>
      <c r="C123" s="73">
        <f>('DOE25'!L208)+('DOE25'!L226)+('DOE25'!L244)</f>
        <v>1752880.31</v>
      </c>
      <c r="D123" s="23" t="s">
        <v>288</v>
      </c>
      <c r="E123" s="73">
        <f>+('DOE25'!L287)+('DOE25'!L306)+('DOE25'!L325)</f>
        <v>32933.25</v>
      </c>
      <c r="F123" s="23" t="s">
        <v>288</v>
      </c>
      <c r="G123" s="23" t="s">
        <v>288</v>
      </c>
      <c r="H123" s="13">
        <f t="shared" si="7"/>
        <v>1785813.56</v>
      </c>
    </row>
    <row r="124" spans="1:8" x14ac:dyDescent="0.2">
      <c r="A124" t="s">
        <v>218</v>
      </c>
      <c r="B124" s="31" t="s">
        <v>219</v>
      </c>
      <c r="C124" s="73">
        <f>('DOE25'!L209)+('DOE25'!L227)+('DOE25'!L245+'DOE25'!L255)</f>
        <v>864992.99</v>
      </c>
      <c r="D124" s="23" t="s">
        <v>288</v>
      </c>
      <c r="E124" s="73">
        <f>+('DOE25'!L288)+('DOE25'!L307)+('DOE25'!L326)</f>
        <v>21666.29</v>
      </c>
      <c r="F124" s="23" t="s">
        <v>288</v>
      </c>
      <c r="G124" s="23" t="s">
        <v>288</v>
      </c>
      <c r="H124" s="13">
        <f t="shared" si="7"/>
        <v>886659.28</v>
      </c>
    </row>
    <row r="125" spans="1:8" x14ac:dyDescent="0.2">
      <c r="A125" t="s">
        <v>220</v>
      </c>
      <c r="B125" s="31" t="s">
        <v>221</v>
      </c>
      <c r="C125" s="73">
        <f>('DOE25'!L210)+('DOE25'!L228)+('DOE25'!L246)</f>
        <v>73354.45</v>
      </c>
      <c r="D125" s="23" t="s">
        <v>288</v>
      </c>
      <c r="E125" s="73">
        <f>+('DOE25'!L289)+('DOE25'!L308)+('DOE25'!L327)</f>
        <v>0</v>
      </c>
      <c r="F125" s="23" t="s">
        <v>288</v>
      </c>
      <c r="G125" s="23" t="s">
        <v>288</v>
      </c>
      <c r="H125" s="13">
        <f t="shared" si="7"/>
        <v>73354.45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387798.76</v>
      </c>
      <c r="E127" s="23" t="s">
        <v>288</v>
      </c>
      <c r="F127" s="23" t="s">
        <v>288</v>
      </c>
      <c r="G127" s="23" t="s">
        <v>288</v>
      </c>
      <c r="H127" s="13">
        <f t="shared" si="7"/>
        <v>387798.76</v>
      </c>
    </row>
    <row r="128" spans="1:8" ht="12.75" thickTop="1" thickBot="1" x14ac:dyDescent="0.25">
      <c r="A128" s="32" t="s">
        <v>226</v>
      </c>
      <c r="C128" s="68">
        <f>SUM(C118:C127)</f>
        <v>6005768.3899999997</v>
      </c>
      <c r="D128" s="68">
        <f>SUM(D118:D127)</f>
        <v>387798.76</v>
      </c>
      <c r="E128" s="68">
        <f>SUM(E118:E127)</f>
        <v>305293.3</v>
      </c>
      <c r="F128" s="68">
        <f>SUM(F118:F127)</f>
        <v>0</v>
      </c>
      <c r="G128" s="68">
        <f>SUM(G118:G127)</f>
        <v>0</v>
      </c>
      <c r="H128" s="68">
        <f t="shared" si="7"/>
        <v>6698860.4499999993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852741.85</v>
      </c>
      <c r="D130" s="23" t="s">
        <v>288</v>
      </c>
      <c r="E130" s="92">
        <f>'DOE25'!L337</f>
        <v>1147567.49</v>
      </c>
      <c r="F130" s="92">
        <f>SUM('DOE25'!L375:'DOE25'!L381)</f>
        <v>0</v>
      </c>
      <c r="G130" s="23" t="s">
        <v>288</v>
      </c>
      <c r="H130" s="13">
        <f t="shared" si="7"/>
        <v>2000309.3399999999</v>
      </c>
    </row>
    <row r="131" spans="1:8" x14ac:dyDescent="0.2">
      <c r="A131" t="s">
        <v>229</v>
      </c>
      <c r="B131" s="31">
        <v>5110</v>
      </c>
      <c r="C131" s="73">
        <f>'DOE25'!L261</f>
        <v>425163.13</v>
      </c>
      <c r="D131" s="23" t="s">
        <v>288</v>
      </c>
      <c r="E131" s="92">
        <f>'DOE25'!L342</f>
        <v>0</v>
      </c>
      <c r="F131" s="23" t="s">
        <v>288</v>
      </c>
      <c r="G131" s="23" t="s">
        <v>288</v>
      </c>
      <c r="H131" s="13">
        <f t="shared" si="7"/>
        <v>425163.13</v>
      </c>
    </row>
    <row r="132" spans="1:8" x14ac:dyDescent="0.2">
      <c r="A132" t="s">
        <v>230</v>
      </c>
      <c r="B132" s="31">
        <v>5120</v>
      </c>
      <c r="C132" s="73">
        <f>'DOE25'!L262</f>
        <v>128044.1</v>
      </c>
      <c r="D132" s="23" t="s">
        <v>288</v>
      </c>
      <c r="E132" s="92">
        <f>'DOE25'!L343</f>
        <v>0</v>
      </c>
      <c r="F132" s="23" t="s">
        <v>288</v>
      </c>
      <c r="G132" s="23" t="s">
        <v>288</v>
      </c>
      <c r="H132" s="13">
        <f t="shared" si="7"/>
        <v>128044.1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5742.94</v>
      </c>
      <c r="D135" s="23" t="s">
        <v>288</v>
      </c>
      <c r="E135" s="92">
        <f>'DOE25'!L346</f>
        <v>0</v>
      </c>
      <c r="F135" s="23" t="s">
        <v>288</v>
      </c>
      <c r="G135" s="23" t="s">
        <v>288</v>
      </c>
      <c r="H135" s="13">
        <f t="shared" si="7"/>
        <v>5742.94</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98.89</v>
      </c>
      <c r="D138" s="23" t="s">
        <v>288</v>
      </c>
      <c r="E138" s="23" t="s">
        <v>288</v>
      </c>
      <c r="F138" s="23" t="s">
        <v>288</v>
      </c>
      <c r="G138" s="23" t="s">
        <v>288</v>
      </c>
      <c r="H138" s="13">
        <f t="shared" si="7"/>
        <v>98.89</v>
      </c>
    </row>
    <row r="139" spans="1:8" x14ac:dyDescent="0.2">
      <c r="A139" t="s">
        <v>239</v>
      </c>
      <c r="B139" s="31">
        <v>5252</v>
      </c>
      <c r="C139" s="73">
        <f>'DOE25'!L402</f>
        <v>103.71</v>
      </c>
      <c r="D139" s="23" t="s">
        <v>288</v>
      </c>
      <c r="E139" s="23" t="s">
        <v>288</v>
      </c>
      <c r="F139" s="23" t="s">
        <v>288</v>
      </c>
      <c r="G139" s="23" t="s">
        <v>288</v>
      </c>
      <c r="H139" s="13">
        <f t="shared" si="7"/>
        <v>103.71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-202.6</v>
      </c>
      <c r="D141" s="23" t="s">
        <v>288</v>
      </c>
      <c r="E141" s="23" t="s">
        <v>288</v>
      </c>
      <c r="F141" s="23" t="s">
        <v>288</v>
      </c>
      <c r="G141" s="23" t="s">
        <v>288</v>
      </c>
      <c r="H141" s="13">
        <f t="shared" si="7"/>
        <v>-202.6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1411692.0199999998</v>
      </c>
      <c r="D144" s="98">
        <f>SUM(D130:D143)</f>
        <v>0</v>
      </c>
      <c r="E144" s="98">
        <f>SUM(E130:E143)</f>
        <v>1147567.49</v>
      </c>
      <c r="F144" s="98">
        <f>SUM(F130:F143)</f>
        <v>0</v>
      </c>
      <c r="G144" s="98">
        <f>SUM(G130:G143)</f>
        <v>0</v>
      </c>
      <c r="H144" s="98">
        <f t="shared" si="7"/>
        <v>2559259.5099999998</v>
      </c>
    </row>
    <row r="145" spans="1:9" ht="12.75" thickTop="1" thickBot="1" x14ac:dyDescent="0.25">
      <c r="A145" s="32" t="s">
        <v>244</v>
      </c>
      <c r="C145" s="68">
        <f>(C115+C128+C144)</f>
        <v>16443121.329999998</v>
      </c>
      <c r="D145" s="68">
        <f>(D115+D128+D144)</f>
        <v>387798.76</v>
      </c>
      <c r="E145" s="68">
        <f>(E115+E128+E144)</f>
        <v>1892608.22</v>
      </c>
      <c r="F145" s="68">
        <f>(F115+F128+F144)</f>
        <v>0</v>
      </c>
      <c r="G145" s="68">
        <f>(G115+G128+G144)</f>
        <v>0</v>
      </c>
      <c r="H145" s="68">
        <f t="shared" si="7"/>
        <v>18723528.309999999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0</v>
      </c>
      <c r="D151" s="110">
        <f>'DOE25'!H491</f>
        <v>0</v>
      </c>
      <c r="E151" s="110">
        <f>'DOE25'!I491</f>
        <v>0</v>
      </c>
      <c r="F151" s="110">
        <f>'DOE25'!J491</f>
        <v>0</v>
      </c>
      <c r="G151" s="23" t="s">
        <v>288</v>
      </c>
    </row>
    <row r="152" spans="1:9" x14ac:dyDescent="0.2">
      <c r="A152" s="21" t="s">
        <v>28</v>
      </c>
      <c r="B152" s="109" t="str">
        <f>'DOE25'!F492</f>
        <v>02/13/2019</v>
      </c>
      <c r="C152" s="109">
        <f>'DOE25'!G492</f>
        <v>0</v>
      </c>
      <c r="D152" s="109">
        <f>'DOE25'!H492</f>
        <v>0</v>
      </c>
      <c r="E152" s="109">
        <f>'DOE25'!I492</f>
        <v>0</v>
      </c>
      <c r="F152" s="109">
        <f>'DOE25'!J492</f>
        <v>0</v>
      </c>
      <c r="G152" s="23" t="s">
        <v>288</v>
      </c>
    </row>
    <row r="153" spans="1:9" x14ac:dyDescent="0.2">
      <c r="A153" s="21" t="s">
        <v>29</v>
      </c>
      <c r="B153" s="109" t="str">
        <f>'DOE25'!F493</f>
        <v>1/15/2029</v>
      </c>
      <c r="C153" s="109">
        <f>'DOE25'!G493</f>
        <v>0</v>
      </c>
      <c r="D153" s="109">
        <f>'DOE25'!H493</f>
        <v>0</v>
      </c>
      <c r="E153" s="109">
        <f>'DOE25'!I493</f>
        <v>0</v>
      </c>
      <c r="F153" s="109">
        <f>'DOE25'!J493</f>
        <v>0</v>
      </c>
      <c r="G153" s="23" t="s">
        <v>288</v>
      </c>
    </row>
    <row r="154" spans="1:9" x14ac:dyDescent="0.2">
      <c r="A154" s="21" t="s">
        <v>30</v>
      </c>
      <c r="B154" s="19">
        <f>'DOE25'!F494</f>
        <v>3205000</v>
      </c>
      <c r="C154" s="19">
        <f>'DOE25'!G494</f>
        <v>0</v>
      </c>
      <c r="D154" s="19">
        <f>'DOE25'!H494</f>
        <v>0</v>
      </c>
      <c r="E154" s="19">
        <f>'DOE25'!I494</f>
        <v>0</v>
      </c>
      <c r="F154" s="19">
        <f>'DOE25'!J494</f>
        <v>0</v>
      </c>
      <c r="G154" s="23" t="s">
        <v>288</v>
      </c>
    </row>
    <row r="155" spans="1:9" x14ac:dyDescent="0.2">
      <c r="A155" s="21" t="s">
        <v>31</v>
      </c>
      <c r="B155" s="19">
        <f>'DOE25'!F495</f>
        <v>2.2200000000000002</v>
      </c>
      <c r="C155" s="19">
        <f>'DOE25'!G495</f>
        <v>0</v>
      </c>
      <c r="D155" s="19">
        <f>'DOE25'!H495</f>
        <v>0</v>
      </c>
      <c r="E155" s="19">
        <f>'DOE25'!I495</f>
        <v>0</v>
      </c>
      <c r="F155" s="19">
        <f>'DOE25'!J495</f>
        <v>0</v>
      </c>
      <c r="G155" s="23" t="s">
        <v>288</v>
      </c>
    </row>
    <row r="156" spans="1:9" x14ac:dyDescent="0.2">
      <c r="A156" s="21" t="s">
        <v>32</v>
      </c>
      <c r="B156" s="19">
        <f>'DOE25'!F496</f>
        <v>1679750</v>
      </c>
      <c r="C156" s="19">
        <f>'DOE25'!G496</f>
        <v>0</v>
      </c>
      <c r="D156" s="19">
        <f>'DOE25'!H496</f>
        <v>0</v>
      </c>
      <c r="E156" s="19">
        <f>'DOE25'!I496</f>
        <v>0</v>
      </c>
      <c r="F156" s="19">
        <f>'DOE25'!J496</f>
        <v>0</v>
      </c>
      <c r="G156" s="96">
        <f>SUM(B156:F156)</f>
        <v>1679750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279750</v>
      </c>
      <c r="C158" s="19">
        <f>'DOE25'!G498</f>
        <v>0</v>
      </c>
      <c r="D158" s="19">
        <f>'DOE25'!H498</f>
        <v>0</v>
      </c>
      <c r="E158" s="19">
        <f>'DOE25'!I498</f>
        <v>0</v>
      </c>
      <c r="F158" s="19">
        <f>'DOE25'!J498</f>
        <v>0</v>
      </c>
      <c r="G158" s="96">
        <f t="shared" si="8"/>
        <v>279750</v>
      </c>
    </row>
    <row r="159" spans="1:9" x14ac:dyDescent="0.2">
      <c r="A159" s="21" t="s">
        <v>35</v>
      </c>
      <c r="B159" s="19">
        <f>'DOE25'!F499</f>
        <v>1400000</v>
      </c>
      <c r="C159" s="19">
        <f>'DOE25'!G499</f>
        <v>0</v>
      </c>
      <c r="D159" s="19">
        <f>'DOE25'!H499</f>
        <v>0</v>
      </c>
      <c r="E159" s="19">
        <f>'DOE25'!I499</f>
        <v>0</v>
      </c>
      <c r="F159" s="19">
        <f>'DOE25'!J499</f>
        <v>0</v>
      </c>
      <c r="G159" s="96">
        <f t="shared" si="8"/>
        <v>1400000</v>
      </c>
    </row>
    <row r="160" spans="1:9" x14ac:dyDescent="0.2">
      <c r="A160" s="21" t="s">
        <v>36</v>
      </c>
      <c r="B160" s="19">
        <f>'DOE25'!F500</f>
        <v>200200</v>
      </c>
      <c r="C160" s="19">
        <f>'DOE25'!G500</f>
        <v>0</v>
      </c>
      <c r="D160" s="19">
        <f>'DOE25'!H500</f>
        <v>0</v>
      </c>
      <c r="E160" s="19">
        <f>'DOE25'!I500</f>
        <v>0</v>
      </c>
      <c r="F160" s="19">
        <f>'DOE25'!J500</f>
        <v>0</v>
      </c>
      <c r="G160" s="96">
        <f t="shared" si="8"/>
        <v>200200</v>
      </c>
    </row>
    <row r="161" spans="1:7" x14ac:dyDescent="0.2">
      <c r="A161" s="21" t="s">
        <v>37</v>
      </c>
      <c r="B161" s="19">
        <f>'DOE25'!F501</f>
        <v>1600200</v>
      </c>
      <c r="C161" s="19">
        <f>'DOE25'!G501</f>
        <v>0</v>
      </c>
      <c r="D161" s="19">
        <f>'DOE25'!H501</f>
        <v>0</v>
      </c>
      <c r="E161" s="19">
        <f>'DOE25'!I501</f>
        <v>0</v>
      </c>
      <c r="F161" s="19">
        <f>'DOE25'!J501</f>
        <v>0</v>
      </c>
      <c r="G161" s="96">
        <f t="shared" si="8"/>
        <v>1600200</v>
      </c>
    </row>
    <row r="162" spans="1:7" x14ac:dyDescent="0.2">
      <c r="A162" s="21" t="s">
        <v>38</v>
      </c>
      <c r="B162" s="19">
        <f>'DOE25'!F502</f>
        <v>280000</v>
      </c>
      <c r="C162" s="19">
        <f>'DOE25'!G502</f>
        <v>0</v>
      </c>
      <c r="D162" s="19">
        <f>'DOE25'!H502</f>
        <v>0</v>
      </c>
      <c r="E162" s="19">
        <f>'DOE25'!I502</f>
        <v>0</v>
      </c>
      <c r="F162" s="19">
        <f>'DOE25'!J502</f>
        <v>0</v>
      </c>
      <c r="G162" s="96">
        <f t="shared" si="8"/>
        <v>280000</v>
      </c>
    </row>
    <row r="163" spans="1:7" x14ac:dyDescent="0.2">
      <c r="A163" s="21" t="s">
        <v>39</v>
      </c>
      <c r="B163" s="19">
        <f>'DOE25'!F503</f>
        <v>68600</v>
      </c>
      <c r="C163" s="19">
        <f>'DOE25'!G503</f>
        <v>0</v>
      </c>
      <c r="D163" s="19">
        <f>'DOE25'!H503</f>
        <v>0</v>
      </c>
      <c r="E163" s="19">
        <f>'DOE25'!I503</f>
        <v>0</v>
      </c>
      <c r="F163" s="19">
        <f>'DOE25'!J503</f>
        <v>0</v>
      </c>
      <c r="G163" s="96">
        <f t="shared" si="8"/>
        <v>68600</v>
      </c>
    </row>
    <row r="164" spans="1:7" x14ac:dyDescent="0.2">
      <c r="A164" s="21" t="s">
        <v>246</v>
      </c>
      <c r="B164" s="19">
        <f>'DOE25'!F504</f>
        <v>348600</v>
      </c>
      <c r="C164" s="19">
        <f>'DOE25'!G504</f>
        <v>0</v>
      </c>
      <c r="D164" s="19">
        <f>'DOE25'!H504</f>
        <v>0</v>
      </c>
      <c r="E164" s="19">
        <f>'DOE25'!I504</f>
        <v>0</v>
      </c>
      <c r="F164" s="19">
        <f>'DOE25'!J504</f>
        <v>0</v>
      </c>
      <c r="G164" s="96">
        <f t="shared" si="8"/>
        <v>348600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Pemi-Baker Regional</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21997</v>
      </c>
    </row>
    <row r="7" spans="1:4" x14ac:dyDescent="0.2">
      <c r="B7" t="s">
        <v>701</v>
      </c>
      <c r="C7" s="128">
        <f>IF('DOE25'!I666+'DOE25'!I671=0,0,ROUND('DOE25'!I673,0))</f>
        <v>21997</v>
      </c>
    </row>
    <row r="9" spans="1:4" x14ac:dyDescent="0.2">
      <c r="A9" s="135" t="s">
        <v>94</v>
      </c>
      <c r="B9" s="136" t="s">
        <v>1793</v>
      </c>
      <c r="C9" s="130" t="s">
        <v>720</v>
      </c>
      <c r="D9" s="130" t="s">
        <v>721</v>
      </c>
    </row>
    <row r="10" spans="1:4" x14ac:dyDescent="0.2">
      <c r="A10">
        <v>1100</v>
      </c>
      <c r="B10" t="s">
        <v>702</v>
      </c>
      <c r="C10" s="128">
        <f>ROUND('DOE25'!L198+'DOE25'!L216+'DOE25'!L234+'DOE25'!L277+'DOE25'!L296+'DOE25'!L315,0)</f>
        <v>5542895</v>
      </c>
      <c r="D10" s="131">
        <f>ROUND((C10/$C$28)*100,1)</f>
        <v>34.6</v>
      </c>
    </row>
    <row r="11" spans="1:4" x14ac:dyDescent="0.2">
      <c r="A11">
        <v>1200</v>
      </c>
      <c r="B11" t="s">
        <v>703</v>
      </c>
      <c r="C11" s="128">
        <f>ROUND('DOE25'!L199+'DOE25'!L217+'DOE25'!L235+'DOE25'!L278+'DOE25'!L297+'DOE25'!L316,0)</f>
        <v>2234055</v>
      </c>
      <c r="D11" s="131">
        <f>ROUND((C11/$C$28)*100,1)</f>
        <v>13.9</v>
      </c>
    </row>
    <row r="12" spans="1:4" x14ac:dyDescent="0.2">
      <c r="A12">
        <v>1300</v>
      </c>
      <c r="B12" t="s">
        <v>704</v>
      </c>
      <c r="C12" s="128">
        <f>ROUND('DOE25'!L200+'DOE25'!L218+'DOE25'!L236+'DOE25'!L279+'DOE25'!L298+'DOE25'!L317,0)</f>
        <v>1002495</v>
      </c>
      <c r="D12" s="131">
        <f>ROUND((C12/$C$28)*100,1)</f>
        <v>6.3</v>
      </c>
    </row>
    <row r="13" spans="1:4" x14ac:dyDescent="0.2">
      <c r="A13">
        <v>1400</v>
      </c>
      <c r="B13" t="s">
        <v>705</v>
      </c>
      <c r="C13" s="128">
        <f>ROUND('DOE25'!L201+'DOE25'!L219+'DOE25'!L237+'DOE25'!L280+'DOE25'!L299+'DOE25'!L318,0)</f>
        <v>685965</v>
      </c>
      <c r="D13" s="131">
        <f>ROUND((C13/$C$28)*100,1)</f>
        <v>4.3</v>
      </c>
    </row>
    <row r="14" spans="1:4" x14ac:dyDescent="0.2">
      <c r="D14" s="131"/>
    </row>
    <row r="15" spans="1:4" x14ac:dyDescent="0.2">
      <c r="A15">
        <v>2100</v>
      </c>
      <c r="B15" t="s">
        <v>706</v>
      </c>
      <c r="C15" s="128">
        <f>ROUND('DOE25'!L203+'DOE25'!L221+'DOE25'!L239+'DOE25'!L282+'DOE25'!L301+'DOE25'!L320,0)</f>
        <v>1168940</v>
      </c>
      <c r="D15" s="131">
        <f t="shared" ref="D15:D27" si="0">ROUND((C15/$C$28)*100,1)</f>
        <v>7.3</v>
      </c>
    </row>
    <row r="16" spans="1:4" x14ac:dyDescent="0.2">
      <c r="A16">
        <v>2200</v>
      </c>
      <c r="B16" t="s">
        <v>707</v>
      </c>
      <c r="C16" s="128">
        <f>ROUND('DOE25'!L204+'DOE25'!L222+'DOE25'!L240+'DOE25'!L283+'DOE25'!L302+'DOE25'!L321,0)</f>
        <v>344213</v>
      </c>
      <c r="D16" s="131">
        <f t="shared" si="0"/>
        <v>2.1</v>
      </c>
    </row>
    <row r="17" spans="1:4" x14ac:dyDescent="0.2">
      <c r="A17" s="132" t="s">
        <v>723</v>
      </c>
      <c r="B17" t="s">
        <v>738</v>
      </c>
      <c r="C17" s="128">
        <f>ROUND('DOE25'!L205+'DOE25'!L210+'DOE25'!L223+'DOE25'!L228+'DOE25'!L241+'DOE25'!L246+'DOE25'!L284+'DOE25'!L289+'DOE25'!L303+'DOE25'!L308+'DOE25'!L322+'DOE25'!L327,0)</f>
        <v>1124193</v>
      </c>
      <c r="D17" s="131">
        <f t="shared" si="0"/>
        <v>7</v>
      </c>
    </row>
    <row r="18" spans="1:4" x14ac:dyDescent="0.2">
      <c r="A18">
        <v>2400</v>
      </c>
      <c r="B18" t="s">
        <v>711</v>
      </c>
      <c r="C18" s="128">
        <f>ROUND('DOE25'!L206+'DOE25'!L224+'DOE25'!L242+'DOE25'!L285+'DOE25'!L304+'DOE25'!L323,0)</f>
        <v>903987</v>
      </c>
      <c r="D18" s="131">
        <f t="shared" si="0"/>
        <v>5.6</v>
      </c>
    </row>
    <row r="19" spans="1:4" x14ac:dyDescent="0.2">
      <c r="A19">
        <v>2500</v>
      </c>
      <c r="B19" t="s">
        <v>708</v>
      </c>
      <c r="C19" s="128">
        <f>ROUND('DOE25'!L207+'DOE25'!L225+'DOE25'!L243+'DOE25'!L286+'DOE25'!L305+'DOE25'!L324,0)</f>
        <v>97256</v>
      </c>
      <c r="D19" s="131">
        <f t="shared" si="0"/>
        <v>0.6</v>
      </c>
    </row>
    <row r="20" spans="1:4" x14ac:dyDescent="0.2">
      <c r="A20">
        <v>2600</v>
      </c>
      <c r="B20" t="s">
        <v>709</v>
      </c>
      <c r="C20" s="128">
        <f>ROUND('DOE25'!L208+'DOE25'!L226+'DOE25'!L244+'DOE25'!L287+'DOE25'!L306+'DOE25'!L325,0)</f>
        <v>1785814</v>
      </c>
      <c r="D20" s="131">
        <f t="shared" si="0"/>
        <v>11.1</v>
      </c>
    </row>
    <row r="21" spans="1:4" x14ac:dyDescent="0.2">
      <c r="A21">
        <v>2700</v>
      </c>
      <c r="B21" t="s">
        <v>710</v>
      </c>
      <c r="C21" s="128">
        <f>ROUND('DOE25'!L209+'DOE25'!L227+'DOE25'!L245+'DOE25'!L288+'DOE25'!L307+'DOE25'!L326,0)</f>
        <v>886659</v>
      </c>
      <c r="D21" s="131">
        <f t="shared" si="0"/>
        <v>5.5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128044</v>
      </c>
      <c r="D25" s="131">
        <f t="shared" si="0"/>
        <v>0.8</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118361.06</v>
      </c>
      <c r="D27" s="131">
        <f t="shared" si="0"/>
        <v>0.7</v>
      </c>
    </row>
    <row r="28" spans="1:4" x14ac:dyDescent="0.2">
      <c r="B28" s="135" t="s">
        <v>719</v>
      </c>
      <c r="C28" s="129">
        <f>SUM(C10:C27)</f>
        <v>16022877.060000001</v>
      </c>
      <c r="D28" s="133">
        <f>ROUND(SUM(D10:D27),0)</f>
        <v>100</v>
      </c>
    </row>
    <row r="29" spans="1:4" x14ac:dyDescent="0.2">
      <c r="A29">
        <v>4000</v>
      </c>
      <c r="B29" t="s">
        <v>724</v>
      </c>
      <c r="C29" s="128">
        <f>ROUND('DOE25'!L256+'DOE25'!L337+'DOE25'!L375+'DOE25'!L376+'DOE25'!L377+'DOE25'!L378+'DOE25'!L379+'DOE25'!L380+'DOE25'!L381,0)</f>
        <v>2000309</v>
      </c>
    </row>
    <row r="30" spans="1:4" x14ac:dyDescent="0.2">
      <c r="B30" s="135" t="s">
        <v>725</v>
      </c>
      <c r="C30" s="129">
        <f>SUM(C28:C29)</f>
        <v>18023186.060000002</v>
      </c>
    </row>
    <row r="31" spans="1:4" x14ac:dyDescent="0.2">
      <c r="B31" s="32"/>
      <c r="C31" s="129"/>
    </row>
    <row r="32" spans="1:4" x14ac:dyDescent="0.2">
      <c r="A32">
        <v>5100</v>
      </c>
      <c r="B32" s="32" t="s">
        <v>726</v>
      </c>
      <c r="C32" s="129">
        <f>ROUND('DOE25'!L261+'DOE25'!L342,0)</f>
        <v>425163</v>
      </c>
    </row>
    <row r="34" spans="1:4" x14ac:dyDescent="0.2">
      <c r="A34" s="135" t="s">
        <v>94</v>
      </c>
      <c r="B34" s="136" t="s">
        <v>1794</v>
      </c>
      <c r="C34" s="130" t="s">
        <v>720</v>
      </c>
      <c r="D34" s="130" t="s">
        <v>721</v>
      </c>
    </row>
    <row r="35" spans="1:4" x14ac:dyDescent="0.2">
      <c r="A35">
        <v>1100</v>
      </c>
      <c r="B35" s="71" t="s">
        <v>727</v>
      </c>
      <c r="C35" s="128">
        <f>ROUND('DOE25'!F60+'DOE25'!G60+'DOE25'!H60+'DOE25'!I60+'DOE25'!J60,0)</f>
        <v>11475344</v>
      </c>
      <c r="D35" s="131">
        <f t="shared" ref="D35:D40" si="1">ROUND((C35/$C$41)*100,1)</f>
        <v>62.7</v>
      </c>
    </row>
    <row r="36" spans="1:4" x14ac:dyDescent="0.2">
      <c r="B36" s="71" t="s">
        <v>739</v>
      </c>
      <c r="C36" s="128">
        <f>SUM('DOE25'!F112:J112)-SUM('DOE25'!G97:G110)+('DOE25'!F175+'DOE25'!F176+'DOE25'!I175+'DOE25'!I176)-C35</f>
        <v>358871.43999999948</v>
      </c>
      <c r="D36" s="131">
        <f t="shared" si="1"/>
        <v>2</v>
      </c>
    </row>
    <row r="37" spans="1:4" x14ac:dyDescent="0.2">
      <c r="A37" s="132" t="s">
        <v>831</v>
      </c>
      <c r="B37" s="71" t="s">
        <v>728</v>
      </c>
      <c r="C37" s="128">
        <f>ROUND('DOE25'!F117+'DOE25'!F118,0)</f>
        <v>4395961</v>
      </c>
      <c r="D37" s="131">
        <f t="shared" si="1"/>
        <v>24</v>
      </c>
    </row>
    <row r="38" spans="1:4" x14ac:dyDescent="0.2">
      <c r="A38" s="132" t="s">
        <v>734</v>
      </c>
      <c r="B38" s="71" t="s">
        <v>729</v>
      </c>
      <c r="C38" s="128">
        <f>ROUND(SUM('DOE25'!F140:J140)-SUM('DOE25'!F117:F119),0)</f>
        <v>88637</v>
      </c>
      <c r="D38" s="131">
        <f t="shared" si="1"/>
        <v>0.5</v>
      </c>
    </row>
    <row r="39" spans="1:4" x14ac:dyDescent="0.2">
      <c r="A39">
        <v>4000</v>
      </c>
      <c r="B39" s="71" t="s">
        <v>730</v>
      </c>
      <c r="C39" s="128">
        <f>ROUND('DOE25'!F170+'DOE25'!G170+'DOE25'!H170+'DOE25'!I170,0)</f>
        <v>1981589</v>
      </c>
      <c r="D39" s="131">
        <f t="shared" si="1"/>
        <v>10.8</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18300402.439999998</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Pemi-Baker Regional</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IFERROR(SMALL($I$4:$I$325,ROWS($I$4:I4)),"")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77</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f>IF('School Level Expenditures'!$B$2='School Tables'!W80,'School Tables'!AD80,"")</f>
        <v>77</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2024-08-28T19:07:19Z</cp:lastPrinted>
  <dcterms:created xsi:type="dcterms:W3CDTF">1997-12-04T19:04:30Z</dcterms:created>
  <dcterms:modified xsi:type="dcterms:W3CDTF">2024-08-29T12:57:12Z</dcterms:modified>
</cp:coreProperties>
</file>